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202300"/>
  <mc:AlternateContent xmlns:mc="http://schemas.openxmlformats.org/markup-compatibility/2006">
    <mc:Choice Requires="x15">
      <x15ac:absPath xmlns:x15ac="http://schemas.microsoft.com/office/spreadsheetml/2010/11/ac" url="F:\Forex Factory\"/>
    </mc:Choice>
  </mc:AlternateContent>
  <xr:revisionPtr revIDLastSave="0" documentId="8_{80E3A5EA-EFD2-4D43-8FA4-FFE8753263F2}" xr6:coauthVersionLast="47" xr6:coauthVersionMax="47" xr10:uidLastSave="{00000000-0000-0000-0000-000000000000}"/>
  <bookViews>
    <workbookView xWindow="-110" yWindow="-110" windowWidth="19420" windowHeight="11020" xr2:uid="{D7E8B3D5-C012-4C73-9CD5-156DF1BC8707}"/>
  </bookViews>
  <sheets>
    <sheet name="Back-Test 2024" sheetId="1" r:id="rId1"/>
    <sheet name="Back-Test 2023"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Y110" i="2" l="1"/>
  <c r="AX110" i="2"/>
  <c r="AW110" i="2"/>
  <c r="N110" i="2"/>
  <c r="M110" i="2"/>
  <c r="AY109" i="2"/>
  <c r="AX109" i="2"/>
  <c r="AW109" i="2"/>
  <c r="N109" i="2"/>
  <c r="M109" i="2"/>
  <c r="AY108" i="2"/>
  <c r="AW108" i="2" s="1"/>
  <c r="AX108" i="2"/>
  <c r="N108" i="2"/>
  <c r="M108" i="2"/>
  <c r="AY107" i="2"/>
  <c r="AW107" i="2" s="1"/>
  <c r="AX107" i="2"/>
  <c r="N107" i="2"/>
  <c r="M107" i="2"/>
  <c r="AY106" i="2"/>
  <c r="AX106" i="2"/>
  <c r="AW106" i="2"/>
  <c r="N106" i="2"/>
  <c r="M106" i="2"/>
  <c r="AY105" i="2"/>
  <c r="AX105" i="2"/>
  <c r="AW105" i="2"/>
  <c r="N105" i="2"/>
  <c r="M105" i="2"/>
  <c r="AY104" i="2"/>
  <c r="AW104" i="2" s="1"/>
  <c r="AX104" i="2"/>
  <c r="N104" i="2"/>
  <c r="M104" i="2"/>
  <c r="AY103" i="2"/>
  <c r="AW103" i="2" s="1"/>
  <c r="AX103" i="2"/>
  <c r="N103" i="2"/>
  <c r="M103" i="2"/>
  <c r="AY102" i="2"/>
  <c r="AX102" i="2"/>
  <c r="AW102" i="2"/>
  <c r="N102" i="2"/>
  <c r="M102" i="2"/>
  <c r="AY101" i="2"/>
  <c r="AX101" i="2"/>
  <c r="AW101" i="2"/>
  <c r="N101" i="2"/>
  <c r="M101" i="2"/>
  <c r="AY100" i="2"/>
  <c r="AW100" i="2" s="1"/>
  <c r="AX100" i="2"/>
  <c r="N100" i="2"/>
  <c r="M100" i="2"/>
  <c r="AY99" i="2"/>
  <c r="AW99" i="2" s="1"/>
  <c r="AX99" i="2"/>
  <c r="N99" i="2"/>
  <c r="M99" i="2"/>
  <c r="AY98" i="2"/>
  <c r="AX98" i="2"/>
  <c r="AW98" i="2"/>
  <c r="N98" i="2"/>
  <c r="M98" i="2"/>
  <c r="AY97" i="2"/>
  <c r="AX97" i="2"/>
  <c r="AW97" i="2"/>
  <c r="N97" i="2"/>
  <c r="M97" i="2"/>
  <c r="AY96" i="2"/>
  <c r="AW96" i="2" s="1"/>
  <c r="AX96" i="2"/>
  <c r="N96" i="2"/>
  <c r="M96" i="2"/>
  <c r="AY95" i="2"/>
  <c r="AW95" i="2" s="1"/>
  <c r="AX95" i="2"/>
  <c r="N95" i="2"/>
  <c r="M95" i="2"/>
  <c r="AY94" i="2"/>
  <c r="AX94" i="2"/>
  <c r="AW94" i="2"/>
  <c r="N94" i="2"/>
  <c r="M94" i="2"/>
  <c r="AY93" i="2"/>
  <c r="AX93" i="2"/>
  <c r="AW93" i="2"/>
  <c r="N93" i="2"/>
  <c r="M93" i="2"/>
  <c r="AY92" i="2"/>
  <c r="AW92" i="2" s="1"/>
  <c r="AX92" i="2"/>
  <c r="N92" i="2"/>
  <c r="M92" i="2"/>
  <c r="AY91" i="2"/>
  <c r="AW91" i="2" s="1"/>
  <c r="AX91" i="2"/>
  <c r="N91" i="2"/>
  <c r="M91" i="2"/>
  <c r="AY90" i="2"/>
  <c r="AX90" i="2"/>
  <c r="AW90" i="2"/>
  <c r="N90" i="2"/>
  <c r="M90" i="2"/>
  <c r="AY89" i="2"/>
  <c r="AX89" i="2"/>
  <c r="AW89" i="2"/>
  <c r="N89" i="2"/>
  <c r="M89" i="2"/>
  <c r="AY88" i="2"/>
  <c r="AW88" i="2" s="1"/>
  <c r="AX88" i="2"/>
  <c r="N88" i="2"/>
  <c r="M88" i="2"/>
  <c r="AY87" i="2"/>
  <c r="AW87" i="2" s="1"/>
  <c r="AX87" i="2"/>
  <c r="N87" i="2"/>
  <c r="M87" i="2"/>
  <c r="AY86" i="2"/>
  <c r="AX86" i="2"/>
  <c r="AW86" i="2"/>
  <c r="N86" i="2"/>
  <c r="M86" i="2"/>
  <c r="AY85" i="2"/>
  <c r="AX85" i="2"/>
  <c r="AW85" i="2"/>
  <c r="N85" i="2"/>
  <c r="M85" i="2"/>
  <c r="AY84" i="2"/>
  <c r="AW84" i="2" s="1"/>
  <c r="AX84" i="2"/>
  <c r="N84" i="2"/>
  <c r="M84" i="2"/>
  <c r="AY83" i="2"/>
  <c r="AW83" i="2" s="1"/>
  <c r="AX83" i="2"/>
  <c r="N83" i="2"/>
  <c r="M83" i="2"/>
  <c r="AY82" i="2"/>
  <c r="AX82" i="2"/>
  <c r="AW82" i="2"/>
  <c r="N82" i="2"/>
  <c r="M82" i="2"/>
  <c r="AY81" i="2"/>
  <c r="AX81" i="2"/>
  <c r="AW81" i="2"/>
  <c r="N81" i="2"/>
  <c r="M81" i="2"/>
  <c r="AY80" i="2"/>
  <c r="AW80" i="2" s="1"/>
  <c r="AX80" i="2"/>
  <c r="N80" i="2"/>
  <c r="M80" i="2"/>
  <c r="AY79" i="2"/>
  <c r="AW79" i="2" s="1"/>
  <c r="AX79" i="2"/>
  <c r="N79" i="2"/>
  <c r="M79" i="2"/>
  <c r="AY78" i="2"/>
  <c r="AX78" i="2"/>
  <c r="AW78" i="2"/>
  <c r="N78" i="2"/>
  <c r="M78" i="2"/>
  <c r="AY77" i="2"/>
  <c r="AX77" i="2"/>
  <c r="AW77" i="2"/>
  <c r="N77" i="2"/>
  <c r="M77" i="2"/>
  <c r="AY76" i="2"/>
  <c r="AW76" i="2" s="1"/>
  <c r="AX76" i="2"/>
  <c r="N76" i="2"/>
  <c r="M76" i="2"/>
  <c r="AY75" i="2"/>
  <c r="AW75" i="2" s="1"/>
  <c r="AX75" i="2"/>
  <c r="N75" i="2"/>
  <c r="M75" i="2"/>
  <c r="AY74" i="2"/>
  <c r="AX74" i="2"/>
  <c r="AW74" i="2"/>
  <c r="N74" i="2"/>
  <c r="M74" i="2"/>
  <c r="AY73" i="2"/>
  <c r="AX73" i="2"/>
  <c r="AW73" i="2"/>
  <c r="N73" i="2"/>
  <c r="M73" i="2"/>
  <c r="AY72" i="2"/>
  <c r="AW72" i="2" s="1"/>
  <c r="AX72" i="2"/>
  <c r="N72" i="2"/>
  <c r="M72" i="2"/>
  <c r="AY71" i="2"/>
  <c r="AW71" i="2" s="1"/>
  <c r="AX71" i="2"/>
  <c r="N71" i="2"/>
  <c r="M71" i="2"/>
  <c r="AY70" i="2"/>
  <c r="AX70" i="2"/>
  <c r="AW70" i="2"/>
  <c r="N70" i="2"/>
  <c r="M70" i="2"/>
  <c r="AY69" i="2"/>
  <c r="AX69" i="2"/>
  <c r="AW69" i="2"/>
  <c r="N69" i="2"/>
  <c r="M69" i="2"/>
  <c r="AY68" i="2"/>
  <c r="AW68" i="2" s="1"/>
  <c r="AX68" i="2"/>
  <c r="N68" i="2"/>
  <c r="M68" i="2"/>
  <c r="AY67" i="2"/>
  <c r="AW67" i="2" s="1"/>
  <c r="AX67" i="2"/>
  <c r="N67" i="2"/>
  <c r="M67" i="2"/>
  <c r="AY66" i="2"/>
  <c r="AX66" i="2"/>
  <c r="AW66" i="2"/>
  <c r="N66" i="2"/>
  <c r="M66" i="2"/>
  <c r="AY65" i="2"/>
  <c r="AX65" i="2"/>
  <c r="AW65" i="2"/>
  <c r="N65" i="2"/>
  <c r="M65" i="2"/>
  <c r="AY64" i="2"/>
  <c r="AW64" i="2" s="1"/>
  <c r="AX64" i="2"/>
  <c r="N64" i="2"/>
  <c r="M64" i="2"/>
  <c r="AY63" i="2"/>
  <c r="AW63" i="2" s="1"/>
  <c r="AX63" i="2"/>
  <c r="N63" i="2"/>
  <c r="M63" i="2"/>
  <c r="AY62" i="2"/>
  <c r="AX62" i="2"/>
  <c r="AW62" i="2"/>
  <c r="N62" i="2"/>
  <c r="M62" i="2"/>
  <c r="AY61" i="2"/>
  <c r="AX61" i="2"/>
  <c r="AW61" i="2"/>
  <c r="N61" i="2"/>
  <c r="M61" i="2"/>
  <c r="AY60" i="2"/>
  <c r="AW60" i="2" s="1"/>
  <c r="AX60" i="2"/>
  <c r="N60" i="2"/>
  <c r="M60" i="2"/>
  <c r="AY59" i="2"/>
  <c r="AW59" i="2" s="1"/>
  <c r="AX59" i="2"/>
  <c r="N59" i="2"/>
  <c r="M59" i="2"/>
  <c r="AY58" i="2"/>
  <c r="AX58" i="2"/>
  <c r="AW58" i="2"/>
  <c r="N58" i="2"/>
  <c r="M58" i="2"/>
  <c r="AY57" i="2"/>
  <c r="AX57" i="2"/>
  <c r="AW57" i="2"/>
  <c r="N57" i="2"/>
  <c r="M57" i="2"/>
  <c r="AY56" i="2"/>
  <c r="AW56" i="2" s="1"/>
  <c r="AX56" i="2"/>
  <c r="N56" i="2"/>
  <c r="M56" i="2"/>
  <c r="AY55" i="2"/>
  <c r="AW55" i="2" s="1"/>
  <c r="AX55" i="2"/>
  <c r="N55" i="2"/>
  <c r="M55" i="2"/>
  <c r="AX54" i="2"/>
  <c r="AW54" i="2"/>
  <c r="N54" i="2"/>
  <c r="M54" i="2"/>
  <c r="AY53" i="2"/>
  <c r="AX53" i="2"/>
  <c r="AW53" i="2"/>
  <c r="N53" i="2"/>
  <c r="M53" i="2"/>
  <c r="AY52" i="2"/>
  <c r="AX52" i="2"/>
  <c r="AW52" i="2"/>
  <c r="N52" i="2"/>
  <c r="M52" i="2"/>
  <c r="AY51" i="2"/>
  <c r="AW51" i="2" s="1"/>
  <c r="AX51" i="2"/>
  <c r="N51" i="2"/>
  <c r="M51" i="2"/>
  <c r="AY50" i="2"/>
  <c r="AW50" i="2" s="1"/>
  <c r="AX50" i="2"/>
  <c r="N50" i="2"/>
  <c r="M50" i="2"/>
  <c r="AY49" i="2"/>
  <c r="AX49" i="2"/>
  <c r="AW49" i="2"/>
  <c r="N49" i="2"/>
  <c r="M49" i="2"/>
  <c r="AY48" i="2"/>
  <c r="AX48" i="2"/>
  <c r="AW48" i="2"/>
  <c r="N48" i="2"/>
  <c r="M48" i="2"/>
  <c r="AY47" i="2"/>
  <c r="AW47" i="2" s="1"/>
  <c r="AX47" i="2"/>
  <c r="N47" i="2"/>
  <c r="M47" i="2"/>
  <c r="AY46" i="2"/>
  <c r="AW46" i="2" s="1"/>
  <c r="AX46" i="2"/>
  <c r="N46" i="2"/>
  <c r="M46" i="2"/>
  <c r="AY45" i="2"/>
  <c r="AX45" i="2"/>
  <c r="AW45" i="2"/>
  <c r="N45" i="2"/>
  <c r="M45" i="2"/>
  <c r="AY44" i="2"/>
  <c r="AX44" i="2"/>
  <c r="AW44" i="2"/>
  <c r="N44" i="2"/>
  <c r="M44" i="2"/>
  <c r="AY43" i="2"/>
  <c r="AW43" i="2" s="1"/>
  <c r="AX43" i="2"/>
  <c r="N43" i="2"/>
  <c r="M43" i="2"/>
  <c r="AY42" i="2"/>
  <c r="AW42" i="2" s="1"/>
  <c r="AX42" i="2"/>
  <c r="N42" i="2"/>
  <c r="M42" i="2"/>
  <c r="AY41" i="2"/>
  <c r="AX41" i="2"/>
  <c r="AW41" i="2"/>
  <c r="N41" i="2"/>
  <c r="M41" i="2"/>
  <c r="AY40" i="2"/>
  <c r="AX40" i="2"/>
  <c r="AW40" i="2"/>
  <c r="N40" i="2"/>
  <c r="M40" i="2"/>
  <c r="AY39" i="2"/>
  <c r="AW39" i="2" s="1"/>
  <c r="AX39" i="2"/>
  <c r="N39" i="2"/>
  <c r="M39" i="2"/>
  <c r="AY38" i="2"/>
  <c r="AW38" i="2" s="1"/>
  <c r="AX38" i="2"/>
  <c r="N38" i="2"/>
  <c r="M38" i="2"/>
  <c r="AY37" i="2"/>
  <c r="AX37" i="2"/>
  <c r="AW37" i="2"/>
  <c r="N37" i="2"/>
  <c r="M37" i="2"/>
  <c r="AY36" i="2"/>
  <c r="AX36" i="2"/>
  <c r="AW36" i="2"/>
  <c r="N36" i="2"/>
  <c r="M36" i="2"/>
  <c r="AY35" i="2"/>
  <c r="AW35" i="2" s="1"/>
  <c r="AX35" i="2"/>
  <c r="N35" i="2"/>
  <c r="M35" i="2"/>
  <c r="AY34" i="2"/>
  <c r="AW34" i="2" s="1"/>
  <c r="AX34" i="2"/>
  <c r="N34" i="2"/>
  <c r="M34" i="2"/>
  <c r="AY33" i="2"/>
  <c r="AX33" i="2"/>
  <c r="AW33" i="2"/>
  <c r="N33" i="2"/>
  <c r="M33" i="2"/>
  <c r="AY32" i="2"/>
  <c r="AX32" i="2"/>
  <c r="AW32" i="2"/>
  <c r="N32" i="2"/>
  <c r="M32" i="2"/>
  <c r="AY31" i="2"/>
  <c r="AW31" i="2" s="1"/>
  <c r="AX31" i="2"/>
  <c r="N31" i="2"/>
  <c r="M31" i="2"/>
  <c r="AY30" i="2"/>
  <c r="AW30" i="2" s="1"/>
  <c r="AX30" i="2"/>
  <c r="N30" i="2"/>
  <c r="M30" i="2"/>
  <c r="AY29" i="2"/>
  <c r="AX29" i="2"/>
  <c r="AW29" i="2"/>
  <c r="N29" i="2"/>
  <c r="M29" i="2"/>
  <c r="AY28" i="2"/>
  <c r="AX28" i="2"/>
  <c r="AW28" i="2"/>
  <c r="N28" i="2"/>
  <c r="M28" i="2"/>
  <c r="AY27" i="2"/>
  <c r="AW27" i="2" s="1"/>
  <c r="AX27" i="2"/>
  <c r="N27" i="2"/>
  <c r="M27" i="2"/>
  <c r="AY26" i="2"/>
  <c r="AW26" i="2" s="1"/>
  <c r="AX26" i="2"/>
  <c r="N26" i="2"/>
  <c r="M26" i="2"/>
  <c r="AY25" i="2"/>
  <c r="AX25" i="2"/>
  <c r="AW25" i="2"/>
  <c r="N25" i="2"/>
  <c r="M25" i="2"/>
  <c r="AY24" i="2"/>
  <c r="AX24" i="2"/>
  <c r="AW24" i="2"/>
  <c r="N24" i="2"/>
  <c r="M24" i="2"/>
  <c r="AY23" i="2"/>
  <c r="AW23" i="2" s="1"/>
  <c r="AX23" i="2"/>
  <c r="N23" i="2"/>
  <c r="M23" i="2"/>
  <c r="AY22" i="2"/>
  <c r="AW22" i="2" s="1"/>
  <c r="AX22" i="2"/>
  <c r="N22" i="2"/>
  <c r="M22" i="2"/>
  <c r="AY21" i="2"/>
  <c r="AX21" i="2"/>
  <c r="AW21" i="2"/>
  <c r="N21" i="2"/>
  <c r="M21" i="2"/>
  <c r="AY20" i="2"/>
  <c r="AX20" i="2"/>
  <c r="AW20" i="2"/>
  <c r="N20" i="2"/>
  <c r="M20" i="2"/>
  <c r="AY19" i="2"/>
  <c r="AW19" i="2" s="1"/>
  <c r="AX19" i="2"/>
  <c r="N19" i="2"/>
  <c r="M19" i="2"/>
  <c r="AY18" i="2"/>
  <c r="AW18" i="2" s="1"/>
  <c r="AX18" i="2"/>
  <c r="N18" i="2"/>
  <c r="M18" i="2"/>
  <c r="AY17" i="2"/>
  <c r="AX17" i="2"/>
  <c r="AW17" i="2"/>
  <c r="N17" i="2"/>
  <c r="M17" i="2"/>
  <c r="AY16" i="2"/>
  <c r="AX16" i="2"/>
  <c r="AW16" i="2"/>
  <c r="N16" i="2"/>
  <c r="M16" i="2"/>
  <c r="AY15" i="2"/>
  <c r="AW15" i="2" s="1"/>
  <c r="AX15" i="2"/>
  <c r="N15" i="2"/>
  <c r="M15" i="2"/>
  <c r="AY14" i="2"/>
  <c r="AW14" i="2" s="1"/>
  <c r="AX14" i="2"/>
  <c r="N14" i="2"/>
  <c r="M14" i="2"/>
  <c r="AY13" i="2"/>
  <c r="AX13" i="2"/>
  <c r="AW13" i="2"/>
  <c r="N13" i="2"/>
  <c r="M13" i="2"/>
  <c r="AY12" i="2"/>
  <c r="AX12" i="2"/>
  <c r="AW12" i="2"/>
  <c r="N12" i="2"/>
  <c r="M12" i="2"/>
  <c r="AY11" i="2"/>
  <c r="AW11" i="2" s="1"/>
  <c r="AX11" i="2"/>
  <c r="N11" i="2"/>
  <c r="M11" i="2"/>
  <c r="AY10" i="2"/>
  <c r="AW10" i="2" s="1"/>
  <c r="AX10" i="2"/>
  <c r="N10" i="2"/>
  <c r="M10" i="2"/>
  <c r="AY9" i="2"/>
  <c r="AX9" i="2"/>
  <c r="AW9" i="2"/>
  <c r="N9" i="2"/>
  <c r="M9" i="2"/>
  <c r="AY8" i="2"/>
  <c r="AX8" i="2"/>
  <c r="AW8" i="2"/>
  <c r="N8" i="2"/>
  <c r="M8" i="2"/>
  <c r="AY7" i="2"/>
  <c r="AW7" i="2" s="1"/>
  <c r="AX7" i="2"/>
  <c r="N7" i="2"/>
  <c r="M7" i="2"/>
  <c r="AY6" i="2"/>
  <c r="AW6" i="2" s="1"/>
  <c r="AX6" i="2"/>
  <c r="N6" i="2"/>
  <c r="M6" i="2"/>
  <c r="AY5" i="2"/>
  <c r="AX5" i="2"/>
  <c r="AW5" i="2"/>
  <c r="N5" i="2"/>
  <c r="M5" i="2"/>
  <c r="AY4" i="2"/>
  <c r="AX4" i="2"/>
  <c r="AW4" i="2"/>
  <c r="N4" i="2"/>
  <c r="M4" i="2"/>
  <c r="AY3" i="2"/>
  <c r="AW3" i="2" s="1"/>
  <c r="AX3" i="2"/>
  <c r="N3" i="2"/>
  <c r="M3" i="2"/>
  <c r="AY2" i="2"/>
  <c r="AW2" i="2" s="1"/>
  <c r="AX2" i="2"/>
  <c r="N2" i="2"/>
  <c r="M2" i="2"/>
  <c r="N85" i="1" l="1"/>
  <c r="M85" i="1"/>
  <c r="N84" i="1"/>
  <c r="M84" i="1"/>
  <c r="N83" i="1"/>
  <c r="M83" i="1"/>
  <c r="N82" i="1"/>
  <c r="M82" i="1"/>
  <c r="N81" i="1"/>
  <c r="M81" i="1"/>
  <c r="N80" i="1"/>
  <c r="M80" i="1"/>
  <c r="N79" i="1"/>
  <c r="M79" i="1"/>
  <c r="AW78" i="1"/>
  <c r="N78" i="1"/>
  <c r="M78" i="1"/>
  <c r="AW77" i="1"/>
  <c r="N77" i="1"/>
  <c r="M77" i="1"/>
  <c r="AW76" i="1"/>
  <c r="N76" i="1"/>
  <c r="M76" i="1"/>
  <c r="AW75" i="1"/>
  <c r="N75" i="1"/>
  <c r="M75" i="1"/>
  <c r="AW74" i="1"/>
  <c r="N74" i="1"/>
  <c r="M74" i="1"/>
  <c r="AW73" i="1"/>
  <c r="N73" i="1"/>
  <c r="M73" i="1"/>
  <c r="AW72" i="1"/>
  <c r="N72" i="1"/>
  <c r="M72" i="1"/>
  <c r="AW71" i="1"/>
  <c r="N71" i="1"/>
  <c r="M71" i="1"/>
  <c r="AW70" i="1"/>
  <c r="N70" i="1"/>
  <c r="M70" i="1"/>
  <c r="AW69" i="1"/>
  <c r="N69" i="1"/>
  <c r="M69" i="1"/>
  <c r="AW68" i="1"/>
  <c r="N68" i="1"/>
  <c r="M68" i="1"/>
  <c r="AW67" i="1"/>
  <c r="N67" i="1"/>
  <c r="M67" i="1"/>
  <c r="AW66" i="1"/>
  <c r="N66" i="1"/>
  <c r="M66" i="1"/>
  <c r="AW65" i="1"/>
  <c r="P65" i="1"/>
  <c r="N65" i="1"/>
  <c r="M65" i="1"/>
  <c r="AW64" i="1"/>
  <c r="P64" i="1"/>
  <c r="N64" i="1"/>
  <c r="M64" i="1"/>
  <c r="BB63" i="1"/>
  <c r="AW63" i="1"/>
  <c r="P63" i="1"/>
  <c r="N63" i="1"/>
  <c r="M63" i="1"/>
  <c r="AW62" i="1"/>
  <c r="Q62" i="1"/>
  <c r="P62" i="1"/>
  <c r="N62" i="1"/>
  <c r="M62" i="1"/>
  <c r="AW61" i="1"/>
  <c r="Q61" i="1"/>
  <c r="P61" i="1"/>
  <c r="N61" i="1"/>
  <c r="M61" i="1"/>
  <c r="AW60" i="1"/>
  <c r="Q60" i="1"/>
  <c r="P60" i="1"/>
  <c r="N60" i="1"/>
  <c r="M60" i="1"/>
  <c r="AW59" i="1"/>
  <c r="P59" i="1"/>
  <c r="N59" i="1"/>
  <c r="M59" i="1"/>
  <c r="BC58" i="1"/>
  <c r="BB58" i="1"/>
  <c r="AW58" i="1"/>
  <c r="Q58" i="1"/>
  <c r="P58" i="1"/>
  <c r="N58" i="1"/>
  <c r="M58" i="1"/>
  <c r="AW57" i="1"/>
  <c r="P57" i="1"/>
  <c r="N57" i="1"/>
  <c r="M57" i="1"/>
</calcChain>
</file>

<file path=xl/sharedStrings.xml><?xml version="1.0" encoding="utf-8"?>
<sst xmlns="http://schemas.openxmlformats.org/spreadsheetml/2006/main" count="4847" uniqueCount="267">
  <si>
    <t>Trade ID</t>
  </si>
  <si>
    <t>Date</t>
  </si>
  <si>
    <t>STR Type (1)</t>
  </si>
  <si>
    <t>Trade Exec?</t>
  </si>
  <si>
    <t>IF NO, Reason</t>
  </si>
  <si>
    <t>Trade Type</t>
  </si>
  <si>
    <t>Entry Time</t>
  </si>
  <si>
    <t>Exit Time</t>
  </si>
  <si>
    <t>Entry Price</t>
  </si>
  <si>
    <t>Exit Price</t>
  </si>
  <si>
    <t>SP $</t>
  </si>
  <si>
    <t>TP $</t>
  </si>
  <si>
    <t>SL Price</t>
  </si>
  <si>
    <t>TP Price</t>
  </si>
  <si>
    <t>T in T (Bars)</t>
  </si>
  <si>
    <t>MFE</t>
  </si>
  <si>
    <t>MAE</t>
  </si>
  <si>
    <t>E.P Revisit</t>
  </si>
  <si>
    <t>Close Reason</t>
  </si>
  <si>
    <t>P/L</t>
  </si>
  <si>
    <t>News?</t>
  </si>
  <si>
    <t>VTY Expected</t>
  </si>
  <si>
    <t>News Event(s)</t>
  </si>
  <si>
    <t>UpComing News</t>
  </si>
  <si>
    <t xml:space="preserve">VTY Expected </t>
  </si>
  <si>
    <t>News Event(s)2</t>
  </si>
  <si>
    <t>Next Day</t>
  </si>
  <si>
    <t>Trade Cont?</t>
  </si>
  <si>
    <t>Trend Cont?</t>
  </si>
  <si>
    <t>SL HIT?</t>
  </si>
  <si>
    <t>TP HIT?</t>
  </si>
  <si>
    <t>TP Hit After SL Hit</t>
  </si>
  <si>
    <t>E.P Visits</t>
  </si>
  <si>
    <t>MFE2</t>
  </si>
  <si>
    <t>MAE2</t>
  </si>
  <si>
    <t>P/L2</t>
  </si>
  <si>
    <t>SS</t>
  </si>
  <si>
    <t>STR Type (2)</t>
  </si>
  <si>
    <t>VTY</t>
  </si>
  <si>
    <t>VTY in $</t>
  </si>
  <si>
    <t>T in T</t>
  </si>
  <si>
    <t>SL Hit?</t>
  </si>
  <si>
    <t>TP Hit?</t>
  </si>
  <si>
    <t>TP Hit After SL Hit?</t>
  </si>
  <si>
    <t>Fixed SP,TP</t>
  </si>
  <si>
    <t>Yes</t>
  </si>
  <si>
    <t>-</t>
  </si>
  <si>
    <t>Sell</t>
  </si>
  <si>
    <t>TP Hit</t>
  </si>
  <si>
    <t>High</t>
  </si>
  <si>
    <t>1. Initial Jobless Claims, 2. Crude Oil Inventories</t>
  </si>
  <si>
    <t>1. ISM Manufacturing PMI (Dec), 2. 1. ISM Manufacturing Prices (Dec)</t>
  </si>
  <si>
    <t>No</t>
  </si>
  <si>
    <t>VTY SP, Fixed TP</t>
  </si>
  <si>
    <t>11.38 * 2.5</t>
  </si>
  <si>
    <t>EOD</t>
  </si>
  <si>
    <t>Moderate</t>
  </si>
  <si>
    <t>1. S&amp;P/CS HPI Composite - 20 n.s.a. (YoY) (Oct), 2. S&amp;P/CS HPI Composite - 20 n.s.a. (MoM) (Oct), 3. API Weekly Crude Oil Stock</t>
  </si>
  <si>
    <t>11.46 * 2.5</t>
  </si>
  <si>
    <t>1. GDP (QoQ) (Q3), 2. GDP (YoY) (Q3), 3. Durable Goods Orders (MoM) (Nov), 4. CB Consumer Confidence (Dec), 5. New Home Sales (Nov)</t>
  </si>
  <si>
    <t>1. 	Initial Jobless Claims</t>
  </si>
  <si>
    <t>12 * 2.5</t>
  </si>
  <si>
    <t xml:space="preserve">1. CPI (YoY) (Nov), 2. Crude Oil Inventories, 3. FOMC Economic Projections, 4. FOMC Statement, 5. Fed Interest Rate Decision, 6. FOMC Press Conference </t>
  </si>
  <si>
    <t>1. BoE Interest Rate Decision (Dec), 2. GDP (QoQ) (Q3), 3. Philadelphia Fed Manufacturing Index (Dec), 4. Initial Jobless Claims, 5. Existing Home Sales (Nov)</t>
  </si>
  <si>
    <t>11.64 * 2.5</t>
  </si>
  <si>
    <t>1. Initial Jobless Claims, 2. PPI (MoM) (Nov), 3. 30-Year Bond Auction</t>
  </si>
  <si>
    <t>1. Core Retail Sales (MoM) (Nov), 2. Retail Sales (MoM) (Nov)</t>
  </si>
  <si>
    <t>Buy</t>
  </si>
  <si>
    <t>SP Hit</t>
  </si>
  <si>
    <t xml:space="preserve">1. MPC Member Ramsden Speaks, 2. NY Fed 1-Year Consumer Inflation Expectations (Nov), 3. Atlanta Fed GDPNow (Q4)  </t>
  </si>
  <si>
    <t>1. Core CPI (MoM) (Nov), 2. CPI (MoM) (Nov), 3. CPI (YoY) (Nov), 4. Crude Oil Inventories, 5. 10-Year Note Auction</t>
  </si>
  <si>
    <t>12.13 * 2.5</t>
  </si>
  <si>
    <t>1. Average Hourly Earnings (MoM) (Nov), 2. Nonfarm Payrolls (Nov), 3. Unemployment Rate (Nov)</t>
  </si>
  <si>
    <t>12.15 * 2.5</t>
  </si>
  <si>
    <t>1. Initial Jobless Claims</t>
  </si>
  <si>
    <t>12.32 * 2.5</t>
  </si>
  <si>
    <t xml:space="preserve">1. CB Consumer Confidence (Nov), 2. New Home Sales (Oct), 3. FOMC Meeting Minutes </t>
  </si>
  <si>
    <t>12.23 * 2.5</t>
  </si>
  <si>
    <t>1. Initial Jobless Claims, 2. Philadelphia Fed Manufacturing Index (Nov), 3. Existing Home Sales (Oct)</t>
  </si>
  <si>
    <t>12.16 *2.5</t>
  </si>
  <si>
    <t>1. Core CPI (MoM) (Oct), 2. CPI (YoY) (Oct), 3. CPI (MoM) (Oct)</t>
  </si>
  <si>
    <t>11.21 * 2.5</t>
  </si>
  <si>
    <t>1. Crude Oil Inventories, 2. 30-Year Bond Auction</t>
  </si>
  <si>
    <t xml:space="preserve">1. BoE Interest Rate Decision (Nov), 2. Initial Jobless Claims, 3. FOMC Statement, 4. Fed Interest Rate Decision, 5. FOMC Press Conference </t>
  </si>
  <si>
    <t>10.16*2.5</t>
  </si>
  <si>
    <t>1. Autumn Forecast Statement, 2. ADP Nonfarm Employment Change (Oct), 3. GDP (QoQ) (Q3), 4. Crude Oil Inventories</t>
  </si>
  <si>
    <t>1. Core PCE Price Index (YoY) (Sep), 2. Core PCE Price Index (MoM) (Sep), 3. Initial Jobless Claims, 4. Chicago PMI (Oct)</t>
  </si>
  <si>
    <t>10.02*2.5</t>
  </si>
  <si>
    <t>1. Existing Home Sales (Sep), 2. Crude Oil Inventories</t>
  </si>
  <si>
    <t>1. Initial Jobless Claims, 2. New Home Sales (Sep)</t>
  </si>
  <si>
    <t>10.89*2.5</t>
  </si>
  <si>
    <t>10.97*2.5</t>
  </si>
  <si>
    <t>1. Core Retail Sales (MoM) (Sep), 2. Initial Jobless Claims, 3. Philadelphia Fed Manufacturing Index (Oct), 4. Retail Sales (MoM) (Sep), 5. Crude Oil Inventories</t>
  </si>
  <si>
    <t>11.52*2.5</t>
  </si>
  <si>
    <t>1. CPI (YoY) (Sep)</t>
  </si>
  <si>
    <t>11.72*2.5</t>
  </si>
  <si>
    <t>1. ISM Manufacturing PMI (Sep), 2. ISM Manufacturing Prices (Sep), 3. JOLTS Job Openings (Aug)</t>
  </si>
  <si>
    <t>1. ADP Nonfarm Employment Change (Sep), 2. Crude Oil Inventories</t>
  </si>
  <si>
    <t>11.08*2.5</t>
  </si>
  <si>
    <t xml:space="preserve"> 09/20/2024</t>
  </si>
  <si>
    <t xml:space="preserve">1. CB Consumer Confidence (Sep)	</t>
  </si>
  <si>
    <t xml:space="preserve"> 09/23/2024</t>
  </si>
  <si>
    <t>10.46*2.5</t>
  </si>
  <si>
    <t xml:space="preserve"> 09/16/2024</t>
  </si>
  <si>
    <t>1. NY Empire State Manufacturing Index (Sep)</t>
  </si>
  <si>
    <t>1. Core Retail Sales (MoM) (Aug), 2. Retail Sales (MoM) (Aug)</t>
  </si>
  <si>
    <t xml:space="preserve"> 09/17/2024</t>
  </si>
  <si>
    <t>9.95*2.5</t>
  </si>
  <si>
    <t xml:space="preserve"> 09/11/2024</t>
  </si>
  <si>
    <t>1. GDP (MoM) (Jul), 2. Core CPI (MoM) (Aug), 3. CPI (YoY) (Aug), 4. CPI (MoM) (Aug), 5. Crude Oil Inventories, 6. 10-Year Note Auction</t>
  </si>
  <si>
    <t>1. Initial Jobless Claims, 2. PPI (MoM) (Aug), 3. 30-Year Bond Auction</t>
  </si>
  <si>
    <t xml:space="preserve"> 09/12/2024</t>
  </si>
  <si>
    <t>9.82*2.5</t>
  </si>
  <si>
    <t xml:space="preserve"> 09/10/2024</t>
  </si>
  <si>
    <t>9.86*2.5</t>
  </si>
  <si>
    <t xml:space="preserve"> 09/9/2024</t>
  </si>
  <si>
    <t>1. NY Fed 1-Year Consumer Inflation Expectations (Aug), 2. Atlanta Fed GDPNow (Q3), 3. Consumer Credit (Jul)</t>
  </si>
  <si>
    <t>9.80*2.5</t>
  </si>
  <si>
    <t xml:space="preserve"> 09/5/2024</t>
  </si>
  <si>
    <t>1. ADP Nonfarm Employment Change (Aug), 2. Initial Jobless Claims, 3. ISM Non-Manufacturing PMI (Aug), 4. ISM Non-Manufacturing Prices (Aug), 5. Crude Oil Inventories</t>
  </si>
  <si>
    <t>1. Average Hourly Earnings (MoM) (Aug), 2. Nonfarm Payrolls (Aug), 3. Unemployment Rate (Aug)</t>
  </si>
  <si>
    <t>9.54*2.5</t>
  </si>
  <si>
    <t xml:space="preserve"> 09/3/2024</t>
  </si>
  <si>
    <t>1. ISM Manufacturing Prices (Aug), 2. ISM Manufacturing PMI (Aug)</t>
  </si>
  <si>
    <t>1. JOLTS Job Openings (Jul)</t>
  </si>
  <si>
    <t xml:space="preserve"> 09/4/2024</t>
  </si>
  <si>
    <t xml:space="preserve"> 08/16/2024</t>
  </si>
  <si>
    <t xml:space="preserve">1. Crude Oil Inventories, 2. FOMC Meeting Minutes </t>
  </si>
  <si>
    <t xml:space="preserve"> 08/19/2024</t>
  </si>
  <si>
    <t>10.01*2.5</t>
  </si>
  <si>
    <t xml:space="preserve"> 08/13/2024</t>
  </si>
  <si>
    <t>1. PPI (MoM) (Jul)</t>
  </si>
  <si>
    <t>1. CPI (YoY) (Jul), 2. Core CPI (MoM) (Jul), 3. CPI (YoY) (Jul), 4. CPI (MoM) (Jul), 5. Crude Oil Inventories</t>
  </si>
  <si>
    <t xml:space="preserve"> 08/14/2024</t>
  </si>
  <si>
    <t>9.79*2.5</t>
  </si>
  <si>
    <t xml:space="preserve"> 08/5/2024</t>
  </si>
  <si>
    <t>1. ISM Non-Manufacturing PMI (Jul), 2. ISM Non-Manufacturing Prices (Jul)</t>
  </si>
  <si>
    <t>1. Crude Oil Inventories, 2. 10-Year Note Auction</t>
  </si>
  <si>
    <t xml:space="preserve"> 08/6/2024</t>
  </si>
  <si>
    <t>8.41*2.5</t>
  </si>
  <si>
    <t>1. BoE Interest Rate Decision (Aug), 2. Initial Jobless Claims, 3. ISM Manufacturing PMI (Jul), 4. ISM Manufacturing Prices (Jul)</t>
  </si>
  <si>
    <t>1. Average Hourly Earnings (MoM) (Jul), 2. Nonfarm Payrolls (Jul), 3. Unemployment Rate (Jul)</t>
  </si>
  <si>
    <t xml:space="preserve"> 08/2/2024</t>
  </si>
  <si>
    <t xml:space="preserve"> 08/1/2024</t>
  </si>
  <si>
    <t>7.75*2.5</t>
  </si>
  <si>
    <t xml:space="preserve">1. CB Consumer Confidence (Jul), 2. JOLTS Job Openings (Jun)	</t>
  </si>
  <si>
    <t xml:space="preserve">1. ADP Nonfarm Employment Change (Jul), 2. Chicago PMI (Jul), 3. Crude Oil Inventories, 4. FOMC Statement  , 5. Fed Interest Rate Decision, 6. FOMC Press Conference </t>
  </si>
  <si>
    <t>7.6*2.5</t>
  </si>
  <si>
    <t>1. Existing Home Sales (Jun)</t>
  </si>
  <si>
    <t xml:space="preserve">1. New Home Sales (Jun), 2. Crude Oil Inventories, 3. U.S. President Biden Speaks  </t>
  </si>
  <si>
    <t>7.57*2.5</t>
  </si>
  <si>
    <t xml:space="preserve">1. ADP Nonfarm Employment Change (Jun), 2. Initial Jobless Claims, 3. ISM Non-Manufacturing PMI (Jun), 4. ISM Non-Manufacturing Prices (Jun), 5. Crude Oil Inventories, 6. FOMC Meeting Minutes </t>
  </si>
  <si>
    <t xml:space="preserve">1. Average Hourly Earnings (MoM) (Jun), 2. Nonfarm Payrolls (Jun), 3. Unemployment Rate (Jun), 4. Fed Monetary Policy Report </t>
  </si>
  <si>
    <t>8.2*2.5</t>
  </si>
  <si>
    <t>1. ISM Manufacturing PMI (Jun), 2. ISM Manufacturing Prices (Jun)</t>
  </si>
  <si>
    <t>1. Fed Chair Powell Speaks , 2. JOLTS Job Openings (May)</t>
  </si>
  <si>
    <t>8.27*2.5</t>
  </si>
  <si>
    <t xml:space="preserve">1. Durable Goods Orders (MoM) (May), 2. GDP (QoQ) (Q1), 3. Initial Jobless Claims, 4. U.S. President Biden Speaks </t>
  </si>
  <si>
    <t>1. GDP (QoQ) (Q1), 2. GDP (YoY) (Q1), 3. Core PCE Price Index (MoM) (May), 4. Core PCE Price Index (YoY) (May), 5. Chicago PMI (Jun)</t>
  </si>
  <si>
    <t>8.31*2.5</t>
  </si>
  <si>
    <t>1. New Home Sales (May), 2. Crude Oil Inventories</t>
  </si>
  <si>
    <t>8.29*2.5</t>
  </si>
  <si>
    <t>1. Core Retail Sales (MoM) (May), 2. Retail Sales (MoM) (May)</t>
  </si>
  <si>
    <t>8.21*2.5</t>
  </si>
  <si>
    <t>1. 3-Year Note Auction, 2. NY Fed 1-Year Consumer Inflation Expectations, 3. Mortgage Rate (GBP) (May)</t>
  </si>
  <si>
    <t>1. 10-Year Note Auction</t>
  </si>
  <si>
    <t>8.08*2.5</t>
  </si>
  <si>
    <t>1. Average Hourly Earnings (MoM) (May), 2. Nonfarm Payrolls (May), 3. Unemployment Rate (May)</t>
  </si>
  <si>
    <t>8.01*2.5</t>
  </si>
  <si>
    <t>1. GDP (QoQ) (Q1) , 2. Initial Jobless Claims, 3. Crude Oil Inventories</t>
  </si>
  <si>
    <t>1. Core PCE Price Index (MoM) (Apr), 2. Core PCE Price Index (YoY) (Apr), 3. Chicago PMI (May)</t>
  </si>
  <si>
    <t>8.13*2.5</t>
  </si>
  <si>
    <t xml:space="preserve">1. FOMC Member Williams Speaks  </t>
  </si>
  <si>
    <t>1. CB Consumer Confidence (May)</t>
  </si>
  <si>
    <t>8.75*2.5</t>
  </si>
  <si>
    <t>1. Core CPI (MoM) (Apr), 2. Core Retail Sales (MoM) (Apr), 3. CPI (YoY) (Apr), 4. CPI (MoM) (Apr), 5. Retail Sales (MoM) (Apr), 6. Crude Oil Inventories</t>
  </si>
  <si>
    <t>1. Initial Jobless Claims, 2. Philadelphia Fed Manufacturing Index (May)</t>
  </si>
  <si>
    <t>9.73*2.5</t>
  </si>
  <si>
    <t xml:space="preserve">1. PPI (MoM) (Apr), 2. Fed Chair Powell Speaks </t>
  </si>
  <si>
    <t>9.83*2.5</t>
  </si>
  <si>
    <t>1. BoE Interest Rate Decision (Apr), 2. Initial Jobless Claims, 3. 30-Year Bond Auction</t>
  </si>
  <si>
    <t xml:space="preserve">1. GDP (MoM) (Mar), 2. GDP (YoY) (Q1) , 3. GDP (QoQ) (Q1) </t>
  </si>
  <si>
    <t>10.14*2.5</t>
  </si>
  <si>
    <t>10.41*2.5</t>
  </si>
  <si>
    <t>1. Average Hourly Earnings (MoM) (Apr), 2. Nonfarm Payrolls (Apr), 3. Unemployment Rate (Apr), 4. ISM Non-Manufacturing PMI (Apr), 5. ISM Non-Manufacturing Prices (Apr)</t>
  </si>
  <si>
    <t>1. FOMC Member Williams Speaks, 2. BRC Retail Sales Monitor (YoY) (Apr)</t>
  </si>
  <si>
    <t>10.32*2.5</t>
  </si>
  <si>
    <t xml:space="preserve">1. Core PCE Price Index (MoM) (Mar), 2. Core PCE Price Index (YoY) (Mar) </t>
  </si>
  <si>
    <t>1. Chicago PMI (Apr), 2. CB Consumer Confidence (Apr)</t>
  </si>
  <si>
    <t>1. GDP (QoQ) (Q1) , 2. Initial Jobless Claims</t>
  </si>
  <si>
    <t>9.46*2.5</t>
  </si>
  <si>
    <t>1. New Home Sales (Mar)</t>
  </si>
  <si>
    <t>9.13*2.5</t>
  </si>
  <si>
    <t>1. GDP (MoM) (Feb)</t>
  </si>
  <si>
    <t>1. Core Retail Sales (MoM) (Mar), 2. Retail Sales (MoM) (Mar)</t>
  </si>
  <si>
    <t>8.45*2.5</t>
  </si>
  <si>
    <t xml:space="preserve">1. Core CPI (MoM) (Mar), 2. CPI (YoY) (Mar), 3. CPI (MoM) (Mar), 4. Crude Oil Inventories, 5. 10-Year Note Auction, 6. FOMC Meeting Minutes  </t>
  </si>
  <si>
    <t>1. Initial Jobless Claims, 2. PPI (MoM) (Mar), 3. 30-Year Bond Auction</t>
  </si>
  <si>
    <t>8.15*2.5</t>
  </si>
  <si>
    <t>1. EIA Short-Term Energy Outlook, 2. 3-Year Note Auction, 3. API Weekly Crude Oil Stock</t>
  </si>
  <si>
    <t>8.24*2.5</t>
  </si>
  <si>
    <t>1. Average Hourly Earnings (MoM) (Mar), 2. Nonfarm Payrolls (Mar), 3. Unemployment Rate (Mar)</t>
  </si>
  <si>
    <t>8.26*2.5</t>
  </si>
  <si>
    <t>1. ISM Manufacturing PMI (Mar), 2. ISM Manufacturing Prices (Mar)</t>
  </si>
  <si>
    <t xml:space="preserve">1. ADP Nonfarm Employment Change (Mar), 2. ISM Non-Manufacturing PMI (Mar), 3. ISM Non-Manufacturing Prices (Mar), 4. Crude Oil Inventories, 5. Fed Chair Powell Speaks  </t>
  </si>
  <si>
    <t>8.34*2.5</t>
  </si>
  <si>
    <t xml:space="preserve">1. Fed Chair Powell Speaks </t>
  </si>
  <si>
    <t>1. New Home Sales (Feb)</t>
  </si>
  <si>
    <t>8.43*2.5</t>
  </si>
  <si>
    <t>1. BoE Interest Rate Decision (Mar), 2. Initial Jobless Claims, 3. Existing Home Sales (Feb)</t>
  </si>
  <si>
    <t>8.46*2.5</t>
  </si>
  <si>
    <t>1. Building Permits (Feb) , 2. Housing Starts (Feb), 3. Housing Starts (MoM) (Feb), 4. Atlanta Fed GDPNow (Q1) , 5. 20-Year Bond Auction, 6. TIC Net Long-Term Transactions (Jan), 7. API Weekly Crude Oil Stock</t>
  </si>
  <si>
    <t xml:space="preserve">1. CPI (YoY) (Feb), 2. Crude Oil Inventories, 3. FOMC Economic Projections , 4. FOMC Statement, 5. Fed Interest Rate Decision, 6. FOMC Press Conference </t>
  </si>
  <si>
    <t>8.50*2.5</t>
  </si>
  <si>
    <t>8.64*2.5</t>
  </si>
  <si>
    <t xml:space="preserve">1. Initial Jobless Claims, 2. Fed Chair Powell Testifies , 3. U.S. President Biden Speaks </t>
  </si>
  <si>
    <t>1. Average Hourly Earnings (MoM) (Feb), 2. Nonfarm Payrolls (Feb), 3. Unemployment Rate (Feb)</t>
  </si>
  <si>
    <t>8.8*2.5</t>
  </si>
  <si>
    <t>1. Spring Forecast Statement , 2. ADP Nonfarm Employment Change (Feb), 3. Fed Chair Powell Testifies , 4. JOLTS Job Openings (Jan), 5. Crude Oil Inventories</t>
  </si>
  <si>
    <t>8.81*2.5</t>
  </si>
  <si>
    <t>1. ISM Non-Manufacturing PMI (Feb), 2. ISM Non-Manufacturing Prices (Feb)</t>
  </si>
  <si>
    <t>8.85*2.5</t>
  </si>
  <si>
    <t>1. FOMC Member Harker Speaks  , 2. BRC Retail Sales Monitor (YoY) (Feb)</t>
  </si>
  <si>
    <t>9.04*2.5</t>
  </si>
  <si>
    <t>1. Fed Monetary Policy Report, 2. ISM Manufacturing PMI (Feb), 3. ISM Manufacturing Prices (Feb)</t>
  </si>
  <si>
    <t>9.26*2.5</t>
  </si>
  <si>
    <t>1. Core PCE Price Index (YoY) (Jan), 2. Core PCE Price Index (MoM) (Jan), 3. Initial Jobless Claims, 4. Chicago PMI (Feb)</t>
  </si>
  <si>
    <t>9.40*2.5</t>
  </si>
  <si>
    <t>1. U.S. Baker Hughes Oil Rig Count, 2. U.S. Baker Hughes Total Rig Count, 3. CFTC GBP speculative net positions, 3. CFTC Crude Oil speculative net positions, 4. CFTC Gold speculative net positions, 5. CFTC Nasdaq 100 speculative net positions, 6. CFTC S&amp;P 500 speculative net positions</t>
  </si>
  <si>
    <t>1. New Home Sales (Jan)</t>
  </si>
  <si>
    <t>9.85*2.5</t>
  </si>
  <si>
    <t>1. Initial Jobless Claims, 2. Existing Home Sales (Jan), 3. Crude Oil Inventories</t>
  </si>
  <si>
    <t>1. BoE MPC Treasury Committee Hearings, 2. BoE Gov Bailey Speaks , 3. BoE MPC Member Broadbent Speaks , 4. US Leading Index (MoM) (Jan)</t>
  </si>
  <si>
    <t xml:space="preserve">1. FOMC Meeting Minutes </t>
  </si>
  <si>
    <t>1. CPI (YoY) (Jan), 2. Crude Oil Inventories</t>
  </si>
  <si>
    <t>1. GDP (QoQ) (Q4), 2. GDP (MoM) (Dec), 3. GDP (YoY) (Q4) , 4. Core Retail Sales (MoM) (Jan), 5. Initial Jobless Claims, 6. Philadelphia Fed Manufacturing Index (Feb), 7. Retail Sales (MoM) (Jan)</t>
  </si>
  <si>
    <t>10.49*2.5</t>
  </si>
  <si>
    <t>1. Core CPI (MoM) (Jan), 2. CPI (YoY) (Jan), 3. CPI (MoM) (Jan)</t>
  </si>
  <si>
    <t>10.56*2.5</t>
  </si>
  <si>
    <t>1. FOMC Member Bowman Speaks , 2. NY Fed 1-Year Consumer Inflation Expectations, 3. BoE Gov Bailey Speaks , 4. FOMC Member Kashkari Speaks , 5. Federal Budget Balance (Jan)</t>
  </si>
  <si>
    <t>10.61*2.5</t>
  </si>
  <si>
    <t>1. 	ISM Non-Manufacturing PMI (Jan), 2. ISM Non-Manufacturing Prices (Jan)</t>
  </si>
  <si>
    <t>1. EIA Short-Term Energy Outlook, 2. FOMC Member Mester Speaks , 3. 3-Year Note Auction, 4. FOMC Member Kashkari Speaks, 5. API Weekly Crude Oil Stock</t>
  </si>
  <si>
    <t>11.12*2.5</t>
  </si>
  <si>
    <t>1. Average Hourly Earnings (MoM) (Jan), 2. Nonfarm Payrolls (Jan), 3. Unemployment Rate (Jan)</t>
  </si>
  <si>
    <t>11.1*2.5</t>
  </si>
  <si>
    <t>1. BoE Interest Rate Decision (Jan), 2. Initial Jobless Claims, 3. ISM Manufacturing PMI (Jan), 4. ISM Manufacturing Prices (Jan)</t>
  </si>
  <si>
    <t>11.05*2.5</t>
  </si>
  <si>
    <t>1. ADP Nonfarm Employment Change (Jan), 2. Chicago PMI (Jan), 3. Crude Oil Inventories, 4. FOMC Statement, 5. Fed Interest Rate Decision, 6. FOMC Press Conference</t>
  </si>
  <si>
    <t>10.98*2.5</t>
  </si>
  <si>
    <t>1. CB Consumer Confidence (Jan), 2. JOLTS Job Openings (Dec)</t>
  </si>
  <si>
    <t>11.11*2.5</t>
  </si>
  <si>
    <t>1. Core PCE Price Index (YoY) (Dec), 2. Core PCE Price Index (MoM) (Dec)</t>
  </si>
  <si>
    <t>11.31*2.5</t>
  </si>
  <si>
    <t>1. Crude Oil Inventories</t>
  </si>
  <si>
    <t>1. Durable Goods Orders (MoM) (Dec), 2. GDP (QoQ) (Q4), 3. Initial Jobless Claims, 4. New Home Sales (Dec)</t>
  </si>
  <si>
    <t>11.36*.25</t>
  </si>
  <si>
    <t>1. 2-Year Note Auction, 2. API Weekly Crude Oil Stock</t>
  </si>
  <si>
    <t>11.60*2.5</t>
  </si>
  <si>
    <t>1. CPI (YoY) (Dec), 2. Core Retail Sales (MoM) (Dec), 3. Retail Sales (MoM) (Dec)</t>
  </si>
  <si>
    <t>1. Initial Jobless Claims, 2. Philadelphia Fed Manufacturing Index (Jan), 3. Crude Oil Inventories</t>
  </si>
  <si>
    <t>11.76*2.5</t>
  </si>
  <si>
    <t>11.81*2.5</t>
  </si>
  <si>
    <t>1. Core CPI (MoM) (Dec), 2. CPI (MoM) (Dec), 3. CPI (YoY) (Dec), 4. Initial Jobless Claims, 5. 30-Year Bond Auction</t>
  </si>
  <si>
    <t>1. GDP (MoM) (Nov), 2. PPI (MoM) (Dec)</t>
  </si>
  <si>
    <t>12.30*2.5</t>
  </si>
  <si>
    <t>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</si>
</sst>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h:mm:ss;@"/>
    <numFmt numFmtId="165" formatCode="&quot;$&quot;#,##0.00"/>
    <numFmt numFmtId="167" formatCode="h:mm;@"/>
    <numFmt numFmtId="168" formatCode="yyyy\-mm\-dd;@"/>
    <numFmt numFmtId="169" formatCode="0.0000"/>
  </numFmts>
  <fonts count="4" x14ac:knownFonts="1">
    <font>
      <sz val="11"/>
      <color theme="1"/>
      <name val="Aptos Narrow"/>
      <family val="2"/>
      <scheme val="minor"/>
    </font>
    <font>
      <b/>
      <sz val="12"/>
      <color theme="1"/>
      <name val="Aptos Narrow"/>
      <family val="2"/>
      <scheme val="minor"/>
    </font>
    <font>
      <sz val="12"/>
      <color theme="1"/>
      <name val="Aptos Narrow"/>
      <family val="2"/>
      <scheme val="minor"/>
    </font>
    <font>
      <sz val="28"/>
      <color theme="1"/>
      <name val="Aptos Narrow"/>
      <family val="2"/>
      <scheme val="minor"/>
    </font>
  </fonts>
  <fills count="2">
    <fill>
      <patternFill patternType="none"/>
    </fill>
    <fill>
      <patternFill patternType="gray125"/>
    </fill>
  </fills>
  <borders count="2">
    <border>
      <left/>
      <right/>
      <top/>
      <bottom/>
      <diagonal/>
    </border>
    <border>
      <left/>
      <right/>
      <top style="thin">
        <color theme="4" tint="0.39997558519241921"/>
      </top>
      <bottom style="thin">
        <color theme="4" tint="0.39997558519241921"/>
      </bottom>
      <diagonal/>
    </border>
  </borders>
  <cellStyleXfs count="1">
    <xf numFmtId="0" fontId="0" fillId="0" borderId="0"/>
  </cellStyleXfs>
  <cellXfs count="16">
    <xf numFmtId="0" fontId="0" fillId="0" borderId="0" xfId="0"/>
    <xf numFmtId="0" fontId="1" fillId="0" borderId="0" xfId="0" applyFont="1" applyAlignment="1">
      <alignment horizontal="center" vertical="center"/>
    </xf>
    <xf numFmtId="14" fontId="1" fillId="0" borderId="0" xfId="0" applyNumberFormat="1" applyFont="1" applyAlignment="1">
      <alignment horizontal="center" vertical="center"/>
    </xf>
    <xf numFmtId="164" fontId="1" fillId="0" borderId="0" xfId="0" applyNumberFormat="1" applyFont="1" applyAlignment="1">
      <alignment horizontal="center" vertical="center"/>
    </xf>
    <xf numFmtId="165" fontId="1" fillId="0" borderId="0" xfId="0" applyNumberFormat="1" applyFont="1" applyAlignment="1">
      <alignment horizontal="center" vertical="center"/>
    </xf>
    <xf numFmtId="0" fontId="0" fillId="0" borderId="0" xfId="0" applyAlignment="1">
      <alignment horizontal="center" vertical="center"/>
    </xf>
    <xf numFmtId="14" fontId="0" fillId="0" borderId="0" xfId="0" applyNumberFormat="1" applyAlignment="1">
      <alignment horizontal="center" vertical="center"/>
    </xf>
    <xf numFmtId="164" fontId="0" fillId="0" borderId="0" xfId="0" applyNumberFormat="1" applyAlignment="1">
      <alignment horizontal="center" vertical="center"/>
    </xf>
    <xf numFmtId="165" fontId="0" fillId="0" borderId="0" xfId="0" applyNumberFormat="1" applyAlignment="1">
      <alignment horizontal="center" vertical="center"/>
    </xf>
    <xf numFmtId="167" fontId="0" fillId="0" borderId="0" xfId="0" applyNumberFormat="1" applyAlignment="1">
      <alignment horizontal="center" vertical="center"/>
    </xf>
    <xf numFmtId="0" fontId="2" fillId="0" borderId="0" xfId="0" applyFont="1" applyAlignment="1">
      <alignment horizontal="center" vertical="center"/>
    </xf>
    <xf numFmtId="14" fontId="0" fillId="0" borderId="0" xfId="0" applyNumberFormat="1" applyAlignment="1">
      <alignment horizontal="center"/>
    </xf>
    <xf numFmtId="0" fontId="3" fillId="0" borderId="0" xfId="0" applyFont="1" applyAlignment="1">
      <alignment horizontal="center" vertical="center"/>
    </xf>
    <xf numFmtId="168" fontId="0" fillId="0" borderId="0" xfId="0" applyNumberFormat="1" applyAlignment="1">
      <alignment horizontal="center" vertical="center"/>
    </xf>
    <xf numFmtId="165" fontId="0" fillId="0" borderId="1" xfId="0" applyNumberFormat="1" applyBorder="1" applyAlignment="1">
      <alignment horizontal="center" vertical="center"/>
    </xf>
    <xf numFmtId="169" fontId="0" fillId="0" borderId="0" xfId="0" applyNumberFormat="1" applyAlignment="1">
      <alignment horizontal="center" vertical="center"/>
    </xf>
  </cellXfs>
  <cellStyles count="1">
    <cellStyle name="Normal" xfId="0" builtinId="0"/>
  </cellStyles>
  <dxfs count="142">
    <dxf>
      <font>
        <sz val="12"/>
      </font>
      <alignment horizontal="center" vertical="center" textRotation="0" wrapText="0" indent="0" justifyLastLine="0" shrinkToFit="0" readingOrder="0"/>
    </dxf>
    <dxf>
      <font>
        <strike val="0"/>
        <outline val="0"/>
        <shadow val="0"/>
        <u val="none"/>
        <vertAlign val="baseline"/>
        <sz val="12"/>
        <color theme="1"/>
        <name val="Aptos Narrow"/>
        <family val="2"/>
        <scheme val="minor"/>
      </font>
      <alignment horizontal="center" vertical="center" textRotation="0" wrapText="0" indent="0" justifyLastLine="0" shrinkToFit="0" readingOrder="0"/>
    </dxf>
    <dxf>
      <numFmt numFmtId="165" formatCode="&quot;$&quot;#,##0.00"/>
      <alignment horizontal="center" vertical="center" textRotation="0" wrapText="0" indent="0" justifyLastLine="0" shrinkToFit="0" readingOrder="0"/>
    </dxf>
    <dxf>
      <numFmt numFmtId="165" formatCode="&quot;$&quot;#,##0.00"/>
      <alignment horizontal="center" vertical="center" textRotation="0" wrapText="0" indent="0" justifyLastLine="0" shrinkToFit="0" readingOrder="0"/>
    </dxf>
    <dxf>
      <numFmt numFmtId="165" formatCode="&quot;$&quot;#,##0.00"/>
      <alignment horizontal="center" vertical="center" textRotation="0" wrapText="0" indent="0" justifyLastLine="0" shrinkToFit="0" readingOrder="0"/>
    </dxf>
    <dxf>
      <numFmt numFmtId="165" formatCode="&quot;$&quot;#,##0.00"/>
      <alignment horizontal="center" vertical="center" textRotation="0" wrapText="0" indent="0" justifyLastLine="0" shrinkToFit="0" readingOrder="0"/>
    </dxf>
    <dxf>
      <numFmt numFmtId="165" formatCode="&quot;$&quot;#,##0.00"/>
      <alignment horizontal="center" vertical="center" textRotation="0" wrapText="0" indent="0" justifyLastLine="0" shrinkToFit="0" readingOrder="0"/>
    </dxf>
    <dxf>
      <numFmt numFmtId="165" formatCode="&quot;$&quot;#,##0.00"/>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numFmt numFmtId="19" formatCode="m/d/yyyy"/>
      <alignment horizontal="center" vertical="center" textRotation="0" wrapText="0" indent="0" justifyLastLine="0" shrinkToFit="0" readingOrder="0"/>
    </dxf>
    <dxf>
      <numFmt numFmtId="165" formatCode="&quot;$&quot;#,##0.00"/>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numFmt numFmtId="165" formatCode="&quot;$&quot;#,##0.00"/>
      <alignment horizontal="center" vertical="center" textRotation="0" wrapText="0" indent="0" justifyLastLine="0" shrinkToFit="0" readingOrder="0"/>
    </dxf>
    <dxf>
      <numFmt numFmtId="165" formatCode="&quot;$&quot;#,##0.00"/>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numFmt numFmtId="165" formatCode="&quot;$&quot;#,##0.00"/>
      <alignment horizontal="center" vertical="center" textRotation="0" wrapText="0" indent="0" justifyLastLine="0" shrinkToFit="0" readingOrder="0"/>
    </dxf>
    <dxf>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numFmt numFmtId="164" formatCode="h:mm:ss;@"/>
      <alignment horizontal="center" vertical="center" textRotation="0" wrapText="0" indent="0" justifyLastLine="0" shrinkToFit="0" readingOrder="0"/>
    </dxf>
    <dxf>
      <numFmt numFmtId="164" formatCode="h:mm:ss;@"/>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numFmt numFmtId="19" formatCode="m/d/yyyy"/>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font>
        <b/>
        <i val="0"/>
        <strike val="0"/>
        <condense val="0"/>
        <extend val="0"/>
        <outline val="0"/>
        <shadow val="0"/>
        <u val="none"/>
        <vertAlign val="baseline"/>
        <sz val="12"/>
        <color theme="1"/>
        <name val="Aptos Narrow"/>
        <family val="2"/>
        <scheme val="minor"/>
      </font>
      <alignment horizontal="center" vertical="center" textRotation="0" wrapText="0" indent="0" justifyLastLine="0" shrinkToFit="0" readingOrder="0"/>
    </dxf>
    <dxf>
      <numFmt numFmtId="165" formatCode="&quot;$&quot;#,##0.00"/>
      <alignment horizontal="center" vertical="center" textRotation="0" wrapText="0" indent="0" justifyLastLine="0" shrinkToFit="0" readingOrder="0"/>
    </dxf>
    <dxf>
      <numFmt numFmtId="165" formatCode="&quot;$&quot;#,##0.00"/>
      <alignment horizontal="center" vertical="center" textRotation="0" wrapText="0" indent="0" justifyLastLine="0" shrinkToFit="0" readingOrder="0"/>
    </dxf>
    <dxf>
      <numFmt numFmtId="165" formatCode="&quot;$&quot;#,##0.00"/>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numFmt numFmtId="19" formatCode="m/d/yyyy"/>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numFmt numFmtId="165" formatCode="&quot;$&quot;#,##0.00"/>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numFmt numFmtId="165" formatCode="&quot;$&quot;#,##0.00"/>
      <alignment horizontal="center" vertical="center" textRotation="0" wrapText="0" indent="0" justifyLastLine="0" shrinkToFit="0" readingOrder="0"/>
    </dxf>
    <dxf>
      <numFmt numFmtId="165" formatCode="&quot;$&quot;#,##0.00"/>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numFmt numFmtId="165" formatCode="&quot;$&quot;#,##0.00"/>
      <alignment horizontal="center" vertical="center" textRotation="0" wrapText="0" indent="0" justifyLastLine="0" shrinkToFit="0" readingOrder="0"/>
    </dxf>
    <dxf>
      <numFmt numFmtId="165" formatCode="&quot;$&quot;#,##0.00"/>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numFmt numFmtId="164" formatCode="h:mm:ss;@"/>
      <alignment horizontal="center" vertical="center" textRotation="0" wrapText="0" indent="0" justifyLastLine="0" shrinkToFit="0" readingOrder="0"/>
    </dxf>
    <dxf>
      <numFmt numFmtId="164" formatCode="h:mm:ss;@"/>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numFmt numFmtId="19" formatCode="m/d/yyyy"/>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font>
        <b/>
        <i val="0"/>
        <strike val="0"/>
        <condense val="0"/>
        <extend val="0"/>
        <outline val="0"/>
        <shadow val="0"/>
        <u val="none"/>
        <vertAlign val="baseline"/>
        <sz val="12"/>
        <color theme="1"/>
        <name val="Aptos Narrow"/>
        <family val="2"/>
        <scheme val="minor"/>
      </font>
      <alignment horizontal="center" vertical="center" textRotation="0" wrapText="0" indent="0" justifyLastLine="0" shrinkToFit="0" readingOrder="0"/>
    </dxf>
    <dxf>
      <font>
        <sz val="12"/>
      </font>
      <alignment horizontal="center" vertical="center" textRotation="0" wrapText="0" indent="0" justifyLastLine="0" shrinkToFit="0" readingOrder="0"/>
    </dxf>
    <dxf>
      <font>
        <strike val="0"/>
        <outline val="0"/>
        <shadow val="0"/>
        <u val="none"/>
        <vertAlign val="baseline"/>
        <sz val="12"/>
        <color theme="1"/>
        <name val="Aptos Narrow"/>
        <family val="2"/>
        <scheme val="minor"/>
      </font>
      <alignment horizontal="center" vertical="center" textRotation="0" wrapText="0" indent="0" justifyLastLine="0" shrinkToFit="0" readingOrder="0"/>
    </dxf>
    <dxf>
      <numFmt numFmtId="165" formatCode="&quot;$&quot;#,##0.00"/>
      <alignment horizontal="center" vertical="center" textRotation="0" wrapText="0" indent="0" justifyLastLine="0" shrinkToFit="0" readingOrder="0"/>
    </dxf>
    <dxf>
      <numFmt numFmtId="165" formatCode="&quot;$&quot;#,##0.00"/>
      <alignment horizontal="center" vertical="center" textRotation="0" wrapText="0" indent="0" justifyLastLine="0" shrinkToFit="0" readingOrder="0"/>
    </dxf>
    <dxf>
      <numFmt numFmtId="165" formatCode="&quot;$&quot;#,##0.00"/>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numFmt numFmtId="19" formatCode="m/d/yyyy"/>
      <alignment horizontal="center" vertical="center" textRotation="0" wrapText="0" indent="0" justifyLastLine="0" shrinkToFit="0" readingOrder="0"/>
    </dxf>
    <dxf>
      <numFmt numFmtId="165" formatCode="&quot;$&quot;#,##0.00"/>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numFmt numFmtId="165" formatCode="&quot;$&quot;#,##0.00"/>
      <alignment horizontal="center" vertical="center" textRotation="0" wrapText="0" indent="0" justifyLastLine="0" shrinkToFit="0" readingOrder="0"/>
    </dxf>
    <dxf>
      <numFmt numFmtId="165" formatCode="&quot;$&quot;#,##0.00"/>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numFmt numFmtId="165" formatCode="&quot;$&quot;#,##0.00"/>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numFmt numFmtId="167" formatCode="h:mm;@"/>
      <alignment horizontal="center" vertical="center" textRotation="0" wrapText="0" indent="0" justifyLastLine="0" shrinkToFit="0" readingOrder="0"/>
    </dxf>
    <dxf>
      <numFmt numFmtId="167" formatCode="h:mm;@"/>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numFmt numFmtId="19" formatCode="m/d/yyyy"/>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font>
        <b/>
        <i val="0"/>
        <strike val="0"/>
        <condense val="0"/>
        <extend val="0"/>
        <outline val="0"/>
        <shadow val="0"/>
        <u val="none"/>
        <vertAlign val="baseline"/>
        <sz val="12"/>
        <color theme="1"/>
        <name val="Aptos Narrow"/>
        <family val="2"/>
        <scheme val="minor"/>
      </font>
      <alignment horizontal="center" vertical="center" textRotation="0" wrapText="0" indent="0" justifyLastLine="0" shrinkToFit="0" readingOrder="0"/>
    </dxf>
    <dxf>
      <numFmt numFmtId="165" formatCode="&quot;$&quot;#,##0.00"/>
      <alignment horizontal="center" vertical="center" textRotation="0" wrapText="0" indent="0" justifyLastLine="0" shrinkToFit="0" readingOrder="0"/>
    </dxf>
    <dxf>
      <numFmt numFmtId="165" formatCode="&quot;$&quot;#,##0.00"/>
      <alignment horizontal="center" vertical="center" textRotation="0" wrapText="0" indent="0" justifyLastLine="0" shrinkToFit="0" readingOrder="0"/>
    </dxf>
    <dxf>
      <numFmt numFmtId="165" formatCode="&quot;$&quot;#,##0.00"/>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numFmt numFmtId="19" formatCode="m/d/yyyy"/>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numFmt numFmtId="165" formatCode="&quot;$&quot;#,##0.00"/>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numFmt numFmtId="165" formatCode="&quot;$&quot;#,##0.00"/>
      <alignment horizontal="center" vertical="center" textRotation="0" wrapText="0" indent="0" justifyLastLine="0" shrinkToFit="0" readingOrder="0"/>
    </dxf>
    <dxf>
      <numFmt numFmtId="165" formatCode="&quot;$&quot;#,##0.00"/>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numFmt numFmtId="165" formatCode="&quot;$&quot;#,##0.00"/>
      <alignment horizontal="center" vertical="center" textRotation="0" wrapText="0" indent="0" justifyLastLine="0" shrinkToFit="0" readingOrder="0"/>
    </dxf>
    <dxf>
      <numFmt numFmtId="165" formatCode="&quot;$&quot;#,##0.00"/>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numFmt numFmtId="164" formatCode="h:mm:ss;@"/>
      <alignment horizontal="center" vertical="center" textRotation="0" wrapText="0" indent="0" justifyLastLine="0" shrinkToFit="0" readingOrder="0"/>
    </dxf>
    <dxf>
      <numFmt numFmtId="164" formatCode="h:mm:ss;@"/>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numFmt numFmtId="19" formatCode="m/d/yyyy"/>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font>
        <b/>
        <i val="0"/>
        <strike val="0"/>
        <condense val="0"/>
        <extend val="0"/>
        <outline val="0"/>
        <shadow val="0"/>
        <u val="none"/>
        <vertAlign val="baseline"/>
        <sz val="12"/>
        <color theme="1"/>
        <name val="Aptos Narrow"/>
        <family val="2"/>
        <scheme val="minor"/>
      </font>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D1C0BDE-0037-4653-88CF-7B0B8EF93C16}" name="Table2" displayName="Table2" ref="A1:AK85" totalsRowShown="0" headerRowDxfId="141" dataDxfId="140">
  <autoFilter ref="A1:AK85" xr:uid="{96B9BE8E-EB32-44C8-B96C-4E5F77977333}">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filterColumn colId="33" hiddenButton="1"/>
    <filterColumn colId="34" hiddenButton="1"/>
    <filterColumn colId="35" hiddenButton="1"/>
    <filterColumn colId="36" hiddenButton="1"/>
  </autoFilter>
  <tableColumns count="37">
    <tableColumn id="1" xr3:uid="{24C052C2-9EE2-447A-932C-7C4CB979EFE1}" name="Trade ID" dataDxfId="139"/>
    <tableColumn id="2" xr3:uid="{F08128A3-D630-431E-9386-EE9B1BF17DCF}" name="Date" dataDxfId="138"/>
    <tableColumn id="3" xr3:uid="{6D4DBDC7-E71F-4375-9166-F3638D4AC8F0}" name="STR Type (1)" dataDxfId="137"/>
    <tableColumn id="4" xr3:uid="{5F5C570F-6748-4020-867F-1A01B8F47BD2}" name="Trade Exec?" dataDxfId="136"/>
    <tableColumn id="5" xr3:uid="{199B30BC-0AC5-4F40-B72F-84597A25FB8B}" name="IF NO, Reason" dataDxfId="135"/>
    <tableColumn id="6" xr3:uid="{D464C60B-AF98-43A9-B906-3D164A458DF3}" name="Trade Type" dataDxfId="134"/>
    <tableColumn id="8" xr3:uid="{3E1AF905-45E8-4650-ACB3-A3204530176D}" name="Entry Time" dataDxfId="133"/>
    <tableColumn id="9" xr3:uid="{92086281-E890-4397-AE85-B3E871CCBCD4}" name="Exit Time" dataDxfId="132"/>
    <tableColumn id="10" xr3:uid="{B8761305-2A69-43E1-BF0F-3E7E97FC7960}" name="Entry Price" dataDxfId="131"/>
    <tableColumn id="11" xr3:uid="{371C2692-5404-465B-8844-4DE7CE700CAD}" name="Exit Price" dataDxfId="130"/>
    <tableColumn id="27" xr3:uid="{A04EC34D-F17D-4A7E-A9A2-75B456F5C092}" name="SP $" dataDxfId="129"/>
    <tableColumn id="28" xr3:uid="{B36AF339-85B0-44BB-ABA0-EBFC9452B6D4}" name="TP $" dataDxfId="128"/>
    <tableColumn id="12" xr3:uid="{975745E5-0D8A-4909-A983-95796EA42F25}" name="SL Price" dataDxfId="127"/>
    <tableColumn id="26" xr3:uid="{EB3FF47B-DA81-4710-AB88-6F0C59DDF851}" name="TP Price" dataDxfId="126"/>
    <tableColumn id="13" xr3:uid="{23C60ED0-770D-4F22-B4C3-CD7327FB422B}" name="T in T (Bars)" dataDxfId="125"/>
    <tableColumn id="14" xr3:uid="{0B917C03-1BA2-4E21-A86E-C08AD03B1CCD}" name="MFE" dataDxfId="124"/>
    <tableColumn id="15" xr3:uid="{92F38670-3104-4293-9417-7FEAAD0423EA}" name="MAE" dataDxfId="123"/>
    <tableColumn id="16" xr3:uid="{ADA1CAE3-6AA9-43AA-9653-3F78A7A6D738}" name="E.P Revisit" dataDxfId="122"/>
    <tableColumn id="17" xr3:uid="{93246457-E2A0-47EA-AAF4-39246F186833}" name="Close Reason" dataDxfId="121"/>
    <tableColumn id="18" xr3:uid="{1CAC4757-00F6-4B84-98E6-B75FD30AC7E9}" name="P/L" dataDxfId="120"/>
    <tableColumn id="19" xr3:uid="{BF47EB7C-7F49-4DB4-A6B2-1C112F2B0F0F}" name="News?" dataDxfId="119"/>
    <tableColumn id="7" xr3:uid="{A47AB3AF-64F7-40B4-93D1-DA9133E4D824}" name="VTY Expected" dataDxfId="118"/>
    <tableColumn id="29" xr3:uid="{BC8E82CE-CFF3-4BF2-B6C0-49561751183A}" name="News Event(s)" dataDxfId="117"/>
    <tableColumn id="20" xr3:uid="{49023BA0-5CCA-43F4-939C-7D7A090AB5F2}" name="UpComing News" dataDxfId="116"/>
    <tableColumn id="30" xr3:uid="{7F253FB0-3390-4271-8A40-773E5F507439}" name="VTY Expected " dataDxfId="115"/>
    <tableColumn id="33" xr3:uid="{48A5726E-72EA-4E02-B25B-2D0802B084D4}" name="News Event(s)2" dataDxfId="114"/>
    <tableColumn id="21" xr3:uid="{7646EA6C-8362-4209-9220-925A7EB62DEC}" name="Next Day" dataDxfId="113"/>
    <tableColumn id="22" xr3:uid="{0F06A208-8D7D-430A-A19E-5FEB32440D24}" name="Trade Cont?" dataDxfId="112"/>
    <tableColumn id="23" xr3:uid="{1DD8A20A-5F16-47B5-AF20-9CB105C477BD}" name="Trend Cont?" dataDxfId="111"/>
    <tableColumn id="34" xr3:uid="{A80D65D8-92C4-4DC9-9AAC-44283FA9A31B}" name="SL HIT?" dataDxfId="110"/>
    <tableColumn id="35" xr3:uid="{9BF52A8F-4148-4E49-9CD2-04B1B0CF225D}" name="TP HIT?" dataDxfId="109"/>
    <tableColumn id="36" xr3:uid="{BC264FAD-E6E6-4471-850C-71B4C0D3DBC3}" name="TP Hit After SL Hit" dataDxfId="108"/>
    <tableColumn id="38" xr3:uid="{FDA35B7C-06AD-421D-A057-177C496E9ADC}" name="E.P Visits" dataDxfId="107"/>
    <tableColumn id="32" xr3:uid="{C509FF5C-977A-4537-902A-80B25F22B621}" name="MFE2" dataDxfId="106"/>
    <tableColumn id="31" xr3:uid="{50D016E1-4200-4202-B7DE-43E7123221F7}" name="MAE2" dataDxfId="105"/>
    <tableColumn id="24" xr3:uid="{8EBACC04-047B-454D-BB29-CC6FF3EA1C9B}" name="P/L2" dataDxfId="104"/>
    <tableColumn id="25" xr3:uid="{38FA161C-B7DF-498B-8345-8268C7C4A57A}" name="SS" dataDxfId="71"/>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63CCE203-AA3C-4910-9FAB-8F846F596753}" name="Table3" displayName="Table3" ref="AM1:BP85" totalsRowShown="0" headerRowDxfId="103" dataDxfId="102">
  <autoFilter ref="AM1:BP85" xr:uid="{E25ACB17-87DF-49E3-8BBA-47B82A26E3CC}">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autoFilter>
  <tableColumns count="30">
    <tableColumn id="1" xr3:uid="{23D6C10C-849F-4092-A25A-68EA35978CCA}" name="Trade ID" dataDxfId="101"/>
    <tableColumn id="2" xr3:uid="{E4580E69-4CA7-4613-95B2-0BE377662E1B}" name="Date" dataDxfId="100"/>
    <tableColumn id="3" xr3:uid="{841F6B0D-3023-47F7-89FA-F36859BA8232}" name="STR Type (2)" dataDxfId="99"/>
    <tableColumn id="4" xr3:uid="{C0B71ACE-5B2C-4716-BCFC-F4CCCB66F4C9}" name="Trade Exec?" dataDxfId="98"/>
    <tableColumn id="5" xr3:uid="{63B00D0C-AE51-48F7-9BB1-7405081AA833}" name="IF NO, Reason" dataDxfId="97"/>
    <tableColumn id="6" xr3:uid="{18862354-E6C1-43C4-82C5-37B690BCA7E1}" name="Trade Type" dataDxfId="96"/>
    <tableColumn id="8" xr3:uid="{2520D76B-EBA3-4B73-A571-33C837461D20}" name="Entry Time" dataDxfId="95"/>
    <tableColumn id="9" xr3:uid="{49CB9A89-110C-4B52-B75E-79F78253585F}" name="Exit Time" dataDxfId="94"/>
    <tableColumn id="10" xr3:uid="{A842CDB0-3C92-4B4B-BBCF-EFE6BE913F02}" name="Entry Price" dataDxfId="93"/>
    <tableColumn id="11" xr3:uid="{F9EF240D-5A10-4405-B279-E2D0D6806562}" name="Exit Price" dataDxfId="92"/>
    <tableColumn id="12" xr3:uid="{A6AA0F4E-11B8-4B97-A8DC-286F3001FEF0}" name="SL Price" dataDxfId="91"/>
    <tableColumn id="26" xr3:uid="{A3D8CA63-B4E5-42A9-B246-6DDACA99B87B}" name="TP Price" dataDxfId="90"/>
    <tableColumn id="27" xr3:uid="{0CFEDEA9-C795-4663-8D7F-3036AD065923}" name="VTY" dataDxfId="89"/>
    <tableColumn id="20" xr3:uid="{9C31DCC2-4230-4E06-8A77-B59062954660}" name="VTY in $" dataDxfId="88"/>
    <tableColumn id="13" xr3:uid="{873275F2-0CA5-42BB-A3BB-3CA9FBA5651F}" name="T in T" dataDxfId="87"/>
    <tableColumn id="14" xr3:uid="{2331669A-69E4-4AAD-B563-A48E4EAF74D7}" name="MFE" dataDxfId="86"/>
    <tableColumn id="15" xr3:uid="{97E24DA4-E8F5-4539-A3B2-82C8FEA7182A}" name="MAE" dataDxfId="85"/>
    <tableColumn id="16" xr3:uid="{AF4C4893-D2E1-4B3D-857D-44A00EA7357D}" name="E.P Revisit" dataDxfId="84"/>
    <tableColumn id="17" xr3:uid="{C0B164D5-FFA7-4B12-94B9-B19B341536D4}" name="Close Reason" dataDxfId="83"/>
    <tableColumn id="18" xr3:uid="{150CF0B5-A217-41E7-A81E-AAD6E3B4365C}" name="P/L" dataDxfId="82"/>
    <tableColumn id="21" xr3:uid="{9B43E4EB-B8E9-4F74-BC62-3D121C454770}" name="Next Day" dataDxfId="81"/>
    <tableColumn id="22" xr3:uid="{0A169E74-9E74-41ED-9EC1-D81C882DACF3}" name="Trade Cont?" dataDxfId="80"/>
    <tableColumn id="23" xr3:uid="{5C4A18E0-6AE2-489A-9244-6FE29C889065}" name="Trend Cont?" dataDxfId="79"/>
    <tableColumn id="19" xr3:uid="{9679BCDC-7E9E-42B8-9E14-59FBBCA72EED}" name="SL Hit?" dataDxfId="78"/>
    <tableColumn id="7" xr3:uid="{D45B8881-DFA4-4B46-BADE-169FE28121F3}" name="TP Hit?" dataDxfId="77"/>
    <tableColumn id="30" xr3:uid="{91962977-7312-4F3C-8CCC-8A1E2E453D9D}" name="TP Hit After SL Hit?" dataDxfId="76"/>
    <tableColumn id="29" xr3:uid="{E90DBC3B-5F9E-4A63-983A-96492E049D78}" name="MFE2" dataDxfId="75"/>
    <tableColumn id="28" xr3:uid="{EF659A8C-B440-4C75-88F5-D7659655E78E}" name="MAE2" dataDxfId="74"/>
    <tableColumn id="24" xr3:uid="{9B3E8CA8-E3F4-481D-A1EA-2B6FF9921763}" name="P/L2" dataDxfId="73"/>
    <tableColumn id="25" xr3:uid="{B37A0E61-8232-4578-80A2-06F6C25A34FE}" name="SS" dataDxfId="72"/>
  </tableColumns>
  <tableStyleInfo name="TableStyleMedium9"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4DF3AC9-6FCD-4E26-8E40-D2A186382B9C}" name="Table210" displayName="Table210" ref="A1:AK110" totalsRowShown="0" headerRowDxfId="70" dataDxfId="69">
  <autoFilter ref="A1:AK110" xr:uid="{96B9BE8E-EB32-44C8-B96C-4E5F77977333}">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filterColumn colId="33" hiddenButton="1"/>
    <filterColumn colId="34" hiddenButton="1"/>
    <filterColumn colId="35" hiddenButton="1"/>
    <filterColumn colId="36" hiddenButton="1"/>
  </autoFilter>
  <tableColumns count="37">
    <tableColumn id="1" xr3:uid="{D839DCC5-1567-4785-B9A9-692B0F02750B}" name="Trade ID" dataDxfId="68"/>
    <tableColumn id="2" xr3:uid="{6BD48A31-1634-4C1D-BE0C-6FB6867D80F4}" name="Date" dataDxfId="67"/>
    <tableColumn id="3" xr3:uid="{ABB05091-8565-4B8E-AD0D-4FA794F72C9C}" name="STR Type (1)" dataDxfId="66"/>
    <tableColumn id="4" xr3:uid="{462CE47A-7427-4E68-9DD7-47D6EB5D5A54}" name="Trade Exec?" dataDxfId="65"/>
    <tableColumn id="5" xr3:uid="{839A5C0B-EB85-4852-9701-3AA9FB476EF1}" name="IF NO, Reason" dataDxfId="64"/>
    <tableColumn id="6" xr3:uid="{4047E68F-ABFB-4E15-9526-C4688E24EDD6}" name="Trade Type" dataDxfId="63"/>
    <tableColumn id="8" xr3:uid="{BF85126D-8F27-45F8-A40D-DC11C2595F3B}" name="Entry Time" dataDxfId="62"/>
    <tableColumn id="9" xr3:uid="{68417057-6D78-405F-9486-A4AA705CC055}" name="Exit Time" dataDxfId="61"/>
    <tableColumn id="10" xr3:uid="{D7D70DC0-5F45-4A8E-9126-EBCF6C5D37D8}" name="Entry Price" dataDxfId="60"/>
    <tableColumn id="11" xr3:uid="{68E06323-5B6C-44BE-B239-3E4A56A182D6}" name="Exit Price" dataDxfId="59"/>
    <tableColumn id="27" xr3:uid="{54CEC8D9-50EA-45F5-A9CA-25AE47ED9602}" name="SP $" dataDxfId="58"/>
    <tableColumn id="28" xr3:uid="{0295F30F-1482-40FB-B494-6E34CAB3C2A5}" name="TP $" dataDxfId="57"/>
    <tableColumn id="12" xr3:uid="{5F9E705B-3307-46EC-B8E8-745F1D30C451}" name="SL Price" dataDxfId="56">
      <calculatedColumnFormula>IF(F2="Sell", INT(I2) + (ROUND(MOD(I2,1) + 0.0025, 4)), IF(F2="Buy", INT(I2) + (ROUND(MOD(I2,1) - 0.0025, 4)), "Invalid Direction"))</calculatedColumnFormula>
    </tableColumn>
    <tableColumn id="26" xr3:uid="{20EE9D9F-844D-4821-A4D0-2EBDDDC942CC}" name="TP Price" dataDxfId="55">
      <calculatedColumnFormula>IF(F2="Sell", INT(I2) + (ROUND(MOD(I2,1) - 0.005, 4)), IF(F2="Buy", INT(I2) + (ROUND(MOD(I2,1) + 0.005, 4)), "Invalid Direction"))</calculatedColumnFormula>
    </tableColumn>
    <tableColumn id="13" xr3:uid="{8C27E237-9E88-408C-BBEE-1D405834F9CA}" name="T in T (Bars)" dataDxfId="54"/>
    <tableColumn id="14" xr3:uid="{36646EA5-C73C-424A-B7CA-6FEDCC903961}" name="MFE" dataDxfId="53"/>
    <tableColumn id="15" xr3:uid="{52959A61-B10F-4047-B54E-D1274B85FA47}" name="MAE" dataDxfId="52"/>
    <tableColumn id="16" xr3:uid="{ED228EA4-EADB-48D1-93E5-7B4D244FD054}" name="E.P Revisit" dataDxfId="51"/>
    <tableColumn id="17" xr3:uid="{2716D012-A441-4022-8D08-F49D440558B7}" name="Close Reason" dataDxfId="50"/>
    <tableColumn id="18" xr3:uid="{B8D3F15E-F397-4846-9163-B7BDDD4CBD88}" name="P/L" dataDxfId="49"/>
    <tableColumn id="19" xr3:uid="{D914729B-B4EC-4228-830D-85F86828E67D}" name="News?" dataDxfId="48"/>
    <tableColumn id="7" xr3:uid="{4064F92A-E8E1-4E14-8595-D64E73471359}" name="VTY Expected" dataDxfId="47"/>
    <tableColumn id="29" xr3:uid="{95461F98-7C8E-46F5-9111-B28C215D5F3A}" name="News Event(s)" dataDxfId="46"/>
    <tableColumn id="20" xr3:uid="{8E5A14D9-44CF-4915-B72B-0A24E36BF4D6}" name="UpComing News" dataDxfId="45"/>
    <tableColumn id="30" xr3:uid="{D9081834-8EF4-4317-A580-DCB753420FF5}" name="VTY Expected " dataDxfId="44"/>
    <tableColumn id="33" xr3:uid="{DAF3E3EF-03D6-40A9-B3A4-78101FFFD881}" name="News Event(s)2" dataDxfId="43"/>
    <tableColumn id="21" xr3:uid="{178EB2FE-10BE-47A4-A545-B7D559B33FC1}" name="Next Day" dataDxfId="42"/>
    <tableColumn id="22" xr3:uid="{600B64A8-D93C-4E01-A8E7-77780DD984D4}" name="Trade Cont?" dataDxfId="41"/>
    <tableColumn id="23" xr3:uid="{80711477-9584-4387-BE47-3DE551026236}" name="Trend Cont?" dataDxfId="40"/>
    <tableColumn id="34" xr3:uid="{53E27E57-CBA8-4B09-8B7A-C39592612304}" name="SL HIT?" dataDxfId="39"/>
    <tableColumn id="35" xr3:uid="{43271C0F-DF51-4762-AABB-A350D2FF4634}" name="TP HIT?" dataDxfId="38"/>
    <tableColumn id="36" xr3:uid="{0D1CB24E-BF6B-41AF-B039-DABD11570409}" name="TP Hit After SL Hit" dataDxfId="37"/>
    <tableColumn id="38" xr3:uid="{AEA72604-0260-4A66-891F-4A55463AD36E}" name="E.P Visits" dataDxfId="36"/>
    <tableColumn id="32" xr3:uid="{73D68EB0-33A5-4F55-A674-97CD8E4AEB08}" name="MFE2" dataDxfId="35"/>
    <tableColumn id="31" xr3:uid="{B851D745-F83F-4F4C-BF51-F88D6970E39F}" name="MAE2" dataDxfId="34"/>
    <tableColumn id="24" xr3:uid="{6D10871F-2671-4615-A9FD-F3A20F3A91FD}" name="P/L2" dataDxfId="33"/>
    <tableColumn id="25" xr3:uid="{F6778825-A39E-492E-A64D-C18240666399}" name="SS" dataDxfId="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F8ED42A9-CA41-4EF3-AAA2-1981D5893E08}" name="Table311" displayName="Table311" ref="AM1:BP110" totalsRowShown="0" headerRowDxfId="32" dataDxfId="31">
  <autoFilter ref="AM1:BP110" xr:uid="{E25ACB17-87DF-49E3-8BBA-47B82A26E3CC}">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autoFilter>
  <tableColumns count="30">
    <tableColumn id="1" xr3:uid="{8886468F-F508-4D33-9BC7-E52E46BC892C}" name="Trade ID" dataDxfId="30"/>
    <tableColumn id="2" xr3:uid="{F78F5324-74AE-4663-83B6-DA14163E581C}" name="Date" dataDxfId="29"/>
    <tableColumn id="3" xr3:uid="{BBB882C8-3C66-4B92-97B3-5CF4044273EF}" name="STR Type (2)" dataDxfId="28"/>
    <tableColumn id="4" xr3:uid="{C987E64C-B934-4019-873E-2D8FB081630B}" name="Trade Exec?" dataDxfId="27"/>
    <tableColumn id="5" xr3:uid="{0D4F2B0D-37B1-4EBF-8F7C-64BAFE7A8F2E}" name="IF NO, Reason" dataDxfId="26"/>
    <tableColumn id="6" xr3:uid="{FC8FA7AD-72C8-4CAC-A6B0-2364876E0B8D}" name="Trade Type" dataDxfId="25"/>
    <tableColumn id="8" xr3:uid="{A14631F5-F91B-41CA-A9F6-345C48CD17AC}" name="Entry Time" dataDxfId="24"/>
    <tableColumn id="9" xr3:uid="{C2DA4C70-D2BD-4615-AC01-84CEA3948BB7}" name="Exit Time" dataDxfId="23"/>
    <tableColumn id="10" xr3:uid="{004576EC-A65B-4C9A-9435-5265975AF03A}" name="Entry Price" dataDxfId="22"/>
    <tableColumn id="11" xr3:uid="{7A0BCF4C-D9E1-4FA3-8958-D24C21F701F0}" name="Exit Price" dataDxfId="21"/>
    <tableColumn id="12" xr3:uid="{D6700EE2-B066-4EB3-BAD4-AEE6B4B5D29C}" name="SL Price" dataDxfId="20">
      <calculatedColumnFormula>IF(AR2="Sell",
   INT(AU2) + (ROUND(MOD(AU2,1) + (AY2/10000), 4)),
   IF(AR2="Buy",
      INT(AU2) + (ROUND(MOD(AU2,1) - (AY2/10000), 4)),
      "Invalid Direction"))</calculatedColumnFormula>
    </tableColumn>
    <tableColumn id="26" xr3:uid="{AD0A4099-D42D-494B-8A85-CBFDEFEA317A}" name="TP Price" dataDxfId="19">
      <calculatedColumnFormula>IF(AR2="Sell", INT(AU2) + (ROUND(MOD(AU2,1) - 0.005, 4)), IF(AR2="Buy", INT(AU2) + (ROUND(MOD(AU2,1) + 0.005, 4)), "Invalid Direction"))</calculatedColumnFormula>
    </tableColumn>
    <tableColumn id="27" xr3:uid="{B2B987EE-4483-4D8F-97CC-39B1FB0027A4}" name="VTY" dataDxfId="18"/>
    <tableColumn id="20" xr3:uid="{447FB5BD-CFA9-423A-87C5-F187C1749BA2}" name="VTY in $" dataDxfId="17"/>
    <tableColumn id="13" xr3:uid="{28ABA6E4-6924-49C7-84F8-FC099EE11669}" name="T in T" dataDxfId="16"/>
    <tableColumn id="14" xr3:uid="{93A1A5E4-2B39-44FF-81E5-134ED7A8750A}" name="MFE" dataDxfId="15"/>
    <tableColumn id="15" xr3:uid="{D6BDDA76-5EBA-42FC-B291-0AEE13200A93}" name="MAE" dataDxfId="14"/>
    <tableColumn id="16" xr3:uid="{3DA21C4C-D25B-4B9D-898F-426ECC040719}" name="E.P Revisit" dataDxfId="13"/>
    <tableColumn id="17" xr3:uid="{4584F686-8544-45CB-9A53-4A382B46851A}" name="Close Reason" dataDxfId="12"/>
    <tableColumn id="18" xr3:uid="{57B11718-0910-441F-AA3B-5D390EBD848B}" name="P/L" dataDxfId="11"/>
    <tableColumn id="21" xr3:uid="{FDA1FC2D-DC98-44CA-B01F-C6D2A8D0FBC0}" name="Next Day" dataDxfId="10"/>
    <tableColumn id="22" xr3:uid="{F7A1A9F1-AC2A-4F32-AE8C-60FEE47BC890}" name="Trade Cont?" dataDxfId="9"/>
    <tableColumn id="23" xr3:uid="{F2121387-597A-420A-AEAB-78B8555E2FB6}" name="Trend Cont?" dataDxfId="8"/>
    <tableColumn id="19" xr3:uid="{BE9E5F9C-D74C-4130-9942-A40AC64816A5}" name="SL Hit?" dataDxfId="7"/>
    <tableColumn id="7" xr3:uid="{DC5A5EAA-405B-44BA-9A06-0498EB4F6EBB}" name="TP Hit?" dataDxfId="6"/>
    <tableColumn id="30" xr3:uid="{28B6C05E-F98B-4E31-8D49-321D761EA8FC}" name="TP Hit After SL Hit?" dataDxfId="5"/>
    <tableColumn id="29" xr3:uid="{9866FCAC-1731-41A5-93F6-503D63A7A709}" name="MFE2" dataDxfId="4"/>
    <tableColumn id="28" xr3:uid="{C54C1230-A9E7-4BFC-9F06-25BF400D738F}" name="MAE2" dataDxfId="3"/>
    <tableColumn id="24" xr3:uid="{CA1168AC-D6A5-48C6-BE77-AE7C5B11132F}" name="P/L2" dataDxfId="2"/>
    <tableColumn id="25" xr3:uid="{C79D4067-F7C0-43EE-BF00-01D96843D88D}" name="SS" dataDxfId="1"/>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7688D7-F5DD-49A1-AAD4-4536F25CCF01}">
  <sheetPr>
    <pageSetUpPr autoPageBreaks="0"/>
  </sheetPr>
  <dimension ref="A1:BP85"/>
  <sheetViews>
    <sheetView tabSelected="1" zoomScale="75" zoomScaleNormal="75" workbookViewId="0">
      <pane ySplit="1" topLeftCell="A2" activePane="bottomLeft" state="frozen"/>
      <selection pane="bottomLeft" activeCell="A2" sqref="A2"/>
    </sheetView>
  </sheetViews>
  <sheetFormatPr defaultRowHeight="14.5" customHeight="1" x14ac:dyDescent="0.35"/>
  <cols>
    <col min="1" max="1" width="8.7265625" bestFit="1" customWidth="1"/>
    <col min="2" max="2" width="12" bestFit="1" customWidth="1"/>
    <col min="3" max="3" width="12.453125" bestFit="1" customWidth="1"/>
    <col min="4" max="4" width="11.81640625" bestFit="1" customWidth="1"/>
    <col min="5" max="5" width="13.81640625" bestFit="1" customWidth="1"/>
    <col min="6" max="6" width="11.26953125" bestFit="1" customWidth="1"/>
    <col min="7" max="7" width="10.90625" bestFit="1" customWidth="1"/>
    <col min="8" max="8" width="9.26953125" customWidth="1"/>
    <col min="9" max="9" width="10.90625" bestFit="1" customWidth="1"/>
    <col min="10" max="10" width="9.26953125" bestFit="1" customWidth="1"/>
    <col min="11" max="11" width="6.54296875" bestFit="1" customWidth="1"/>
    <col min="12" max="12" width="5.90625" bestFit="1" customWidth="1"/>
    <col min="13" max="13" width="8.08984375" bestFit="1" customWidth="1"/>
    <col min="14" max="14" width="8.36328125" bestFit="1" customWidth="1"/>
    <col min="15" max="15" width="11.7265625" bestFit="1" customWidth="1"/>
    <col min="16" max="16" width="7" bestFit="1" customWidth="1"/>
    <col min="17" max="17" width="7.6328125" bestFit="1" customWidth="1"/>
    <col min="18" max="18" width="10.36328125" bestFit="1" customWidth="1"/>
    <col min="19" max="19" width="13.08984375" bestFit="1" customWidth="1"/>
    <col min="20" max="20" width="8.08984375" bestFit="1" customWidth="1"/>
    <col min="21" max="21" width="7" bestFit="1" customWidth="1"/>
    <col min="22" max="22" width="13.453125" bestFit="1" customWidth="1"/>
    <col min="23" max="23" width="46.26953125" customWidth="1"/>
    <col min="24" max="24" width="16.36328125" bestFit="1" customWidth="1"/>
    <col min="25" max="25" width="13.90625" bestFit="1" customWidth="1"/>
    <col min="26" max="26" width="43.1796875" customWidth="1"/>
    <col min="27" max="27" width="12.54296875" customWidth="1"/>
    <col min="28" max="28" width="12.08984375" bestFit="1" customWidth="1"/>
    <col min="29" max="29" width="12.1796875" bestFit="1" customWidth="1"/>
    <col min="30" max="30" width="7.6328125" bestFit="1" customWidth="1"/>
    <col min="31" max="31" width="7.81640625" bestFit="1" customWidth="1"/>
    <col min="32" max="32" width="17.1796875" bestFit="1" customWidth="1"/>
    <col min="33" max="33" width="9.1796875" bestFit="1" customWidth="1"/>
    <col min="34" max="34" width="7" bestFit="1" customWidth="1"/>
    <col min="35" max="35" width="7.6328125" bestFit="1" customWidth="1"/>
    <col min="36" max="36" width="6.54296875" bestFit="1" customWidth="1"/>
    <col min="37" max="37" width="3.26953125" bestFit="1" customWidth="1"/>
    <col min="38" max="39" width="8.7265625" bestFit="1" customWidth="1"/>
    <col min="40" max="40" width="11.453125" bestFit="1" customWidth="1"/>
    <col min="41" max="41" width="15.36328125" customWidth="1"/>
    <col min="42" max="42" width="11.81640625" bestFit="1" customWidth="1"/>
    <col min="43" max="43" width="13.81640625" bestFit="1" customWidth="1"/>
    <col min="44" max="44" width="11.26953125" bestFit="1" customWidth="1"/>
    <col min="45" max="45" width="10.90625" bestFit="1" customWidth="1"/>
    <col min="46" max="46" width="9.26953125" bestFit="1" customWidth="1"/>
    <col min="47" max="47" width="10.90625" bestFit="1" customWidth="1"/>
    <col min="48" max="48" width="9.26953125" bestFit="1" customWidth="1"/>
    <col min="49" max="49" width="9.54296875" customWidth="1"/>
    <col min="50" max="50" width="8.36328125" bestFit="1" customWidth="1"/>
    <col min="51" max="51" width="10.54296875" bestFit="1" customWidth="1"/>
    <col min="52" max="52" width="8.36328125" bestFit="1" customWidth="1"/>
    <col min="53" max="53" width="6.26953125" bestFit="1" customWidth="1"/>
    <col min="54" max="54" width="7" bestFit="1" customWidth="1"/>
    <col min="55" max="55" width="7.6328125" bestFit="1" customWidth="1"/>
    <col min="56" max="56" width="10.36328125" bestFit="1" customWidth="1"/>
    <col min="57" max="57" width="13.08984375" bestFit="1" customWidth="1"/>
    <col min="58" max="58" width="6.54296875" bestFit="1" customWidth="1"/>
    <col min="59" max="59" width="11.453125" bestFit="1" customWidth="1"/>
    <col min="60" max="60" width="12.08984375" bestFit="1" customWidth="1"/>
    <col min="61" max="61" width="12.1796875" bestFit="1" customWidth="1"/>
    <col min="62" max="62" width="7.08984375" bestFit="1" customWidth="1"/>
    <col min="63" max="63" width="7.36328125" bestFit="1" customWidth="1"/>
    <col min="64" max="64" width="18.1796875" bestFit="1" customWidth="1"/>
    <col min="65" max="65" width="7" bestFit="1" customWidth="1"/>
    <col min="66" max="66" width="7.6328125" bestFit="1" customWidth="1"/>
    <col min="67" max="68" width="6.54296875" bestFit="1" customWidth="1"/>
    <col min="69" max="70" width="8.7265625" bestFit="1" customWidth="1"/>
    <col min="71" max="71" width="11.453125" bestFit="1" customWidth="1"/>
    <col min="72" max="72" width="14.08984375" customWidth="1"/>
    <col min="73" max="73" width="11.81640625" bestFit="1" customWidth="1"/>
    <col min="74" max="74" width="13.81640625" bestFit="1" customWidth="1"/>
    <col min="75" max="75" width="11.26953125" bestFit="1" customWidth="1"/>
    <col min="76" max="76" width="10.90625" bestFit="1" customWidth="1"/>
    <col min="77" max="77" width="9.26953125" bestFit="1" customWidth="1"/>
    <col min="78" max="78" width="10.90625" bestFit="1" customWidth="1"/>
    <col min="79" max="79" width="9.26953125" customWidth="1"/>
    <col min="80" max="81" width="8.7265625" bestFit="1" customWidth="1"/>
    <col min="82" max="82" width="10.54296875" bestFit="1" customWidth="1"/>
    <col min="83" max="83" width="8.36328125" bestFit="1" customWidth="1"/>
    <col min="84" max="84" width="6.7265625" bestFit="1" customWidth="1"/>
    <col min="85" max="85" width="10.54296875" bestFit="1" customWidth="1"/>
    <col min="86" max="86" width="6.26953125" bestFit="1" customWidth="1"/>
    <col min="87" max="87" width="7" bestFit="1" customWidth="1"/>
    <col min="88" max="88" width="7.6328125" bestFit="1" customWidth="1"/>
    <col min="89" max="89" width="10.36328125" bestFit="1" customWidth="1"/>
    <col min="90" max="90" width="13.08984375" bestFit="1" customWidth="1"/>
    <col min="91" max="91" width="7" bestFit="1" customWidth="1"/>
    <col min="92" max="92" width="11.453125" bestFit="1" customWidth="1"/>
    <col min="93" max="93" width="20" bestFit="1" customWidth="1"/>
    <col min="94" max="94" width="19.08984375" bestFit="1" customWidth="1"/>
    <col min="95" max="95" width="7.08984375" bestFit="1" customWidth="1"/>
    <col min="96" max="96" width="7.36328125" bestFit="1" customWidth="1"/>
    <col min="97" max="97" width="18.1796875" bestFit="1" customWidth="1"/>
    <col min="98" max="98" width="7" bestFit="1" customWidth="1"/>
    <col min="99" max="99" width="7.6328125" bestFit="1" customWidth="1"/>
    <col min="100" max="100" width="7" bestFit="1" customWidth="1"/>
    <col min="101" max="101" width="8.7265625" bestFit="1" customWidth="1"/>
    <col min="102" max="102" width="5.26953125" bestFit="1" customWidth="1"/>
    <col min="103" max="103" width="14.7265625" bestFit="1" customWidth="1"/>
    <col min="104" max="104" width="11.81640625" bestFit="1" customWidth="1"/>
    <col min="105" max="105" width="13.81640625" bestFit="1" customWidth="1"/>
    <col min="106" max="106" width="11.26953125" bestFit="1" customWidth="1"/>
    <col min="107" max="107" width="10.90625" bestFit="1" customWidth="1"/>
    <col min="108" max="108" width="9.26953125" bestFit="1" customWidth="1"/>
    <col min="109" max="109" width="10.90625" bestFit="1" customWidth="1"/>
    <col min="110" max="110" width="9.26953125" bestFit="1" customWidth="1"/>
    <col min="111" max="111" width="8.08984375" bestFit="1" customWidth="1"/>
    <col min="112" max="112" width="8.36328125" bestFit="1" customWidth="1"/>
    <col min="113" max="113" width="5.81640625" bestFit="1" customWidth="1"/>
    <col min="114" max="114" width="5.90625" bestFit="1" customWidth="1"/>
    <col min="115" max="115" width="5.08984375" bestFit="1" customWidth="1"/>
    <col min="116" max="116" width="5.453125" bestFit="1" customWidth="1"/>
    <col min="117" max="117" width="10.36328125" bestFit="1" customWidth="1"/>
    <col min="118" max="118" width="13.08984375" bestFit="1" customWidth="1"/>
    <col min="119" max="119" width="4.1796875" bestFit="1" customWidth="1"/>
    <col min="120" max="120" width="9.26953125" bestFit="1" customWidth="1"/>
    <col min="121" max="121" width="20" bestFit="1" customWidth="1"/>
    <col min="122" max="122" width="19.08984375" bestFit="1" customWidth="1"/>
    <col min="123" max="123" width="7.08984375" bestFit="1" customWidth="1"/>
    <col min="124" max="124" width="7.36328125" bestFit="1" customWidth="1"/>
    <col min="125" max="125" width="18.1796875" bestFit="1" customWidth="1"/>
    <col min="126" max="126" width="5.26953125" bestFit="1" customWidth="1"/>
    <col min="127" max="127" width="3.26953125" bestFit="1" customWidth="1"/>
    <col min="128" max="129" width="8.7265625" bestFit="1" customWidth="1"/>
    <col min="130" max="130" width="5.26953125" bestFit="1" customWidth="1"/>
    <col min="131" max="131" width="12.453125" bestFit="1" customWidth="1"/>
    <col min="132" max="132" width="11.81640625" bestFit="1" customWidth="1"/>
    <col min="133" max="133" width="13.81640625" bestFit="1" customWidth="1"/>
    <col min="134" max="134" width="11.26953125" bestFit="1" customWidth="1"/>
    <col min="135" max="135" width="10.90625" bestFit="1" customWidth="1"/>
    <col min="136" max="136" width="9.26953125" bestFit="1" customWidth="1"/>
    <col min="137" max="137" width="10.90625" bestFit="1" customWidth="1"/>
    <col min="138" max="138" width="9.26953125" bestFit="1" customWidth="1"/>
    <col min="139" max="139" width="8.08984375" bestFit="1" customWidth="1"/>
    <col min="140" max="140" width="8.36328125" bestFit="1" customWidth="1"/>
    <col min="141" max="141" width="5.90625" bestFit="1" customWidth="1"/>
    <col min="142" max="142" width="5.08984375" bestFit="1" customWidth="1"/>
    <col min="143" max="143" width="5.453125" bestFit="1" customWidth="1"/>
    <col min="144" max="144" width="10.36328125" bestFit="1" customWidth="1"/>
    <col min="145" max="145" width="13.08984375" bestFit="1" customWidth="1"/>
    <col min="146" max="146" width="4.1796875" bestFit="1" customWidth="1"/>
    <col min="147" max="147" width="7" bestFit="1" customWidth="1"/>
    <col min="148" max="148" width="16.36328125" bestFit="1" customWidth="1"/>
    <col min="149" max="149" width="9.26953125" bestFit="1" customWidth="1"/>
    <col min="150" max="150" width="20" bestFit="1" customWidth="1"/>
    <col min="151" max="151" width="19.08984375" bestFit="1" customWidth="1"/>
    <col min="152" max="152" width="5.26953125" bestFit="1" customWidth="1"/>
    <col min="153" max="153" width="3.26953125" bestFit="1" customWidth="1"/>
    <col min="154" max="155" width="8.7265625" bestFit="1" customWidth="1"/>
    <col min="156" max="156" width="5.26953125" bestFit="1" customWidth="1"/>
    <col min="157" max="157" width="9.90625" bestFit="1" customWidth="1"/>
    <col min="158" max="158" width="11.81640625" bestFit="1" customWidth="1"/>
    <col min="159" max="159" width="13.81640625" bestFit="1" customWidth="1"/>
    <col min="160" max="160" width="11.26953125" bestFit="1" customWidth="1"/>
    <col min="161" max="161" width="10.90625" bestFit="1" customWidth="1"/>
    <col min="162" max="162" width="9.26953125" bestFit="1" customWidth="1"/>
    <col min="163" max="163" width="10.90625" bestFit="1" customWidth="1"/>
    <col min="164" max="164" width="9.26953125" bestFit="1" customWidth="1"/>
    <col min="165" max="165" width="8.08984375" bestFit="1" customWidth="1"/>
    <col min="166" max="166" width="8.36328125" bestFit="1" customWidth="1"/>
    <col min="167" max="167" width="4.54296875" bestFit="1" customWidth="1"/>
    <col min="168" max="168" width="5.81640625" bestFit="1" customWidth="1"/>
    <col min="169" max="169" width="5.90625" bestFit="1" customWidth="1"/>
    <col min="170" max="170" width="5.08984375" bestFit="1" customWidth="1"/>
    <col min="171" max="171" width="5.453125" bestFit="1" customWidth="1"/>
    <col min="172" max="172" width="10.36328125" bestFit="1" customWidth="1"/>
    <col min="173" max="173" width="13.08984375" bestFit="1" customWidth="1"/>
    <col min="174" max="174" width="4.1796875" bestFit="1" customWidth="1"/>
    <col min="175" max="175" width="7" bestFit="1" customWidth="1"/>
    <col min="176" max="176" width="16.36328125" bestFit="1" customWidth="1"/>
    <col min="177" max="177" width="9.26953125" bestFit="1" customWidth="1"/>
    <col min="178" max="178" width="20" bestFit="1" customWidth="1"/>
    <col min="179" max="179" width="19.08984375" bestFit="1" customWidth="1"/>
    <col min="180" max="180" width="5.26953125" bestFit="1" customWidth="1"/>
    <col min="181" max="181" width="3.26953125" bestFit="1" customWidth="1"/>
    <col min="182" max="183" width="8.7265625" bestFit="1" customWidth="1"/>
    <col min="184" max="184" width="5.26953125" bestFit="1" customWidth="1"/>
    <col min="185" max="185" width="13.90625" bestFit="1" customWidth="1"/>
    <col min="186" max="186" width="11.81640625" bestFit="1" customWidth="1"/>
    <col min="187" max="187" width="13.81640625" bestFit="1" customWidth="1"/>
    <col min="188" max="188" width="11.26953125" bestFit="1" customWidth="1"/>
    <col min="189" max="189" width="10.90625" bestFit="1" customWidth="1"/>
    <col min="190" max="190" width="9.26953125" bestFit="1" customWidth="1"/>
    <col min="191" max="191" width="10.90625" bestFit="1" customWidth="1"/>
    <col min="192" max="192" width="9.26953125" bestFit="1" customWidth="1"/>
    <col min="193" max="193" width="8.08984375" bestFit="1" customWidth="1"/>
    <col min="194" max="194" width="8.36328125" bestFit="1" customWidth="1"/>
    <col min="195" max="195" width="4.90625" bestFit="1" customWidth="1"/>
    <col min="196" max="196" width="5.90625" bestFit="1" customWidth="1"/>
    <col min="197" max="197" width="5.08984375" bestFit="1" customWidth="1"/>
    <col min="198" max="198" width="5.453125" bestFit="1" customWidth="1"/>
    <col min="199" max="199" width="10.36328125" bestFit="1" customWidth="1"/>
    <col min="200" max="200" width="13.08984375" bestFit="1" customWidth="1"/>
    <col min="201" max="201" width="4.1796875" bestFit="1" customWidth="1"/>
    <col min="202" max="202" width="7" bestFit="1" customWidth="1"/>
    <col min="203" max="203" width="16.36328125" bestFit="1" customWidth="1"/>
    <col min="204" max="204" width="9.26953125" bestFit="1" customWidth="1"/>
    <col min="205" max="205" width="20" bestFit="1" customWidth="1"/>
    <col min="206" max="206" width="19.08984375" bestFit="1" customWidth="1"/>
    <col min="207" max="207" width="5.26953125" bestFit="1" customWidth="1"/>
    <col min="208" max="208" width="3.26953125" bestFit="1" customWidth="1"/>
    <col min="209" max="210" width="8.7265625" bestFit="1" customWidth="1"/>
    <col min="211" max="211" width="5.26953125" bestFit="1" customWidth="1"/>
    <col min="212" max="212" width="13.453125" bestFit="1" customWidth="1"/>
    <col min="213" max="213" width="11.81640625" bestFit="1" customWidth="1"/>
    <col min="214" max="214" width="13.81640625" bestFit="1" customWidth="1"/>
    <col min="215" max="215" width="11.26953125" bestFit="1" customWidth="1"/>
    <col min="216" max="216" width="10.90625" bestFit="1" customWidth="1"/>
    <col min="217" max="217" width="9.26953125" bestFit="1" customWidth="1"/>
    <col min="218" max="218" width="10.90625" bestFit="1" customWidth="1"/>
    <col min="219" max="219" width="9.26953125" bestFit="1" customWidth="1"/>
    <col min="220" max="220" width="8.08984375" bestFit="1" customWidth="1"/>
    <col min="221" max="221" width="8.36328125" bestFit="1" customWidth="1"/>
    <col min="222" max="222" width="4.90625" bestFit="1" customWidth="1"/>
    <col min="223" max="223" width="5.90625" bestFit="1" customWidth="1"/>
    <col min="224" max="224" width="5.08984375" bestFit="1" customWidth="1"/>
    <col min="225" max="225" width="5.453125" bestFit="1" customWidth="1"/>
    <col min="226" max="226" width="10.36328125" bestFit="1" customWidth="1"/>
    <col min="227" max="227" width="13.08984375" bestFit="1" customWidth="1"/>
    <col min="228" max="228" width="4.1796875" bestFit="1" customWidth="1"/>
    <col min="229" max="229" width="7" bestFit="1" customWidth="1"/>
    <col min="230" max="230" width="16.36328125" bestFit="1" customWidth="1"/>
    <col min="231" max="231" width="9.26953125" bestFit="1" customWidth="1"/>
    <col min="232" max="232" width="20" bestFit="1" customWidth="1"/>
    <col min="233" max="233" width="19.08984375" bestFit="1" customWidth="1"/>
    <col min="234" max="234" width="5.26953125" bestFit="1" customWidth="1"/>
    <col min="235" max="235" width="3.26953125" bestFit="1" customWidth="1"/>
  </cols>
  <sheetData>
    <row r="1" spans="1:68" ht="23.5" customHeight="1" x14ac:dyDescent="0.35">
      <c r="A1" s="1" t="s">
        <v>0</v>
      </c>
      <c r="B1" s="2" t="s">
        <v>1</v>
      </c>
      <c r="C1" s="1" t="s">
        <v>2</v>
      </c>
      <c r="D1" s="1" t="s">
        <v>3</v>
      </c>
      <c r="E1" s="1" t="s">
        <v>4</v>
      </c>
      <c r="F1" s="1" t="s">
        <v>5</v>
      </c>
      <c r="G1" s="3" t="s">
        <v>6</v>
      </c>
      <c r="H1" s="3" t="s">
        <v>7</v>
      </c>
      <c r="I1" s="1" t="s">
        <v>8</v>
      </c>
      <c r="J1" s="1" t="s">
        <v>9</v>
      </c>
      <c r="K1" s="4" t="s">
        <v>10</v>
      </c>
      <c r="L1" s="4" t="s">
        <v>11</v>
      </c>
      <c r="M1" s="1" t="s">
        <v>12</v>
      </c>
      <c r="N1" s="1" t="s">
        <v>13</v>
      </c>
      <c r="O1" s="1" t="s">
        <v>14</v>
      </c>
      <c r="P1" s="4" t="s">
        <v>15</v>
      </c>
      <c r="Q1" s="4" t="s">
        <v>16</v>
      </c>
      <c r="R1" s="1" t="s">
        <v>17</v>
      </c>
      <c r="S1" s="1" t="s">
        <v>18</v>
      </c>
      <c r="T1" s="4" t="s">
        <v>19</v>
      </c>
      <c r="U1" s="1" t="s">
        <v>20</v>
      </c>
      <c r="V1" s="1" t="s">
        <v>21</v>
      </c>
      <c r="W1" s="1" t="s">
        <v>22</v>
      </c>
      <c r="X1" s="1" t="s">
        <v>23</v>
      </c>
      <c r="Y1" s="1" t="s">
        <v>24</v>
      </c>
      <c r="Z1" s="1" t="s">
        <v>25</v>
      </c>
      <c r="AA1" s="1" t="s">
        <v>26</v>
      </c>
      <c r="AB1" s="1" t="s">
        <v>27</v>
      </c>
      <c r="AC1" s="1" t="s">
        <v>28</v>
      </c>
      <c r="AD1" s="1" t="s">
        <v>29</v>
      </c>
      <c r="AE1" s="1" t="s">
        <v>30</v>
      </c>
      <c r="AF1" s="1" t="s">
        <v>31</v>
      </c>
      <c r="AG1" s="1" t="s">
        <v>32</v>
      </c>
      <c r="AH1" s="4" t="s">
        <v>33</v>
      </c>
      <c r="AI1" s="4" t="s">
        <v>34</v>
      </c>
      <c r="AJ1" s="4" t="s">
        <v>35</v>
      </c>
      <c r="AK1" s="1" t="s">
        <v>36</v>
      </c>
      <c r="AL1" s="5"/>
      <c r="AM1" s="1" t="s">
        <v>0</v>
      </c>
      <c r="AN1" s="1" t="s">
        <v>1</v>
      </c>
      <c r="AO1" s="1" t="s">
        <v>37</v>
      </c>
      <c r="AP1" s="1" t="s">
        <v>3</v>
      </c>
      <c r="AQ1" s="1" t="s">
        <v>4</v>
      </c>
      <c r="AR1" s="1" t="s">
        <v>5</v>
      </c>
      <c r="AS1" s="1" t="s">
        <v>6</v>
      </c>
      <c r="AT1" s="1" t="s">
        <v>7</v>
      </c>
      <c r="AU1" s="1" t="s">
        <v>8</v>
      </c>
      <c r="AV1" s="1" t="s">
        <v>9</v>
      </c>
      <c r="AW1" s="1" t="s">
        <v>12</v>
      </c>
      <c r="AX1" s="1" t="s">
        <v>13</v>
      </c>
      <c r="AY1" s="1" t="s">
        <v>38</v>
      </c>
      <c r="AZ1" s="4" t="s">
        <v>39</v>
      </c>
      <c r="BA1" s="1" t="s">
        <v>40</v>
      </c>
      <c r="BB1" s="1" t="s">
        <v>15</v>
      </c>
      <c r="BC1" s="1" t="s">
        <v>16</v>
      </c>
      <c r="BD1" s="1" t="s">
        <v>17</v>
      </c>
      <c r="BE1" s="1" t="s">
        <v>18</v>
      </c>
      <c r="BF1" s="1" t="s">
        <v>19</v>
      </c>
      <c r="BG1" s="1" t="s">
        <v>26</v>
      </c>
      <c r="BH1" s="1" t="s">
        <v>27</v>
      </c>
      <c r="BI1" s="1" t="s">
        <v>28</v>
      </c>
      <c r="BJ1" s="1" t="s">
        <v>41</v>
      </c>
      <c r="BK1" s="1" t="s">
        <v>42</v>
      </c>
      <c r="BL1" s="1" t="s">
        <v>43</v>
      </c>
      <c r="BM1" s="1" t="s">
        <v>33</v>
      </c>
      <c r="BN1" s="1" t="s">
        <v>34</v>
      </c>
      <c r="BO1" s="1" t="s">
        <v>35</v>
      </c>
      <c r="BP1" s="1" t="s">
        <v>36</v>
      </c>
    </row>
    <row r="2" spans="1:68" ht="14.5" customHeight="1" x14ac:dyDescent="0.35">
      <c r="A2" s="5">
        <v>1</v>
      </c>
      <c r="B2" s="6">
        <v>45659</v>
      </c>
      <c r="C2" s="5" t="s">
        <v>44</v>
      </c>
      <c r="D2" s="5" t="s">
        <v>45</v>
      </c>
      <c r="E2" s="5" t="s">
        <v>46</v>
      </c>
      <c r="F2" s="5" t="s">
        <v>47</v>
      </c>
      <c r="G2" s="7">
        <v>0.33333333333333331</v>
      </c>
      <c r="H2" s="7">
        <v>0.4375</v>
      </c>
      <c r="I2" s="5">
        <v>1.2504999999999999</v>
      </c>
      <c r="J2" s="5">
        <v>1.2455000000000001</v>
      </c>
      <c r="K2" s="8">
        <v>-2.5</v>
      </c>
      <c r="L2" s="8">
        <v>5</v>
      </c>
      <c r="M2" s="5">
        <v>1.2529999999999999</v>
      </c>
      <c r="N2" s="5">
        <v>1.2455000000000001</v>
      </c>
      <c r="O2" s="5">
        <v>6</v>
      </c>
      <c r="P2" s="8">
        <v>15.31</v>
      </c>
      <c r="Q2" s="8">
        <v>-0.08</v>
      </c>
      <c r="R2" s="5">
        <v>1</v>
      </c>
      <c r="S2" s="5" t="s">
        <v>48</v>
      </c>
      <c r="T2" s="8">
        <v>5</v>
      </c>
      <c r="U2" s="5">
        <v>2</v>
      </c>
      <c r="V2" s="5" t="s">
        <v>49</v>
      </c>
      <c r="W2" s="5" t="s">
        <v>50</v>
      </c>
      <c r="X2" s="5">
        <v>2</v>
      </c>
      <c r="Y2" s="5" t="s">
        <v>49</v>
      </c>
      <c r="Z2" s="5" t="s">
        <v>51</v>
      </c>
      <c r="AA2" s="6">
        <v>45660</v>
      </c>
      <c r="AB2" s="5" t="s">
        <v>52</v>
      </c>
      <c r="AC2" s="5" t="s">
        <v>52</v>
      </c>
      <c r="AD2" s="8" t="s">
        <v>46</v>
      </c>
      <c r="AE2" s="8" t="s">
        <v>46</v>
      </c>
      <c r="AF2" s="8" t="s">
        <v>46</v>
      </c>
      <c r="AG2" s="5" t="s">
        <v>46</v>
      </c>
      <c r="AH2" s="8">
        <v>0</v>
      </c>
      <c r="AI2" s="8">
        <v>0</v>
      </c>
      <c r="AJ2" s="8">
        <v>0</v>
      </c>
      <c r="AK2" s="10" t="s">
        <v>46</v>
      </c>
      <c r="AL2" s="5"/>
      <c r="AM2" s="5">
        <v>1</v>
      </c>
      <c r="AN2" s="6">
        <v>45659</v>
      </c>
      <c r="AO2" s="5" t="s">
        <v>53</v>
      </c>
      <c r="AP2" s="5" t="s">
        <v>45</v>
      </c>
      <c r="AQ2" s="5" t="s">
        <v>46</v>
      </c>
      <c r="AR2" s="5" t="s">
        <v>47</v>
      </c>
      <c r="AS2" s="9">
        <v>0.33333333333333331</v>
      </c>
      <c r="AT2" s="9">
        <v>0.4375</v>
      </c>
      <c r="AU2" s="5">
        <v>1.2504999999999999</v>
      </c>
      <c r="AV2" s="5">
        <v>1.2455000000000001</v>
      </c>
      <c r="AW2" s="5">
        <v>1.2533399999999999</v>
      </c>
      <c r="AX2" s="5">
        <v>1.2455000000000001</v>
      </c>
      <c r="AY2" s="5" t="s">
        <v>54</v>
      </c>
      <c r="AZ2" s="8">
        <v>-2.84</v>
      </c>
      <c r="BA2" s="5">
        <v>6</v>
      </c>
      <c r="BB2" s="8">
        <v>15.31</v>
      </c>
      <c r="BC2" s="8">
        <v>-0.08</v>
      </c>
      <c r="BD2" s="5">
        <v>1</v>
      </c>
      <c r="BE2" s="5" t="s">
        <v>48</v>
      </c>
      <c r="BF2" s="8">
        <v>5</v>
      </c>
      <c r="BG2" s="6">
        <v>45660</v>
      </c>
      <c r="BH2" s="5" t="s">
        <v>52</v>
      </c>
      <c r="BI2" s="5" t="s">
        <v>52</v>
      </c>
      <c r="BJ2" s="5" t="s">
        <v>46</v>
      </c>
      <c r="BK2" s="5" t="s">
        <v>46</v>
      </c>
      <c r="BL2" s="5" t="s">
        <v>46</v>
      </c>
      <c r="BM2" s="8">
        <v>0</v>
      </c>
      <c r="BN2" s="8">
        <v>0</v>
      </c>
      <c r="BO2" s="8">
        <v>0</v>
      </c>
      <c r="BP2" s="10" t="s">
        <v>46</v>
      </c>
    </row>
    <row r="3" spans="1:68" ht="14.5" customHeight="1" x14ac:dyDescent="0.35">
      <c r="A3" s="5">
        <v>2</v>
      </c>
      <c r="B3" s="6">
        <v>45657</v>
      </c>
      <c r="C3" s="5" t="s">
        <v>44</v>
      </c>
      <c r="D3" s="5" t="s">
        <v>45</v>
      </c>
      <c r="E3" s="5" t="s">
        <v>46</v>
      </c>
      <c r="F3" s="5" t="s">
        <v>47</v>
      </c>
      <c r="G3" s="7">
        <v>0.72916666666666663</v>
      </c>
      <c r="H3" s="7">
        <v>0.89583333333333337</v>
      </c>
      <c r="I3" s="5">
        <v>1.2504999999999999</v>
      </c>
      <c r="J3" s="5">
        <v>1.25122</v>
      </c>
      <c r="K3" s="8">
        <v>-2.5</v>
      </c>
      <c r="L3" s="8">
        <v>5</v>
      </c>
      <c r="M3" s="5">
        <v>1.2529999999999999</v>
      </c>
      <c r="N3" s="5">
        <v>1.2455000000000001</v>
      </c>
      <c r="O3" s="5">
        <v>9</v>
      </c>
      <c r="P3" s="8">
        <v>0.01</v>
      </c>
      <c r="Q3" s="8">
        <v>-2.21</v>
      </c>
      <c r="R3" s="5">
        <v>2</v>
      </c>
      <c r="S3" s="5" t="s">
        <v>55</v>
      </c>
      <c r="T3" s="8">
        <v>-0.72</v>
      </c>
      <c r="U3" s="5">
        <v>3</v>
      </c>
      <c r="V3" s="5" t="s">
        <v>56</v>
      </c>
      <c r="W3" s="5" t="s">
        <v>57</v>
      </c>
      <c r="X3" s="5">
        <v>2</v>
      </c>
      <c r="Y3" s="5" t="s">
        <v>49</v>
      </c>
      <c r="Z3" s="5" t="s">
        <v>50</v>
      </c>
      <c r="AA3" s="6">
        <v>45659</v>
      </c>
      <c r="AB3" s="5" t="s">
        <v>45</v>
      </c>
      <c r="AC3" s="5" t="s">
        <v>45</v>
      </c>
      <c r="AD3" s="5" t="s">
        <v>45</v>
      </c>
      <c r="AE3" s="5" t="s">
        <v>52</v>
      </c>
      <c r="AF3" s="5" t="s">
        <v>45</v>
      </c>
      <c r="AG3" s="5">
        <v>2</v>
      </c>
      <c r="AH3" s="8">
        <v>15.31</v>
      </c>
      <c r="AI3" s="8">
        <v>-3.5</v>
      </c>
      <c r="AJ3" s="8">
        <v>-2.5</v>
      </c>
      <c r="AK3" s="10" t="s">
        <v>46</v>
      </c>
      <c r="AL3" s="5"/>
      <c r="AM3" s="5">
        <v>2</v>
      </c>
      <c r="AN3" s="6">
        <v>45657</v>
      </c>
      <c r="AO3" s="5" t="s">
        <v>53</v>
      </c>
      <c r="AP3" s="5" t="s">
        <v>45</v>
      </c>
      <c r="AQ3" s="5" t="s">
        <v>46</v>
      </c>
      <c r="AR3" s="5" t="s">
        <v>47</v>
      </c>
      <c r="AS3" s="9">
        <v>0.72916666666666663</v>
      </c>
      <c r="AT3" s="9">
        <v>0.89583333333333337</v>
      </c>
      <c r="AU3" s="5">
        <v>1.2504999999999999</v>
      </c>
      <c r="AV3" s="5">
        <v>1.25122</v>
      </c>
      <c r="AW3" s="5">
        <v>1.25336</v>
      </c>
      <c r="AX3" s="5">
        <v>1.2455000000000001</v>
      </c>
      <c r="AY3" s="5" t="s">
        <v>58</v>
      </c>
      <c r="AZ3" s="8">
        <v>-2.86</v>
      </c>
      <c r="BA3" s="5">
        <v>9</v>
      </c>
      <c r="BB3" s="8">
        <v>0.01</v>
      </c>
      <c r="BC3" s="8">
        <v>-2.21</v>
      </c>
      <c r="BD3" s="5">
        <v>2</v>
      </c>
      <c r="BE3" s="5" t="s">
        <v>55</v>
      </c>
      <c r="BF3" s="8">
        <v>-0.72</v>
      </c>
      <c r="BG3" s="6">
        <v>45659</v>
      </c>
      <c r="BH3" s="5" t="s">
        <v>45</v>
      </c>
      <c r="BI3" s="5" t="s">
        <v>45</v>
      </c>
      <c r="BJ3" s="5" t="s">
        <v>45</v>
      </c>
      <c r="BK3" s="5" t="s">
        <v>52</v>
      </c>
      <c r="BL3" s="5" t="s">
        <v>45</v>
      </c>
      <c r="BM3" s="8">
        <v>15.31</v>
      </c>
      <c r="BN3" s="8">
        <v>-3.5</v>
      </c>
      <c r="BO3" s="8">
        <v>-2.86</v>
      </c>
      <c r="BP3" s="10" t="s">
        <v>46</v>
      </c>
    </row>
    <row r="4" spans="1:68" ht="14.5" customHeight="1" x14ac:dyDescent="0.35">
      <c r="A4" s="5">
        <v>3</v>
      </c>
      <c r="B4" s="6">
        <v>45649</v>
      </c>
      <c r="C4" s="5" t="s">
        <v>44</v>
      </c>
      <c r="D4" s="5" t="s">
        <v>45</v>
      </c>
      <c r="E4" s="5" t="s">
        <v>46</v>
      </c>
      <c r="F4" s="5" t="s">
        <v>47</v>
      </c>
      <c r="G4" s="7">
        <v>0.47916666666666669</v>
      </c>
      <c r="H4" s="7">
        <v>0.97916666666666663</v>
      </c>
      <c r="I4" s="5">
        <v>1.2538</v>
      </c>
      <c r="J4" s="5">
        <v>1.25322</v>
      </c>
      <c r="K4" s="8">
        <v>-2.5</v>
      </c>
      <c r="L4" s="8">
        <v>5</v>
      </c>
      <c r="M4" s="5">
        <v>1.2563</v>
      </c>
      <c r="N4" s="5">
        <v>1.2487999999999999</v>
      </c>
      <c r="O4" s="5">
        <v>25</v>
      </c>
      <c r="P4" s="8">
        <v>2.84</v>
      </c>
      <c r="Q4" s="8">
        <v>-0.08</v>
      </c>
      <c r="R4" s="5">
        <v>2</v>
      </c>
      <c r="S4" s="5" t="s">
        <v>55</v>
      </c>
      <c r="T4" s="8">
        <v>0.57999999999999996</v>
      </c>
      <c r="U4" s="5">
        <v>5</v>
      </c>
      <c r="V4" s="5" t="s">
        <v>49</v>
      </c>
      <c r="W4" s="5" t="s">
        <v>59</v>
      </c>
      <c r="X4" s="5">
        <v>1</v>
      </c>
      <c r="Y4" s="5" t="s">
        <v>49</v>
      </c>
      <c r="Z4" s="5" t="s">
        <v>60</v>
      </c>
      <c r="AA4" s="6">
        <v>45650</v>
      </c>
      <c r="AB4" s="5" t="s">
        <v>45</v>
      </c>
      <c r="AC4" s="5" t="s">
        <v>52</v>
      </c>
      <c r="AD4" s="8" t="s">
        <v>45</v>
      </c>
      <c r="AE4" s="8" t="s">
        <v>52</v>
      </c>
      <c r="AF4" s="8" t="s">
        <v>52</v>
      </c>
      <c r="AG4" s="5">
        <v>20</v>
      </c>
      <c r="AH4" s="8">
        <v>2</v>
      </c>
      <c r="AI4" s="8">
        <v>-3.63</v>
      </c>
      <c r="AJ4" s="8">
        <v>-2.5</v>
      </c>
      <c r="AK4" s="10" t="s">
        <v>46</v>
      </c>
      <c r="AL4" s="5"/>
      <c r="AM4" s="5">
        <v>3</v>
      </c>
      <c r="AN4" s="6">
        <v>45649</v>
      </c>
      <c r="AO4" s="5" t="s">
        <v>53</v>
      </c>
      <c r="AP4" s="5" t="s">
        <v>45</v>
      </c>
      <c r="AQ4" s="5" t="s">
        <v>46</v>
      </c>
      <c r="AR4" s="5" t="s">
        <v>47</v>
      </c>
      <c r="AS4" s="9">
        <v>0.47916666666666669</v>
      </c>
      <c r="AT4" s="9">
        <v>0.97916666666666663</v>
      </c>
      <c r="AU4" s="5">
        <v>1.2538</v>
      </c>
      <c r="AV4" s="5">
        <v>1.25322</v>
      </c>
      <c r="AW4" s="5">
        <v>1.2567999999999999</v>
      </c>
      <c r="AX4" s="5">
        <v>1.2487999999999999</v>
      </c>
      <c r="AY4" s="5" t="s">
        <v>61</v>
      </c>
      <c r="AZ4" s="8">
        <v>-3</v>
      </c>
      <c r="BA4" s="5">
        <v>25</v>
      </c>
      <c r="BB4" s="8">
        <v>2.84</v>
      </c>
      <c r="BC4" s="8">
        <v>-0.08</v>
      </c>
      <c r="BD4" s="5">
        <v>2</v>
      </c>
      <c r="BE4" s="5" t="s">
        <v>55</v>
      </c>
      <c r="BF4" s="8">
        <v>0.57999999999999996</v>
      </c>
      <c r="BG4" s="6">
        <v>45650</v>
      </c>
      <c r="BH4" s="5" t="s">
        <v>45</v>
      </c>
      <c r="BI4" s="5" t="s">
        <v>45</v>
      </c>
      <c r="BJ4" s="5" t="s">
        <v>45</v>
      </c>
      <c r="BK4" s="5" t="s">
        <v>52</v>
      </c>
      <c r="BL4" s="5" t="s">
        <v>52</v>
      </c>
      <c r="BM4" s="8">
        <v>2</v>
      </c>
      <c r="BN4" s="8">
        <v>-3.63</v>
      </c>
      <c r="BO4" s="8">
        <v>-3</v>
      </c>
      <c r="BP4" s="10" t="s">
        <v>46</v>
      </c>
    </row>
    <row r="5" spans="1:68" ht="14.5" customHeight="1" x14ac:dyDescent="0.35">
      <c r="A5" s="5">
        <v>4</v>
      </c>
      <c r="B5" s="6">
        <v>45644</v>
      </c>
      <c r="C5" s="5" t="s">
        <v>44</v>
      </c>
      <c r="D5" s="5" t="s">
        <v>45</v>
      </c>
      <c r="E5" s="5" t="s">
        <v>46</v>
      </c>
      <c r="F5" s="5" t="s">
        <v>47</v>
      </c>
      <c r="G5" s="7">
        <v>0.8125</v>
      </c>
      <c r="H5" s="7">
        <v>0.97916666666666663</v>
      </c>
      <c r="I5" s="5">
        <v>1.2605999999999999</v>
      </c>
      <c r="J5" s="5">
        <v>1.2566999999999999</v>
      </c>
      <c r="K5" s="8">
        <v>-2.5</v>
      </c>
      <c r="L5" s="8">
        <v>5</v>
      </c>
      <c r="M5" s="5">
        <v>1.2630999999999999</v>
      </c>
      <c r="N5" s="5">
        <v>1.2556</v>
      </c>
      <c r="O5" s="5">
        <v>9</v>
      </c>
      <c r="P5" s="8">
        <v>4.42</v>
      </c>
      <c r="Q5" s="8">
        <v>0</v>
      </c>
      <c r="R5" s="5">
        <v>0</v>
      </c>
      <c r="S5" s="5" t="s">
        <v>55</v>
      </c>
      <c r="T5" s="8">
        <v>3.9</v>
      </c>
      <c r="U5" s="5">
        <v>6</v>
      </c>
      <c r="V5" s="5" t="s">
        <v>49</v>
      </c>
      <c r="W5" s="5" t="s">
        <v>62</v>
      </c>
      <c r="X5" s="5">
        <v>5</v>
      </c>
      <c r="Y5" s="5" t="s">
        <v>49</v>
      </c>
      <c r="Z5" s="5" t="s">
        <v>63</v>
      </c>
      <c r="AA5" s="6">
        <v>45645</v>
      </c>
      <c r="AB5" s="5" t="s">
        <v>45</v>
      </c>
      <c r="AC5" s="5" t="s">
        <v>45</v>
      </c>
      <c r="AD5" s="8" t="s">
        <v>45</v>
      </c>
      <c r="AE5" s="8" t="s">
        <v>52</v>
      </c>
      <c r="AF5" s="8" t="s">
        <v>45</v>
      </c>
      <c r="AG5" s="5">
        <v>7</v>
      </c>
      <c r="AH5" s="8">
        <v>11.15</v>
      </c>
      <c r="AI5" s="8">
        <v>-6.04</v>
      </c>
      <c r="AJ5" s="8">
        <v>-2.5</v>
      </c>
      <c r="AK5" s="10" t="s">
        <v>46</v>
      </c>
      <c r="AL5" s="5"/>
      <c r="AM5" s="5">
        <v>4</v>
      </c>
      <c r="AN5" s="6">
        <v>45644</v>
      </c>
      <c r="AO5" s="5" t="s">
        <v>53</v>
      </c>
      <c r="AP5" s="5" t="s">
        <v>45</v>
      </c>
      <c r="AQ5" s="5" t="s">
        <v>46</v>
      </c>
      <c r="AR5" s="5" t="s">
        <v>47</v>
      </c>
      <c r="AS5" s="9">
        <v>0.8125</v>
      </c>
      <c r="AT5" s="9">
        <v>0.97916666666666663</v>
      </c>
      <c r="AU5" s="5">
        <v>1.2605999999999999</v>
      </c>
      <c r="AV5" s="5">
        <v>1.2566999999999999</v>
      </c>
      <c r="AW5" s="5">
        <v>1.2635099999999999</v>
      </c>
      <c r="AX5" s="5">
        <v>1.2556</v>
      </c>
      <c r="AY5" s="5" t="s">
        <v>64</v>
      </c>
      <c r="AZ5" s="8">
        <v>-2.91</v>
      </c>
      <c r="BA5" s="5">
        <v>9</v>
      </c>
      <c r="BB5" s="8">
        <v>4.42</v>
      </c>
      <c r="BC5" s="8">
        <v>0</v>
      </c>
      <c r="BD5" s="5">
        <v>0</v>
      </c>
      <c r="BE5" s="5" t="s">
        <v>55</v>
      </c>
      <c r="BF5" s="8">
        <v>3.9</v>
      </c>
      <c r="BG5" s="6">
        <v>45645</v>
      </c>
      <c r="BH5" s="5" t="s">
        <v>45</v>
      </c>
      <c r="BI5" s="5" t="s">
        <v>45</v>
      </c>
      <c r="BJ5" s="8" t="s">
        <v>45</v>
      </c>
      <c r="BK5" s="8" t="s">
        <v>52</v>
      </c>
      <c r="BL5" s="8" t="s">
        <v>45</v>
      </c>
      <c r="BM5" s="8">
        <v>11.15</v>
      </c>
      <c r="BN5" s="8">
        <v>-6.04</v>
      </c>
      <c r="BO5" s="8">
        <v>-2.5</v>
      </c>
      <c r="BP5" s="10" t="s">
        <v>46</v>
      </c>
    </row>
    <row r="6" spans="1:68" ht="14.5" customHeight="1" x14ac:dyDescent="0.35">
      <c r="A6" s="5">
        <v>5</v>
      </c>
      <c r="B6" s="6">
        <v>45638</v>
      </c>
      <c r="C6" s="5" t="s">
        <v>44</v>
      </c>
      <c r="D6" s="5" t="s">
        <v>45</v>
      </c>
      <c r="E6" s="5" t="s">
        <v>46</v>
      </c>
      <c r="F6" s="5" t="s">
        <v>47</v>
      </c>
      <c r="G6" s="7">
        <v>0.625</v>
      </c>
      <c r="H6" s="7">
        <v>0.97916666666666663</v>
      </c>
      <c r="I6" s="5">
        <v>1.2694000000000001</v>
      </c>
      <c r="J6" s="5">
        <v>1.26766</v>
      </c>
      <c r="K6" s="8">
        <v>-2.5</v>
      </c>
      <c r="L6" s="8">
        <v>5</v>
      </c>
      <c r="M6" s="5">
        <v>1.2719</v>
      </c>
      <c r="N6" s="5">
        <v>1.2644</v>
      </c>
      <c r="O6" s="5">
        <v>18</v>
      </c>
      <c r="P6" s="8">
        <v>2.91</v>
      </c>
      <c r="Q6" s="8">
        <v>-2.4900000000000002</v>
      </c>
      <c r="R6" s="5">
        <v>3</v>
      </c>
      <c r="S6" s="5" t="s">
        <v>55</v>
      </c>
      <c r="T6" s="8">
        <v>1.74</v>
      </c>
      <c r="U6" s="5">
        <v>3</v>
      </c>
      <c r="V6" s="5" t="s">
        <v>49</v>
      </c>
      <c r="W6" s="5" t="s">
        <v>65</v>
      </c>
      <c r="X6" s="5">
        <v>2</v>
      </c>
      <c r="Y6" s="5" t="s">
        <v>49</v>
      </c>
      <c r="Z6" s="5" t="s">
        <v>66</v>
      </c>
      <c r="AA6" s="6">
        <v>45639</v>
      </c>
      <c r="AB6" s="5" t="s">
        <v>45</v>
      </c>
      <c r="AC6" s="5" t="s">
        <v>45</v>
      </c>
      <c r="AD6" s="8" t="s">
        <v>52</v>
      </c>
      <c r="AE6" s="8" t="s">
        <v>45</v>
      </c>
      <c r="AF6" s="8" t="s">
        <v>46</v>
      </c>
      <c r="AG6" s="5" t="s">
        <v>46</v>
      </c>
      <c r="AH6" s="8">
        <v>8.6199999999999992</v>
      </c>
      <c r="AI6" s="8">
        <v>0</v>
      </c>
      <c r="AJ6" s="8">
        <v>5</v>
      </c>
      <c r="AK6" s="10" t="s">
        <v>46</v>
      </c>
      <c r="AL6" s="5"/>
      <c r="AM6" s="5">
        <v>5</v>
      </c>
      <c r="AN6" s="6">
        <v>45638</v>
      </c>
      <c r="AO6" s="5" t="s">
        <v>53</v>
      </c>
      <c r="AP6" s="5" t="s">
        <v>45</v>
      </c>
      <c r="AQ6" s="5" t="s">
        <v>46</v>
      </c>
      <c r="AR6" s="5" t="s">
        <v>47</v>
      </c>
      <c r="AS6" s="9">
        <v>0.625</v>
      </c>
      <c r="AT6" s="9">
        <v>0.97916666666666663</v>
      </c>
      <c r="AU6" s="5">
        <v>1.2694000000000001</v>
      </c>
      <c r="AV6" s="5">
        <v>1.26766</v>
      </c>
      <c r="AW6" s="5">
        <v>1.2724</v>
      </c>
      <c r="AX6" s="5">
        <v>1.2644</v>
      </c>
      <c r="AY6" s="5" t="s">
        <v>61</v>
      </c>
      <c r="AZ6" s="8">
        <v>-3</v>
      </c>
      <c r="BA6" s="5">
        <v>18</v>
      </c>
      <c r="BB6" s="8">
        <v>2.91</v>
      </c>
      <c r="BC6" s="8">
        <v>-2.4900000000000002</v>
      </c>
      <c r="BD6" s="5">
        <v>3</v>
      </c>
      <c r="BE6" s="5" t="s">
        <v>55</v>
      </c>
      <c r="BF6" s="8">
        <v>1.74</v>
      </c>
      <c r="BG6" s="6">
        <v>45639</v>
      </c>
      <c r="BH6" s="5" t="s">
        <v>45</v>
      </c>
      <c r="BI6" s="5" t="s">
        <v>45</v>
      </c>
      <c r="BJ6" s="8" t="s">
        <v>52</v>
      </c>
      <c r="BK6" s="8" t="s">
        <v>45</v>
      </c>
      <c r="BL6" s="8" t="s">
        <v>46</v>
      </c>
      <c r="BM6" s="8">
        <v>8.6199999999999992</v>
      </c>
      <c r="BN6" s="8">
        <v>0</v>
      </c>
      <c r="BO6" s="8">
        <v>5</v>
      </c>
      <c r="BP6" s="10" t="s">
        <v>46</v>
      </c>
    </row>
    <row r="7" spans="1:68" ht="14.5" customHeight="1" x14ac:dyDescent="0.35">
      <c r="A7" s="5">
        <v>6</v>
      </c>
      <c r="B7" s="6">
        <v>45635</v>
      </c>
      <c r="C7" s="5" t="s">
        <v>44</v>
      </c>
      <c r="D7" s="5" t="s">
        <v>45</v>
      </c>
      <c r="E7" s="5" t="s">
        <v>46</v>
      </c>
      <c r="F7" s="5" t="s">
        <v>67</v>
      </c>
      <c r="G7" s="7">
        <v>0.375</v>
      </c>
      <c r="H7" s="7">
        <v>0.52083333333333337</v>
      </c>
      <c r="I7" s="5">
        <v>1.2778</v>
      </c>
      <c r="J7" s="5">
        <v>1.2753000000000001</v>
      </c>
      <c r="K7" s="8">
        <v>-2.5</v>
      </c>
      <c r="L7" s="8">
        <v>5</v>
      </c>
      <c r="M7" s="5">
        <v>1.2753000000000001</v>
      </c>
      <c r="N7" s="5">
        <v>1.2827999999999999</v>
      </c>
      <c r="O7" s="5">
        <v>8</v>
      </c>
      <c r="P7" s="8">
        <v>2.0499999999999998</v>
      </c>
      <c r="Q7" s="8">
        <v>-3.67</v>
      </c>
      <c r="R7" s="5">
        <v>12</v>
      </c>
      <c r="S7" s="5" t="s">
        <v>68</v>
      </c>
      <c r="T7" s="8">
        <v>-2.5</v>
      </c>
      <c r="U7" s="5">
        <v>3</v>
      </c>
      <c r="V7" s="5" t="s">
        <v>56</v>
      </c>
      <c r="W7" s="5" t="s">
        <v>69</v>
      </c>
      <c r="X7" s="5">
        <v>5</v>
      </c>
      <c r="Y7" s="5" t="s">
        <v>49</v>
      </c>
      <c r="Z7" s="5" t="s">
        <v>70</v>
      </c>
      <c r="AA7" s="6">
        <v>45636</v>
      </c>
      <c r="AB7" s="5" t="s">
        <v>52</v>
      </c>
      <c r="AC7" s="5" t="s">
        <v>52</v>
      </c>
      <c r="AD7" s="8" t="s">
        <v>46</v>
      </c>
      <c r="AE7" s="8" t="s">
        <v>46</v>
      </c>
      <c r="AF7" s="8" t="s">
        <v>46</v>
      </c>
      <c r="AG7" s="5" t="s">
        <v>46</v>
      </c>
      <c r="AH7" s="8">
        <v>0</v>
      </c>
      <c r="AI7" s="8">
        <v>0</v>
      </c>
      <c r="AJ7" s="8">
        <v>0</v>
      </c>
      <c r="AK7" s="10" t="s">
        <v>46</v>
      </c>
      <c r="AL7" s="5"/>
      <c r="AM7" s="5">
        <v>6</v>
      </c>
      <c r="AN7" s="6">
        <v>45635</v>
      </c>
      <c r="AO7" s="5" t="s">
        <v>53</v>
      </c>
      <c r="AP7" s="5" t="s">
        <v>45</v>
      </c>
      <c r="AQ7" s="5" t="s">
        <v>46</v>
      </c>
      <c r="AR7" s="5" t="s">
        <v>67</v>
      </c>
      <c r="AS7" s="9">
        <v>0.375</v>
      </c>
      <c r="AT7" s="9">
        <v>0.83333333333333337</v>
      </c>
      <c r="AU7" s="5">
        <v>1.2778</v>
      </c>
      <c r="AV7" s="5">
        <v>1.27477</v>
      </c>
      <c r="AW7" s="5">
        <v>1.27477</v>
      </c>
      <c r="AX7" s="5">
        <v>1.2827999999999999</v>
      </c>
      <c r="AY7" s="5" t="s">
        <v>71</v>
      </c>
      <c r="AZ7" s="8">
        <v>-3.03</v>
      </c>
      <c r="BA7" s="5">
        <v>23</v>
      </c>
      <c r="BB7" s="8">
        <v>2.0499999999999998</v>
      </c>
      <c r="BC7" s="8">
        <v>-3.67</v>
      </c>
      <c r="BD7" s="5">
        <v>12</v>
      </c>
      <c r="BE7" s="5" t="s">
        <v>68</v>
      </c>
      <c r="BF7" s="8">
        <v>-3.03</v>
      </c>
      <c r="BG7" s="6">
        <v>45636</v>
      </c>
      <c r="BH7" s="5" t="s">
        <v>52</v>
      </c>
      <c r="BI7" s="5" t="s">
        <v>52</v>
      </c>
      <c r="BJ7" s="8" t="s">
        <v>46</v>
      </c>
      <c r="BK7" s="8" t="s">
        <v>46</v>
      </c>
      <c r="BL7" s="8" t="s">
        <v>46</v>
      </c>
      <c r="BM7" s="8">
        <v>0</v>
      </c>
      <c r="BN7" s="8">
        <v>0</v>
      </c>
      <c r="BO7" s="8">
        <v>0</v>
      </c>
      <c r="BP7" s="5" t="s">
        <v>46</v>
      </c>
    </row>
    <row r="8" spans="1:68" ht="14.5" customHeight="1" x14ac:dyDescent="0.35">
      <c r="A8" s="5">
        <v>7</v>
      </c>
      <c r="B8" s="6">
        <v>45632</v>
      </c>
      <c r="C8" s="5" t="s">
        <v>44</v>
      </c>
      <c r="D8" s="5" t="s">
        <v>45</v>
      </c>
      <c r="E8" s="5" t="s">
        <v>46</v>
      </c>
      <c r="F8" s="5" t="s">
        <v>67</v>
      </c>
      <c r="G8" s="7">
        <v>0.3125</v>
      </c>
      <c r="H8" s="7">
        <v>0.625</v>
      </c>
      <c r="I8" s="5">
        <v>1.2762</v>
      </c>
      <c r="J8" s="5">
        <v>1.2737000000000001</v>
      </c>
      <c r="K8" s="8">
        <v>-2.5</v>
      </c>
      <c r="L8" s="8">
        <v>5</v>
      </c>
      <c r="M8" s="5">
        <v>1.2737000000000001</v>
      </c>
      <c r="N8" s="5">
        <v>1.2811999999999999</v>
      </c>
      <c r="O8" s="5">
        <v>16</v>
      </c>
      <c r="P8" s="8">
        <v>4.8899999999999997</v>
      </c>
      <c r="Q8" s="8">
        <v>-4.1100000000000003</v>
      </c>
      <c r="R8" s="5">
        <v>10</v>
      </c>
      <c r="S8" s="5" t="s">
        <v>68</v>
      </c>
      <c r="T8" s="8">
        <v>-2.5</v>
      </c>
      <c r="U8" s="5">
        <v>3</v>
      </c>
      <c r="V8" s="5" t="s">
        <v>49</v>
      </c>
      <c r="W8" s="5" t="s">
        <v>72</v>
      </c>
      <c r="X8" s="5">
        <v>5</v>
      </c>
      <c r="Y8" s="5" t="s">
        <v>49</v>
      </c>
      <c r="Z8" s="5" t="s">
        <v>70</v>
      </c>
      <c r="AA8" s="6">
        <v>45635</v>
      </c>
      <c r="AB8" s="5" t="s">
        <v>52</v>
      </c>
      <c r="AC8" s="5" t="s">
        <v>52</v>
      </c>
      <c r="AD8" s="8" t="s">
        <v>46</v>
      </c>
      <c r="AE8" s="8" t="s">
        <v>46</v>
      </c>
      <c r="AF8" s="8" t="s">
        <v>46</v>
      </c>
      <c r="AG8" s="5" t="s">
        <v>46</v>
      </c>
      <c r="AH8" s="8">
        <v>0</v>
      </c>
      <c r="AI8" s="8">
        <v>0</v>
      </c>
      <c r="AJ8" s="8">
        <v>0</v>
      </c>
      <c r="AK8" s="10" t="s">
        <v>46</v>
      </c>
      <c r="AL8" s="5"/>
      <c r="AM8" s="5">
        <v>7</v>
      </c>
      <c r="AN8" s="6">
        <v>45632</v>
      </c>
      <c r="AO8" s="5" t="s">
        <v>53</v>
      </c>
      <c r="AP8" s="5" t="s">
        <v>45</v>
      </c>
      <c r="AQ8" s="5" t="s">
        <v>46</v>
      </c>
      <c r="AR8" s="5" t="s">
        <v>67</v>
      </c>
      <c r="AS8" s="9">
        <v>0.3125</v>
      </c>
      <c r="AT8" s="9">
        <v>0.625</v>
      </c>
      <c r="AU8" s="5">
        <v>1.2762</v>
      </c>
      <c r="AV8" s="5">
        <v>1.2731699999999999</v>
      </c>
      <c r="AW8" s="5">
        <v>1.2731699999999999</v>
      </c>
      <c r="AX8" s="5">
        <v>1.2811999999999999</v>
      </c>
      <c r="AY8" s="5" t="s">
        <v>73</v>
      </c>
      <c r="AZ8" s="8">
        <v>-3.03</v>
      </c>
      <c r="BA8" s="5">
        <v>16</v>
      </c>
      <c r="BB8" s="8">
        <v>4.8899999999999997</v>
      </c>
      <c r="BC8" s="8">
        <v>-4.1100000000000003</v>
      </c>
      <c r="BD8" s="5">
        <v>10</v>
      </c>
      <c r="BE8" s="5" t="s">
        <v>68</v>
      </c>
      <c r="BF8" s="8">
        <v>-3.03</v>
      </c>
      <c r="BG8" s="6">
        <v>45635</v>
      </c>
      <c r="BH8" s="5" t="s">
        <v>52</v>
      </c>
      <c r="BI8" s="5" t="s">
        <v>52</v>
      </c>
      <c r="BJ8" s="8" t="s">
        <v>46</v>
      </c>
      <c r="BK8" s="8" t="s">
        <v>46</v>
      </c>
      <c r="BL8" s="8" t="s">
        <v>46</v>
      </c>
      <c r="BM8" s="8">
        <v>0</v>
      </c>
      <c r="BN8" s="8">
        <v>0</v>
      </c>
      <c r="BO8" s="8">
        <v>0</v>
      </c>
      <c r="BP8" s="5" t="s">
        <v>46</v>
      </c>
    </row>
    <row r="9" spans="1:68" ht="14.5" customHeight="1" x14ac:dyDescent="0.35">
      <c r="A9" s="5">
        <v>8</v>
      </c>
      <c r="B9" s="6">
        <v>45631</v>
      </c>
      <c r="C9" s="5" t="s">
        <v>44</v>
      </c>
      <c r="D9" s="5" t="s">
        <v>45</v>
      </c>
      <c r="E9" s="5" t="s">
        <v>46</v>
      </c>
      <c r="F9" s="5" t="s">
        <v>67</v>
      </c>
      <c r="G9" s="7">
        <v>0.5625</v>
      </c>
      <c r="H9" s="7">
        <v>0.97916666666666663</v>
      </c>
      <c r="I9" s="5">
        <v>1.2744</v>
      </c>
      <c r="J9" s="5">
        <v>1.27597</v>
      </c>
      <c r="K9" s="8">
        <v>-2.5</v>
      </c>
      <c r="L9" s="8">
        <v>5</v>
      </c>
      <c r="M9" s="5">
        <v>1.2719</v>
      </c>
      <c r="N9" s="5">
        <v>1.2794000000000001</v>
      </c>
      <c r="O9" s="5">
        <v>21</v>
      </c>
      <c r="P9" s="8">
        <v>2.62</v>
      </c>
      <c r="Q9" s="8">
        <v>-1.27</v>
      </c>
      <c r="R9" s="5">
        <v>6</v>
      </c>
      <c r="S9" s="5" t="s">
        <v>55</v>
      </c>
      <c r="T9" s="8">
        <v>1.57</v>
      </c>
      <c r="U9" s="5">
        <v>1</v>
      </c>
      <c r="V9" s="5" t="s">
        <v>49</v>
      </c>
      <c r="W9" s="5" t="s">
        <v>74</v>
      </c>
      <c r="X9" s="5">
        <v>3</v>
      </c>
      <c r="Y9" s="5" t="s">
        <v>49</v>
      </c>
      <c r="Z9" s="5" t="s">
        <v>72</v>
      </c>
      <c r="AA9" s="6">
        <v>45632</v>
      </c>
      <c r="AB9" s="5" t="s">
        <v>45</v>
      </c>
      <c r="AC9" s="5" t="s">
        <v>45</v>
      </c>
      <c r="AD9" s="8" t="s">
        <v>52</v>
      </c>
      <c r="AE9" s="8" t="s">
        <v>45</v>
      </c>
      <c r="AF9" s="8" t="s">
        <v>46</v>
      </c>
      <c r="AG9" s="5">
        <v>10</v>
      </c>
      <c r="AH9" s="8">
        <v>6.69</v>
      </c>
      <c r="AI9" s="8">
        <v>-2.4</v>
      </c>
      <c r="AJ9" s="8">
        <v>5</v>
      </c>
      <c r="AK9" s="10" t="s">
        <v>46</v>
      </c>
      <c r="AL9" s="5"/>
      <c r="AM9" s="5">
        <v>8</v>
      </c>
      <c r="AN9" s="6">
        <v>45631</v>
      </c>
      <c r="AO9" s="5" t="s">
        <v>53</v>
      </c>
      <c r="AP9" s="5" t="s">
        <v>45</v>
      </c>
      <c r="AQ9" s="5" t="s">
        <v>46</v>
      </c>
      <c r="AR9" s="5" t="s">
        <v>67</v>
      </c>
      <c r="AS9" s="7">
        <v>0.5625</v>
      </c>
      <c r="AT9" s="7">
        <v>0.97916666666666663</v>
      </c>
      <c r="AU9" s="5">
        <v>1.2744</v>
      </c>
      <c r="AV9" s="5">
        <v>1.27597</v>
      </c>
      <c r="AW9" s="5">
        <v>1.27132</v>
      </c>
      <c r="AX9" s="5">
        <v>1.2794000000000001</v>
      </c>
      <c r="AY9" s="5" t="s">
        <v>75</v>
      </c>
      <c r="AZ9" s="8">
        <v>-3.08</v>
      </c>
      <c r="BA9" s="5">
        <v>21</v>
      </c>
      <c r="BB9" s="8">
        <v>2.62</v>
      </c>
      <c r="BC9" s="8">
        <v>-1.27</v>
      </c>
      <c r="BD9" s="5">
        <v>6</v>
      </c>
      <c r="BE9" s="5" t="s">
        <v>55</v>
      </c>
      <c r="BF9" s="8">
        <v>1.57</v>
      </c>
      <c r="BG9" s="6">
        <v>45632</v>
      </c>
      <c r="BH9" s="5" t="s">
        <v>45</v>
      </c>
      <c r="BI9" s="5" t="s">
        <v>45</v>
      </c>
      <c r="BJ9" s="8" t="s">
        <v>52</v>
      </c>
      <c r="BK9" s="8" t="s">
        <v>45</v>
      </c>
      <c r="BL9" s="8" t="s">
        <v>46</v>
      </c>
      <c r="BM9" s="8">
        <v>6.69</v>
      </c>
      <c r="BN9" s="8">
        <v>-2.4</v>
      </c>
      <c r="BO9" s="8">
        <v>5</v>
      </c>
      <c r="BP9" s="5" t="s">
        <v>46</v>
      </c>
    </row>
    <row r="10" spans="1:68" ht="14.5" customHeight="1" x14ac:dyDescent="0.35">
      <c r="A10" s="5">
        <v>9</v>
      </c>
      <c r="B10" s="11">
        <v>45618</v>
      </c>
      <c r="C10" s="5" t="s">
        <v>44</v>
      </c>
      <c r="D10" s="5" t="s">
        <v>45</v>
      </c>
      <c r="E10" s="5" t="s">
        <v>46</v>
      </c>
      <c r="F10" s="5" t="s">
        <v>47</v>
      </c>
      <c r="G10" s="7">
        <v>2.0833333333333332E-2</v>
      </c>
      <c r="H10" s="7">
        <v>0.375</v>
      </c>
      <c r="I10" s="5">
        <v>1.2584</v>
      </c>
      <c r="J10" s="5">
        <v>1.2534000000000001</v>
      </c>
      <c r="K10" s="8">
        <v>-2.5</v>
      </c>
      <c r="L10" s="8">
        <v>5</v>
      </c>
      <c r="M10" s="5">
        <v>1.2608999999999999</v>
      </c>
      <c r="N10" s="5">
        <v>1.2534000000000001</v>
      </c>
      <c r="O10" s="5">
        <v>18</v>
      </c>
      <c r="P10" s="8">
        <v>9.73</v>
      </c>
      <c r="Q10" s="8">
        <v>-0.98</v>
      </c>
      <c r="R10" s="5">
        <v>7</v>
      </c>
      <c r="S10" s="5" t="s">
        <v>48</v>
      </c>
      <c r="T10" s="8">
        <v>5</v>
      </c>
      <c r="U10" s="5">
        <v>16</v>
      </c>
      <c r="V10" s="5" t="s">
        <v>56</v>
      </c>
      <c r="W10" s="12" t="s">
        <v>46</v>
      </c>
      <c r="X10" s="5">
        <v>3</v>
      </c>
      <c r="Y10" s="5" t="s">
        <v>49</v>
      </c>
      <c r="Z10" s="5" t="s">
        <v>76</v>
      </c>
      <c r="AA10" s="6">
        <v>45621</v>
      </c>
      <c r="AB10" s="5" t="s">
        <v>52</v>
      </c>
      <c r="AC10" s="5" t="s">
        <v>52</v>
      </c>
      <c r="AD10" s="8" t="s">
        <v>46</v>
      </c>
      <c r="AE10" s="8" t="s">
        <v>46</v>
      </c>
      <c r="AF10" s="8" t="s">
        <v>46</v>
      </c>
      <c r="AG10" s="5">
        <v>0</v>
      </c>
      <c r="AH10" s="8">
        <v>0</v>
      </c>
      <c r="AI10" s="8">
        <v>0</v>
      </c>
      <c r="AJ10" s="8">
        <v>0</v>
      </c>
      <c r="AK10" s="10" t="s">
        <v>46</v>
      </c>
      <c r="AL10" s="5"/>
      <c r="AM10" s="5">
        <v>9</v>
      </c>
      <c r="AN10" s="6">
        <v>45618</v>
      </c>
      <c r="AO10" s="5" t="s">
        <v>53</v>
      </c>
      <c r="AP10" s="5" t="s">
        <v>45</v>
      </c>
      <c r="AQ10" s="5" t="s">
        <v>46</v>
      </c>
      <c r="AR10" s="5" t="s">
        <v>47</v>
      </c>
      <c r="AS10" s="9">
        <v>2.0833333333333332E-2</v>
      </c>
      <c r="AT10" s="9">
        <v>0.375</v>
      </c>
      <c r="AU10" s="5">
        <v>1.2584</v>
      </c>
      <c r="AV10" s="5">
        <v>1.2534000000000001</v>
      </c>
      <c r="AW10" s="5">
        <v>1.26145</v>
      </c>
      <c r="AX10" s="5">
        <v>1.2534000000000001</v>
      </c>
      <c r="AY10" s="5" t="s">
        <v>77</v>
      </c>
      <c r="AZ10" s="8">
        <v>-3.05</v>
      </c>
      <c r="BA10" s="5">
        <v>18</v>
      </c>
      <c r="BB10" s="8">
        <v>9.73</v>
      </c>
      <c r="BC10" s="8">
        <v>-0.98</v>
      </c>
      <c r="BD10" s="5">
        <v>7</v>
      </c>
      <c r="BE10" s="5" t="s">
        <v>48</v>
      </c>
      <c r="BF10" s="8">
        <v>5</v>
      </c>
      <c r="BG10" s="6">
        <v>45621</v>
      </c>
      <c r="BH10" s="5" t="s">
        <v>52</v>
      </c>
      <c r="BI10" s="5" t="s">
        <v>52</v>
      </c>
      <c r="BJ10" s="8" t="s">
        <v>46</v>
      </c>
      <c r="BK10" s="8" t="s">
        <v>46</v>
      </c>
      <c r="BL10" s="8" t="s">
        <v>46</v>
      </c>
      <c r="BM10" s="8">
        <v>0</v>
      </c>
      <c r="BN10" s="8">
        <v>0</v>
      </c>
      <c r="BO10" s="8">
        <v>0</v>
      </c>
      <c r="BP10" s="5" t="s">
        <v>46</v>
      </c>
    </row>
    <row r="11" spans="1:68" ht="14.5" customHeight="1" x14ac:dyDescent="0.35">
      <c r="A11" s="5">
        <v>10</v>
      </c>
      <c r="B11" s="6">
        <v>45617</v>
      </c>
      <c r="C11" s="5" t="s">
        <v>44</v>
      </c>
      <c r="D11" s="5" t="s">
        <v>45</v>
      </c>
      <c r="E11" s="5" t="s">
        <v>46</v>
      </c>
      <c r="F11" s="5" t="s">
        <v>47</v>
      </c>
      <c r="G11" s="7">
        <v>0.66666666666666663</v>
      </c>
      <c r="H11" s="7">
        <v>0.97916666666666663</v>
      </c>
      <c r="I11" s="5">
        <v>1.2598</v>
      </c>
      <c r="J11" s="5">
        <v>1.2584500000000001</v>
      </c>
      <c r="K11" s="8">
        <v>-2.5</v>
      </c>
      <c r="L11" s="8">
        <v>5</v>
      </c>
      <c r="M11" s="5">
        <v>1.2623</v>
      </c>
      <c r="N11" s="5">
        <v>1.2547999999999999</v>
      </c>
      <c r="O11" s="5">
        <v>16</v>
      </c>
      <c r="P11" s="8">
        <v>2.2400000000000002</v>
      </c>
      <c r="Q11" s="8">
        <v>-0.69</v>
      </c>
      <c r="R11" s="5">
        <v>8</v>
      </c>
      <c r="S11" s="5" t="s">
        <v>55</v>
      </c>
      <c r="T11" s="8">
        <v>1.35</v>
      </c>
      <c r="U11" s="5">
        <v>3</v>
      </c>
      <c r="V11" s="5" t="s">
        <v>49</v>
      </c>
      <c r="W11" s="5" t="s">
        <v>78</v>
      </c>
      <c r="X11" s="5">
        <v>3</v>
      </c>
      <c r="Y11" s="5" t="s">
        <v>49</v>
      </c>
      <c r="Z11" s="5" t="s">
        <v>76</v>
      </c>
      <c r="AA11" s="11">
        <v>45618</v>
      </c>
      <c r="AB11" s="5" t="s">
        <v>45</v>
      </c>
      <c r="AC11" s="5" t="s">
        <v>45</v>
      </c>
      <c r="AD11" s="8" t="s">
        <v>52</v>
      </c>
      <c r="AE11" s="8" t="s">
        <v>45</v>
      </c>
      <c r="AF11" s="8" t="s">
        <v>46</v>
      </c>
      <c r="AG11" s="5" t="s">
        <v>46</v>
      </c>
      <c r="AH11" s="8">
        <v>11.13</v>
      </c>
      <c r="AI11" s="8">
        <v>0</v>
      </c>
      <c r="AJ11" s="8">
        <v>5</v>
      </c>
      <c r="AK11" s="10" t="s">
        <v>46</v>
      </c>
      <c r="AL11" s="5"/>
      <c r="AM11" s="5">
        <v>10</v>
      </c>
      <c r="AN11" s="6">
        <v>45617</v>
      </c>
      <c r="AO11" s="5" t="s">
        <v>53</v>
      </c>
      <c r="AP11" s="5" t="s">
        <v>45</v>
      </c>
      <c r="AQ11" s="5" t="s">
        <v>46</v>
      </c>
      <c r="AR11" s="5" t="s">
        <v>47</v>
      </c>
      <c r="AS11" s="7">
        <v>0.66666666666666663</v>
      </c>
      <c r="AT11" s="7">
        <v>0.97916666666666663</v>
      </c>
      <c r="AU11" s="5">
        <v>1.2598</v>
      </c>
      <c r="AV11" s="5">
        <v>1.2584500000000001</v>
      </c>
      <c r="AW11" s="5">
        <v>1.26284</v>
      </c>
      <c r="AX11" s="5">
        <v>1.2547999999999999</v>
      </c>
      <c r="AY11" s="5" t="s">
        <v>79</v>
      </c>
      <c r="AZ11" s="8">
        <v>-3.04</v>
      </c>
      <c r="BA11" s="5">
        <v>16</v>
      </c>
      <c r="BB11" s="8">
        <v>2.2400000000000002</v>
      </c>
      <c r="BC11" s="8">
        <v>-0.69</v>
      </c>
      <c r="BD11" s="5">
        <v>8</v>
      </c>
      <c r="BE11" s="5" t="s">
        <v>55</v>
      </c>
      <c r="BF11" s="8">
        <v>1.35</v>
      </c>
      <c r="BG11" s="11">
        <v>45618</v>
      </c>
      <c r="BH11" s="5" t="s">
        <v>45</v>
      </c>
      <c r="BI11" s="5" t="s">
        <v>45</v>
      </c>
      <c r="BJ11" s="8" t="s">
        <v>52</v>
      </c>
      <c r="BK11" s="8" t="s">
        <v>45</v>
      </c>
      <c r="BL11" s="8" t="s">
        <v>46</v>
      </c>
      <c r="BM11" s="8">
        <v>11.13</v>
      </c>
      <c r="BN11" s="8">
        <v>0</v>
      </c>
      <c r="BO11" s="8">
        <v>5</v>
      </c>
      <c r="BP11" s="10" t="s">
        <v>46</v>
      </c>
    </row>
    <row r="12" spans="1:68" ht="14.5" customHeight="1" x14ac:dyDescent="0.35">
      <c r="A12" s="5">
        <v>11</v>
      </c>
      <c r="B12" s="6">
        <v>45608</v>
      </c>
      <c r="C12" s="5" t="s">
        <v>44</v>
      </c>
      <c r="D12" s="5" t="s">
        <v>45</v>
      </c>
      <c r="E12" s="5" t="s">
        <v>46</v>
      </c>
      <c r="F12" s="5" t="s">
        <v>47</v>
      </c>
      <c r="G12" s="7">
        <v>0.14583333333333334</v>
      </c>
      <c r="H12" s="7">
        <v>0.60416666666666663</v>
      </c>
      <c r="I12" s="5">
        <v>1.2842</v>
      </c>
      <c r="J12" s="5">
        <v>1.2791999999999999</v>
      </c>
      <c r="K12" s="8">
        <v>-2.5</v>
      </c>
      <c r="L12" s="8">
        <v>5</v>
      </c>
      <c r="M12" s="5">
        <v>1.2867</v>
      </c>
      <c r="N12" s="5">
        <v>1.2791999999999999</v>
      </c>
      <c r="O12" s="5">
        <v>23</v>
      </c>
      <c r="P12" s="8">
        <v>12.35</v>
      </c>
      <c r="Q12" s="8">
        <v>-0.48</v>
      </c>
      <c r="R12" s="5">
        <v>4</v>
      </c>
      <c r="S12" s="5" t="s">
        <v>48</v>
      </c>
      <c r="T12" s="8">
        <v>5</v>
      </c>
      <c r="U12" s="5">
        <v>10</v>
      </c>
      <c r="V12" s="5" t="s">
        <v>56</v>
      </c>
      <c r="W12" s="12" t="s">
        <v>46</v>
      </c>
      <c r="X12" s="5">
        <v>3</v>
      </c>
      <c r="Y12" s="5" t="s">
        <v>49</v>
      </c>
      <c r="Z12" s="5" t="s">
        <v>80</v>
      </c>
      <c r="AA12" s="6">
        <v>45609</v>
      </c>
      <c r="AB12" s="5" t="s">
        <v>52</v>
      </c>
      <c r="AC12" s="5" t="s">
        <v>45</v>
      </c>
      <c r="AD12" s="8" t="s">
        <v>46</v>
      </c>
      <c r="AE12" s="8" t="s">
        <v>46</v>
      </c>
      <c r="AF12" s="8" t="s">
        <v>46</v>
      </c>
      <c r="AG12" s="5" t="s">
        <v>46</v>
      </c>
      <c r="AH12" s="8">
        <v>0</v>
      </c>
      <c r="AI12" s="8">
        <v>0</v>
      </c>
      <c r="AJ12" s="8">
        <v>0</v>
      </c>
      <c r="AK12" s="10" t="s">
        <v>46</v>
      </c>
      <c r="AL12" s="5"/>
      <c r="AM12" s="5">
        <v>11</v>
      </c>
      <c r="AN12" s="6">
        <v>45608</v>
      </c>
      <c r="AO12" s="5" t="s">
        <v>53</v>
      </c>
      <c r="AP12" s="5" t="s">
        <v>45</v>
      </c>
      <c r="AQ12" s="5" t="s">
        <v>46</v>
      </c>
      <c r="AR12" s="5" t="s">
        <v>47</v>
      </c>
      <c r="AS12" s="7">
        <v>0.14583333333333334</v>
      </c>
      <c r="AT12" s="7">
        <v>0.60416666666666663</v>
      </c>
      <c r="AU12" s="5">
        <v>1.2842</v>
      </c>
      <c r="AV12" s="5">
        <v>1.2791999999999999</v>
      </c>
      <c r="AW12" s="5">
        <v>1.2869999999999999</v>
      </c>
      <c r="AX12" s="5">
        <v>1.2791999999999999</v>
      </c>
      <c r="AY12" s="5" t="s">
        <v>81</v>
      </c>
      <c r="AZ12" s="8">
        <v>-2.8</v>
      </c>
      <c r="BA12" s="5">
        <v>23</v>
      </c>
      <c r="BB12" s="8">
        <v>12.35</v>
      </c>
      <c r="BC12" s="8">
        <v>-0.48</v>
      </c>
      <c r="BD12" s="5">
        <v>4</v>
      </c>
      <c r="BE12" s="5" t="s">
        <v>48</v>
      </c>
      <c r="BF12" s="8">
        <v>5</v>
      </c>
      <c r="BG12" s="6">
        <v>45609</v>
      </c>
      <c r="BH12" s="5" t="s">
        <v>52</v>
      </c>
      <c r="BI12" s="5" t="s">
        <v>45</v>
      </c>
      <c r="BJ12" s="8" t="s">
        <v>46</v>
      </c>
      <c r="BK12" s="8" t="s">
        <v>46</v>
      </c>
      <c r="BL12" s="8" t="s">
        <v>46</v>
      </c>
      <c r="BM12" s="8">
        <v>0</v>
      </c>
      <c r="BN12" s="8">
        <v>0</v>
      </c>
      <c r="BO12" s="8">
        <v>0</v>
      </c>
      <c r="BP12" s="10" t="s">
        <v>46</v>
      </c>
    </row>
    <row r="13" spans="1:68" ht="14.5" customHeight="1" x14ac:dyDescent="0.35">
      <c r="A13" s="5">
        <v>12</v>
      </c>
      <c r="B13" s="6">
        <v>45602</v>
      </c>
      <c r="C13" s="5" t="s">
        <v>44</v>
      </c>
      <c r="D13" s="5" t="s">
        <v>45</v>
      </c>
      <c r="E13" s="5" t="s">
        <v>46</v>
      </c>
      <c r="F13" s="5" t="s">
        <v>47</v>
      </c>
      <c r="G13" s="7">
        <v>0.25</v>
      </c>
      <c r="H13" s="7">
        <v>0.33333333333333331</v>
      </c>
      <c r="I13" s="5">
        <v>1.2855000000000001</v>
      </c>
      <c r="J13" s="5">
        <v>1.288</v>
      </c>
      <c r="K13" s="8">
        <v>-2.5</v>
      </c>
      <c r="L13" s="8">
        <v>5</v>
      </c>
      <c r="M13" s="5">
        <v>1.288</v>
      </c>
      <c r="N13" s="5">
        <v>1.2805</v>
      </c>
      <c r="O13" s="5">
        <v>5</v>
      </c>
      <c r="P13" s="8">
        <v>2.14</v>
      </c>
      <c r="Q13" s="8">
        <v>-6.82</v>
      </c>
      <c r="R13" s="5">
        <v>9</v>
      </c>
      <c r="S13" s="5" t="s">
        <v>68</v>
      </c>
      <c r="T13" s="8">
        <v>-2.5</v>
      </c>
      <c r="U13" s="5">
        <v>2</v>
      </c>
      <c r="V13" s="5" t="s">
        <v>49</v>
      </c>
      <c r="W13" s="5" t="s">
        <v>82</v>
      </c>
      <c r="X13" s="5">
        <v>5</v>
      </c>
      <c r="Y13" s="5" t="s">
        <v>49</v>
      </c>
      <c r="Z13" s="5" t="s">
        <v>83</v>
      </c>
      <c r="AA13" s="6">
        <v>45603</v>
      </c>
      <c r="AB13" s="5" t="s">
        <v>52</v>
      </c>
      <c r="AC13" s="5" t="s">
        <v>52</v>
      </c>
      <c r="AD13" s="8" t="s">
        <v>46</v>
      </c>
      <c r="AE13" s="8" t="s">
        <v>46</v>
      </c>
      <c r="AF13" s="8" t="s">
        <v>46</v>
      </c>
      <c r="AG13" s="5">
        <v>0</v>
      </c>
      <c r="AH13" s="8">
        <v>0</v>
      </c>
      <c r="AI13" s="8">
        <v>0</v>
      </c>
      <c r="AJ13" s="8">
        <v>0</v>
      </c>
      <c r="AK13" s="10" t="s">
        <v>46</v>
      </c>
      <c r="AL13" s="5"/>
      <c r="AM13" s="5">
        <v>12</v>
      </c>
      <c r="AN13" s="6">
        <v>45602</v>
      </c>
      <c r="AO13" s="5" t="s">
        <v>53</v>
      </c>
      <c r="AP13" s="5" t="s">
        <v>45</v>
      </c>
      <c r="AQ13" s="5" t="s">
        <v>46</v>
      </c>
      <c r="AR13" s="5" t="s">
        <v>47</v>
      </c>
      <c r="AS13" s="7">
        <v>0.25</v>
      </c>
      <c r="AT13" s="7">
        <v>0.33333333333333331</v>
      </c>
      <c r="AU13" s="5">
        <v>1.2855000000000001</v>
      </c>
      <c r="AV13" s="5">
        <v>1.2880400000000001</v>
      </c>
      <c r="AW13" s="5">
        <v>1.2880400000000001</v>
      </c>
      <c r="AX13" s="5">
        <v>1.2805</v>
      </c>
      <c r="AY13" s="5" t="s">
        <v>84</v>
      </c>
      <c r="AZ13" s="8">
        <v>-2.54</v>
      </c>
      <c r="BA13" s="5">
        <v>5</v>
      </c>
      <c r="BB13" s="8">
        <v>2.14</v>
      </c>
      <c r="BC13" s="8">
        <v>-6.82</v>
      </c>
      <c r="BD13" s="5">
        <v>9</v>
      </c>
      <c r="BE13" s="5" t="s">
        <v>68</v>
      </c>
      <c r="BF13" s="8">
        <v>-2.5</v>
      </c>
      <c r="BG13" s="6">
        <v>45603</v>
      </c>
      <c r="BH13" s="5" t="s">
        <v>52</v>
      </c>
      <c r="BI13" s="5" t="s">
        <v>52</v>
      </c>
      <c r="BJ13" s="8" t="s">
        <v>46</v>
      </c>
      <c r="BK13" s="8" t="s">
        <v>46</v>
      </c>
      <c r="BL13" s="8" t="s">
        <v>46</v>
      </c>
      <c r="BM13" s="8">
        <v>0</v>
      </c>
      <c r="BN13" s="8">
        <v>0</v>
      </c>
      <c r="BO13" s="8">
        <v>0</v>
      </c>
      <c r="BP13" s="10" t="s">
        <v>46</v>
      </c>
    </row>
    <row r="14" spans="1:68" ht="14.5" customHeight="1" x14ac:dyDescent="0.35">
      <c r="A14" s="5">
        <v>13</v>
      </c>
      <c r="B14" s="11">
        <v>45595</v>
      </c>
      <c r="C14" s="5" t="s">
        <v>44</v>
      </c>
      <c r="D14" s="5" t="s">
        <v>45</v>
      </c>
      <c r="E14" s="5" t="s">
        <v>46</v>
      </c>
      <c r="F14" s="5" t="s">
        <v>67</v>
      </c>
      <c r="G14" s="7">
        <v>2.0833333333333332E-2</v>
      </c>
      <c r="H14" s="7">
        <v>0.41666666666666669</v>
      </c>
      <c r="I14" s="5">
        <v>1.3013999999999999</v>
      </c>
      <c r="J14" s="5">
        <v>1.2988999999999999</v>
      </c>
      <c r="K14" s="8">
        <v>-2.5</v>
      </c>
      <c r="L14" s="8">
        <v>5</v>
      </c>
      <c r="M14" s="5">
        <v>1.2988999999999999</v>
      </c>
      <c r="N14" s="5">
        <v>1.3064</v>
      </c>
      <c r="O14" s="5">
        <v>20</v>
      </c>
      <c r="P14" s="8">
        <v>2.91</v>
      </c>
      <c r="Q14" s="8">
        <v>-7.76</v>
      </c>
      <c r="R14" s="5">
        <v>8</v>
      </c>
      <c r="S14" s="5" t="s">
        <v>68</v>
      </c>
      <c r="T14" s="8">
        <v>-2.5</v>
      </c>
      <c r="U14" s="5">
        <v>4</v>
      </c>
      <c r="V14" s="5" t="s">
        <v>49</v>
      </c>
      <c r="W14" s="5" t="s">
        <v>85</v>
      </c>
      <c r="X14" s="5">
        <v>4</v>
      </c>
      <c r="Y14" s="5" t="s">
        <v>49</v>
      </c>
      <c r="Z14" s="5" t="s">
        <v>86</v>
      </c>
      <c r="AA14" s="11">
        <v>45596</v>
      </c>
      <c r="AB14" s="5" t="s">
        <v>52</v>
      </c>
      <c r="AC14" s="5" t="s">
        <v>52</v>
      </c>
      <c r="AD14" s="8" t="s">
        <v>46</v>
      </c>
      <c r="AE14" s="8" t="s">
        <v>46</v>
      </c>
      <c r="AF14" s="8" t="s">
        <v>46</v>
      </c>
      <c r="AG14" s="5">
        <v>0</v>
      </c>
      <c r="AH14" s="8">
        <v>0</v>
      </c>
      <c r="AI14" s="8">
        <v>0</v>
      </c>
      <c r="AJ14" s="8">
        <v>0</v>
      </c>
      <c r="AK14" s="10" t="s">
        <v>46</v>
      </c>
      <c r="AL14" s="5"/>
      <c r="AM14" s="5">
        <v>13</v>
      </c>
      <c r="AN14" s="11">
        <v>45595</v>
      </c>
      <c r="AO14" s="5" t="s">
        <v>53</v>
      </c>
      <c r="AP14" s="5" t="s">
        <v>45</v>
      </c>
      <c r="AQ14" s="5" t="s">
        <v>46</v>
      </c>
      <c r="AR14" s="5" t="s">
        <v>67</v>
      </c>
      <c r="AS14" s="7">
        <v>2.0833333333333332E-2</v>
      </c>
      <c r="AT14" s="7">
        <v>0.41666666666666669</v>
      </c>
      <c r="AU14" s="5">
        <v>1.3013999999999999</v>
      </c>
      <c r="AV14" s="5">
        <v>1.2988999999999999</v>
      </c>
      <c r="AW14" s="5">
        <v>1.2988999999999999</v>
      </c>
      <c r="AX14" s="5">
        <v>1.3064</v>
      </c>
      <c r="AY14" s="5" t="s">
        <v>87</v>
      </c>
      <c r="AZ14" s="8">
        <v>-2.5</v>
      </c>
      <c r="BA14" s="5">
        <v>20</v>
      </c>
      <c r="BB14" s="8">
        <v>2.91</v>
      </c>
      <c r="BC14" s="8">
        <v>-7.76</v>
      </c>
      <c r="BD14" s="5">
        <v>8</v>
      </c>
      <c r="BE14" s="5" t="s">
        <v>68</v>
      </c>
      <c r="BF14" s="8">
        <v>-2.5</v>
      </c>
      <c r="BG14" s="11">
        <v>45596</v>
      </c>
      <c r="BH14" s="5" t="s">
        <v>52</v>
      </c>
      <c r="BI14" s="5" t="s">
        <v>52</v>
      </c>
      <c r="BJ14" s="8" t="s">
        <v>46</v>
      </c>
      <c r="BK14" s="8" t="s">
        <v>46</v>
      </c>
      <c r="BL14" s="8" t="s">
        <v>46</v>
      </c>
      <c r="BM14" s="8">
        <v>0</v>
      </c>
      <c r="BN14" s="8">
        <v>0</v>
      </c>
      <c r="BO14" s="8">
        <v>0</v>
      </c>
      <c r="BP14" s="10" t="s">
        <v>46</v>
      </c>
    </row>
    <row r="15" spans="1:68" ht="14.5" customHeight="1" x14ac:dyDescent="0.35">
      <c r="A15" s="5">
        <v>14</v>
      </c>
      <c r="B15" s="11">
        <v>45588</v>
      </c>
      <c r="C15" s="5" t="s">
        <v>44</v>
      </c>
      <c r="D15" s="5" t="s">
        <v>45</v>
      </c>
      <c r="E15" s="5" t="s">
        <v>46</v>
      </c>
      <c r="F15" s="5" t="s">
        <v>47</v>
      </c>
      <c r="G15" s="7">
        <v>0.47916666666666669</v>
      </c>
      <c r="H15" s="7">
        <v>0.97916666666666663</v>
      </c>
      <c r="I15" s="5">
        <v>1.2954000000000001</v>
      </c>
      <c r="J15" s="5">
        <v>1.2915000000000001</v>
      </c>
      <c r="K15" s="8">
        <v>-2.5</v>
      </c>
      <c r="L15" s="8">
        <v>5</v>
      </c>
      <c r="M15" s="5">
        <v>1.2979000000000001</v>
      </c>
      <c r="N15" s="5">
        <v>1.2904</v>
      </c>
      <c r="O15" s="5">
        <v>24</v>
      </c>
      <c r="P15" s="8">
        <v>4.72</v>
      </c>
      <c r="Q15" s="8">
        <v>-0.73</v>
      </c>
      <c r="R15" s="5">
        <v>6</v>
      </c>
      <c r="S15" s="5" t="s">
        <v>55</v>
      </c>
      <c r="T15" s="8">
        <v>3.9</v>
      </c>
      <c r="U15" s="5">
        <v>2</v>
      </c>
      <c r="V15" s="5" t="s">
        <v>49</v>
      </c>
      <c r="W15" s="5" t="s">
        <v>88</v>
      </c>
      <c r="X15" s="5">
        <v>2</v>
      </c>
      <c r="Y15" s="5" t="s">
        <v>49</v>
      </c>
      <c r="Z15" s="5" t="s">
        <v>89</v>
      </c>
      <c r="AA15" s="11">
        <v>45589</v>
      </c>
      <c r="AB15" s="5" t="s">
        <v>45</v>
      </c>
      <c r="AC15" s="5" t="s">
        <v>52</v>
      </c>
      <c r="AD15" s="8" t="s">
        <v>45</v>
      </c>
      <c r="AE15" s="8" t="s">
        <v>52</v>
      </c>
      <c r="AF15" s="8" t="s">
        <v>52</v>
      </c>
      <c r="AG15" s="5">
        <v>6</v>
      </c>
      <c r="AH15" s="8">
        <v>4.2699999999999996</v>
      </c>
      <c r="AI15" s="8">
        <v>-3.38</v>
      </c>
      <c r="AJ15" s="8">
        <v>-2.5</v>
      </c>
      <c r="AK15" s="10" t="s">
        <v>46</v>
      </c>
      <c r="AL15" s="5"/>
      <c r="AM15" s="5">
        <v>14</v>
      </c>
      <c r="AN15" s="11">
        <v>45588</v>
      </c>
      <c r="AO15" s="5" t="s">
        <v>53</v>
      </c>
      <c r="AP15" s="5" t="s">
        <v>45</v>
      </c>
      <c r="AQ15" s="5" t="s">
        <v>46</v>
      </c>
      <c r="AR15" s="5" t="s">
        <v>47</v>
      </c>
      <c r="AS15" s="7">
        <v>0.47916666666666669</v>
      </c>
      <c r="AT15" s="7">
        <v>0.97916666666666663</v>
      </c>
      <c r="AU15" s="5">
        <v>1.2954000000000001</v>
      </c>
      <c r="AV15" s="5">
        <v>1.2915000000000001</v>
      </c>
      <c r="AW15" s="5">
        <v>1.2981199999999999</v>
      </c>
      <c r="AX15" s="5">
        <v>1.2904</v>
      </c>
      <c r="AY15" s="5" t="s">
        <v>90</v>
      </c>
      <c r="AZ15" s="8">
        <v>-2.72</v>
      </c>
      <c r="BA15" s="5">
        <v>24</v>
      </c>
      <c r="BB15" s="8">
        <v>4.72</v>
      </c>
      <c r="BC15" s="8">
        <v>-0.73</v>
      </c>
      <c r="BD15" s="5">
        <v>6</v>
      </c>
      <c r="BE15" s="5" t="s">
        <v>55</v>
      </c>
      <c r="BF15" s="8">
        <v>3.9</v>
      </c>
      <c r="BG15" s="11">
        <v>45589</v>
      </c>
      <c r="BH15" s="5" t="s">
        <v>45</v>
      </c>
      <c r="BI15" s="5" t="s">
        <v>52</v>
      </c>
      <c r="BJ15" s="8" t="s">
        <v>45</v>
      </c>
      <c r="BK15" s="8" t="s">
        <v>52</v>
      </c>
      <c r="BL15" s="8" t="s">
        <v>52</v>
      </c>
      <c r="BM15" s="8">
        <v>4.2699999999999996</v>
      </c>
      <c r="BN15" s="8">
        <v>-3.38</v>
      </c>
      <c r="BO15" s="8">
        <v>-2.72</v>
      </c>
      <c r="BP15" s="10" t="s">
        <v>46</v>
      </c>
    </row>
    <row r="16" spans="1:68" ht="14.5" customHeight="1" x14ac:dyDescent="0.35">
      <c r="A16" s="5">
        <v>15</v>
      </c>
      <c r="B16" s="11">
        <v>45587</v>
      </c>
      <c r="C16" s="5" t="s">
        <v>44</v>
      </c>
      <c r="D16" s="5" t="s">
        <v>45</v>
      </c>
      <c r="E16" s="5" t="s">
        <v>46</v>
      </c>
      <c r="F16" s="5" t="s">
        <v>47</v>
      </c>
      <c r="G16" s="7">
        <v>0.39583333333333331</v>
      </c>
      <c r="H16" s="7">
        <v>0.97916666666666663</v>
      </c>
      <c r="I16" s="5">
        <v>1.2976000000000001</v>
      </c>
      <c r="J16" s="5">
        <v>1.29803</v>
      </c>
      <c r="K16" s="8">
        <v>-2.5</v>
      </c>
      <c r="L16" s="8">
        <v>5</v>
      </c>
      <c r="M16" s="5">
        <v>1.3001</v>
      </c>
      <c r="N16" s="5">
        <v>1.2926</v>
      </c>
      <c r="O16" s="5">
        <v>29</v>
      </c>
      <c r="P16" s="8">
        <v>3.19</v>
      </c>
      <c r="Q16" s="8">
        <v>-1.18</v>
      </c>
      <c r="R16" s="5">
        <v>13</v>
      </c>
      <c r="S16" s="5" t="s">
        <v>55</v>
      </c>
      <c r="T16" s="8">
        <v>-0.43</v>
      </c>
      <c r="U16" s="5">
        <v>3</v>
      </c>
      <c r="V16" s="5" t="s">
        <v>56</v>
      </c>
      <c r="W16" s="12" t="s">
        <v>46</v>
      </c>
      <c r="X16" s="5">
        <v>2</v>
      </c>
      <c r="Y16" s="5" t="s">
        <v>49</v>
      </c>
      <c r="Z16" s="5" t="s">
        <v>88</v>
      </c>
      <c r="AA16" s="11">
        <v>45588</v>
      </c>
      <c r="AB16" s="5" t="s">
        <v>45</v>
      </c>
      <c r="AC16" s="5" t="s">
        <v>45</v>
      </c>
      <c r="AD16" s="8" t="s">
        <v>52</v>
      </c>
      <c r="AE16" s="8" t="s">
        <v>45</v>
      </c>
      <c r="AF16" s="8" t="s">
        <v>46</v>
      </c>
      <c r="AG16" s="5">
        <v>11</v>
      </c>
      <c r="AH16" s="8">
        <v>6.91</v>
      </c>
      <c r="AI16" s="8">
        <v>-1.85</v>
      </c>
      <c r="AJ16" s="8">
        <v>5</v>
      </c>
      <c r="AK16" s="10" t="s">
        <v>46</v>
      </c>
      <c r="AL16" s="5"/>
      <c r="AM16" s="5">
        <v>15</v>
      </c>
      <c r="AN16" s="11">
        <v>45587</v>
      </c>
      <c r="AO16" s="5" t="s">
        <v>53</v>
      </c>
      <c r="AP16" s="5" t="s">
        <v>45</v>
      </c>
      <c r="AQ16" s="5" t="s">
        <v>46</v>
      </c>
      <c r="AR16" s="5" t="s">
        <v>47</v>
      </c>
      <c r="AS16" s="7">
        <v>0.39583333333333331</v>
      </c>
      <c r="AT16" s="7">
        <v>0.97916666666666663</v>
      </c>
      <c r="AU16" s="5">
        <v>1.2976000000000001</v>
      </c>
      <c r="AV16" s="5">
        <v>1.29803</v>
      </c>
      <c r="AW16" s="5">
        <v>1.3003400000000001</v>
      </c>
      <c r="AX16" s="5">
        <v>1.2926</v>
      </c>
      <c r="AY16" s="5" t="s">
        <v>91</v>
      </c>
      <c r="AZ16" s="8">
        <v>-2.74</v>
      </c>
      <c r="BA16" s="5">
        <v>29</v>
      </c>
      <c r="BB16" s="8">
        <v>3.19</v>
      </c>
      <c r="BC16" s="8">
        <v>-1.18</v>
      </c>
      <c r="BD16" s="5">
        <v>13</v>
      </c>
      <c r="BE16" s="5" t="s">
        <v>55</v>
      </c>
      <c r="BF16" s="8">
        <v>-0.43</v>
      </c>
      <c r="BG16" s="11">
        <v>45588</v>
      </c>
      <c r="BH16" s="5" t="s">
        <v>45</v>
      </c>
      <c r="BI16" s="5" t="s">
        <v>45</v>
      </c>
      <c r="BJ16" s="8" t="s">
        <v>52</v>
      </c>
      <c r="BK16" s="8" t="s">
        <v>45</v>
      </c>
      <c r="BL16" s="8" t="s">
        <v>46</v>
      </c>
      <c r="BM16" s="8">
        <v>6.91</v>
      </c>
      <c r="BN16" s="8">
        <v>-1.85</v>
      </c>
      <c r="BO16" s="8">
        <v>5</v>
      </c>
      <c r="BP16" s="10" t="s">
        <v>46</v>
      </c>
    </row>
    <row r="17" spans="1:68" ht="14.5" customHeight="1" x14ac:dyDescent="0.35">
      <c r="A17" s="5">
        <v>16</v>
      </c>
      <c r="B17" s="6">
        <v>45582</v>
      </c>
      <c r="C17" s="5" t="s">
        <v>44</v>
      </c>
      <c r="D17" s="5" t="s">
        <v>45</v>
      </c>
      <c r="E17" s="5" t="s">
        <v>46</v>
      </c>
      <c r="F17" s="5" t="s">
        <v>47</v>
      </c>
      <c r="G17" s="7">
        <v>0.125</v>
      </c>
      <c r="H17" s="7">
        <v>0.4375</v>
      </c>
      <c r="I17" s="5">
        <v>1.2981</v>
      </c>
      <c r="J17" s="5">
        <v>1.3006</v>
      </c>
      <c r="K17" s="8">
        <v>-2.5</v>
      </c>
      <c r="L17" s="8">
        <v>5</v>
      </c>
      <c r="M17" s="5">
        <v>1.3006</v>
      </c>
      <c r="N17" s="5">
        <v>1.2930999999999999</v>
      </c>
      <c r="O17" s="5">
        <v>16</v>
      </c>
      <c r="P17" s="8">
        <v>0.78</v>
      </c>
      <c r="Q17" s="8">
        <v>-4.18</v>
      </c>
      <c r="R17" s="5">
        <v>8</v>
      </c>
      <c r="S17" s="5" t="s">
        <v>68</v>
      </c>
      <c r="T17" s="8">
        <v>-2.5</v>
      </c>
      <c r="U17" s="5">
        <v>5</v>
      </c>
      <c r="V17" s="5" t="s">
        <v>49</v>
      </c>
      <c r="W17" s="5" t="s">
        <v>92</v>
      </c>
      <c r="X17" s="5">
        <v>10</v>
      </c>
      <c r="Y17" s="5" t="s">
        <v>56</v>
      </c>
      <c r="Z17" s="12" t="s">
        <v>46</v>
      </c>
      <c r="AA17" s="6">
        <v>45583</v>
      </c>
      <c r="AB17" s="5" t="s">
        <v>52</v>
      </c>
      <c r="AC17" s="5" t="s">
        <v>52</v>
      </c>
      <c r="AD17" s="8" t="s">
        <v>46</v>
      </c>
      <c r="AE17" s="8" t="s">
        <v>46</v>
      </c>
      <c r="AF17" s="8" t="s">
        <v>46</v>
      </c>
      <c r="AG17" s="5">
        <v>0</v>
      </c>
      <c r="AH17" s="8">
        <v>0</v>
      </c>
      <c r="AI17" s="8">
        <v>0</v>
      </c>
      <c r="AJ17" s="8">
        <v>0</v>
      </c>
      <c r="AK17" s="10" t="s">
        <v>46</v>
      </c>
      <c r="AL17" s="5"/>
      <c r="AM17" s="5">
        <v>16</v>
      </c>
      <c r="AN17" s="6">
        <v>45582</v>
      </c>
      <c r="AO17" s="5" t="s">
        <v>53</v>
      </c>
      <c r="AP17" s="5" t="s">
        <v>45</v>
      </c>
      <c r="AQ17" s="5" t="s">
        <v>46</v>
      </c>
      <c r="AR17" s="5" t="s">
        <v>47</v>
      </c>
      <c r="AS17" s="7">
        <v>0.125</v>
      </c>
      <c r="AT17" s="7">
        <v>0.4375</v>
      </c>
      <c r="AU17" s="5">
        <v>1.2981</v>
      </c>
      <c r="AV17" s="5">
        <v>1.30098</v>
      </c>
      <c r="AW17" s="5">
        <v>1.30098</v>
      </c>
      <c r="AX17" s="5">
        <v>1.2930999999999999</v>
      </c>
      <c r="AY17" s="5" t="s">
        <v>93</v>
      </c>
      <c r="AZ17" s="8">
        <v>-2.88</v>
      </c>
      <c r="BA17" s="5">
        <v>16</v>
      </c>
      <c r="BB17" s="8">
        <v>0.78</v>
      </c>
      <c r="BC17" s="8">
        <v>-4.18</v>
      </c>
      <c r="BD17" s="5">
        <v>8</v>
      </c>
      <c r="BE17" s="5" t="s">
        <v>68</v>
      </c>
      <c r="BF17" s="8">
        <v>-2.88</v>
      </c>
      <c r="BG17" s="6">
        <v>45583</v>
      </c>
      <c r="BH17" s="5" t="s">
        <v>52</v>
      </c>
      <c r="BI17" s="5" t="s">
        <v>52</v>
      </c>
      <c r="BJ17" s="8" t="s">
        <v>46</v>
      </c>
      <c r="BK17" s="8" t="s">
        <v>46</v>
      </c>
      <c r="BL17" s="8" t="s">
        <v>46</v>
      </c>
      <c r="BM17" s="8">
        <v>0</v>
      </c>
      <c r="BN17" s="8">
        <v>0</v>
      </c>
      <c r="BO17" s="8">
        <v>0</v>
      </c>
      <c r="BP17" s="10" t="s">
        <v>46</v>
      </c>
    </row>
    <row r="18" spans="1:68" ht="14.5" customHeight="1" x14ac:dyDescent="0.35">
      <c r="A18" s="5">
        <v>17</v>
      </c>
      <c r="B18" s="6">
        <v>45581</v>
      </c>
      <c r="C18" s="5" t="s">
        <v>44</v>
      </c>
      <c r="D18" s="5" t="s">
        <v>45</v>
      </c>
      <c r="E18" s="5" t="s">
        <v>46</v>
      </c>
      <c r="F18" s="5" t="s">
        <v>47</v>
      </c>
      <c r="G18" s="7">
        <v>0.25</v>
      </c>
      <c r="H18" s="7">
        <v>0.97916666666666663</v>
      </c>
      <c r="I18" s="5">
        <v>1.3025</v>
      </c>
      <c r="J18" s="5">
        <v>1.2990900000000001</v>
      </c>
      <c r="K18" s="8">
        <v>-2.5</v>
      </c>
      <c r="L18" s="8">
        <v>5</v>
      </c>
      <c r="M18" s="5">
        <v>1.3049999999999999</v>
      </c>
      <c r="N18" s="5">
        <v>1.2975000000000001</v>
      </c>
      <c r="O18" s="5">
        <v>36</v>
      </c>
      <c r="P18" s="8">
        <v>4.8600000000000003</v>
      </c>
      <c r="Q18" s="8">
        <v>-1.21</v>
      </c>
      <c r="R18" s="5">
        <v>7</v>
      </c>
      <c r="S18" s="5" t="s">
        <v>55</v>
      </c>
      <c r="T18" s="8">
        <v>3.41</v>
      </c>
      <c r="U18" s="5">
        <v>1</v>
      </c>
      <c r="V18" s="5" t="s">
        <v>49</v>
      </c>
      <c r="W18" s="5" t="s">
        <v>94</v>
      </c>
      <c r="X18" s="5">
        <v>5</v>
      </c>
      <c r="Y18" s="5" t="s">
        <v>49</v>
      </c>
      <c r="Z18" s="5" t="s">
        <v>92</v>
      </c>
      <c r="AA18" s="6">
        <v>45582</v>
      </c>
      <c r="AB18" s="5" t="s">
        <v>45</v>
      </c>
      <c r="AC18" s="5" t="s">
        <v>45</v>
      </c>
      <c r="AD18" s="8" t="s">
        <v>52</v>
      </c>
      <c r="AE18" s="8" t="s">
        <v>45</v>
      </c>
      <c r="AF18" s="8" t="s">
        <v>46</v>
      </c>
      <c r="AG18" s="5">
        <v>0</v>
      </c>
      <c r="AH18" s="8">
        <v>5.18</v>
      </c>
      <c r="AI18" s="8">
        <v>0</v>
      </c>
      <c r="AJ18" s="8">
        <v>5</v>
      </c>
      <c r="AK18" s="10" t="s">
        <v>46</v>
      </c>
      <c r="AL18" s="5"/>
      <c r="AM18" s="5">
        <v>17</v>
      </c>
      <c r="AN18" s="6">
        <v>45581</v>
      </c>
      <c r="AO18" s="5" t="s">
        <v>53</v>
      </c>
      <c r="AP18" s="5" t="s">
        <v>45</v>
      </c>
      <c r="AQ18" s="5" t="s">
        <v>46</v>
      </c>
      <c r="AR18" s="5" t="s">
        <v>47</v>
      </c>
      <c r="AS18" s="9">
        <v>0.25</v>
      </c>
      <c r="AT18" s="9">
        <v>0.97916666666666663</v>
      </c>
      <c r="AU18" s="5">
        <v>1.3025</v>
      </c>
      <c r="AV18" s="5">
        <v>1.2990900000000001</v>
      </c>
      <c r="AW18" s="5">
        <v>1.3054300000000001</v>
      </c>
      <c r="AX18" s="5">
        <v>1.2975000000000001</v>
      </c>
      <c r="AY18" s="5" t="s">
        <v>95</v>
      </c>
      <c r="AZ18" s="8">
        <v>-2.93</v>
      </c>
      <c r="BA18" s="5">
        <v>36</v>
      </c>
      <c r="BB18" s="8">
        <v>4.8600000000000003</v>
      </c>
      <c r="BC18" s="8">
        <v>-1.21</v>
      </c>
      <c r="BD18" s="5">
        <v>7</v>
      </c>
      <c r="BE18" s="5" t="s">
        <v>55</v>
      </c>
      <c r="BF18" s="8">
        <v>3.41</v>
      </c>
      <c r="BG18" s="6">
        <v>45582</v>
      </c>
      <c r="BH18" s="5" t="s">
        <v>45</v>
      </c>
      <c r="BI18" s="5" t="s">
        <v>45</v>
      </c>
      <c r="BJ18" s="8" t="s">
        <v>52</v>
      </c>
      <c r="BK18" s="8" t="s">
        <v>45</v>
      </c>
      <c r="BL18" s="8" t="s">
        <v>46</v>
      </c>
      <c r="BM18" s="8">
        <v>5.18</v>
      </c>
      <c r="BN18" s="8">
        <v>0</v>
      </c>
      <c r="BO18" s="8">
        <v>5</v>
      </c>
      <c r="BP18" s="10" t="s">
        <v>46</v>
      </c>
    </row>
    <row r="19" spans="1:68" ht="14.5" customHeight="1" x14ac:dyDescent="0.35">
      <c r="A19" s="5">
        <v>18</v>
      </c>
      <c r="B19" s="6">
        <v>45566</v>
      </c>
      <c r="C19" s="5" t="s">
        <v>44</v>
      </c>
      <c r="D19" s="5" t="s">
        <v>45</v>
      </c>
      <c r="E19" s="5" t="s">
        <v>46</v>
      </c>
      <c r="F19" s="5" t="s">
        <v>47</v>
      </c>
      <c r="G19" s="7">
        <v>0.41666666666666669</v>
      </c>
      <c r="H19" s="7">
        <v>0.6875</v>
      </c>
      <c r="I19" s="5">
        <v>1.3312999999999999</v>
      </c>
      <c r="J19" s="5">
        <v>1.3263</v>
      </c>
      <c r="K19" s="8">
        <v>-2.5</v>
      </c>
      <c r="L19" s="8">
        <v>5</v>
      </c>
      <c r="M19" s="5">
        <v>1.3338000000000001</v>
      </c>
      <c r="N19" s="5">
        <v>1.3263</v>
      </c>
      <c r="O19" s="5">
        <v>14</v>
      </c>
      <c r="P19" s="8">
        <v>7.63</v>
      </c>
      <c r="Q19" s="8">
        <v>-1.9</v>
      </c>
      <c r="R19" s="5">
        <v>4</v>
      </c>
      <c r="S19" s="5" t="s">
        <v>48</v>
      </c>
      <c r="T19" s="8">
        <v>5</v>
      </c>
      <c r="U19" s="5">
        <v>3</v>
      </c>
      <c r="V19" s="5" t="s">
        <v>49</v>
      </c>
      <c r="W19" s="5" t="s">
        <v>96</v>
      </c>
      <c r="X19" s="5">
        <v>2</v>
      </c>
      <c r="Y19" s="5" t="s">
        <v>49</v>
      </c>
      <c r="Z19" s="5" t="s">
        <v>97</v>
      </c>
      <c r="AA19" s="6">
        <v>45567</v>
      </c>
      <c r="AB19" s="5" t="s">
        <v>52</v>
      </c>
      <c r="AC19" s="5" t="s">
        <v>45</v>
      </c>
      <c r="AD19" s="8" t="s">
        <v>46</v>
      </c>
      <c r="AE19" s="8" t="s">
        <v>46</v>
      </c>
      <c r="AF19" s="8" t="s">
        <v>46</v>
      </c>
      <c r="AG19" s="5">
        <v>0</v>
      </c>
      <c r="AH19" s="8">
        <v>0</v>
      </c>
      <c r="AI19" s="8">
        <v>0</v>
      </c>
      <c r="AJ19" s="8">
        <v>0</v>
      </c>
      <c r="AK19" s="10" t="s">
        <v>46</v>
      </c>
      <c r="AL19" s="5"/>
      <c r="AM19" s="5">
        <v>18</v>
      </c>
      <c r="AN19" s="6">
        <v>45566</v>
      </c>
      <c r="AO19" s="5" t="s">
        <v>53</v>
      </c>
      <c r="AP19" s="5" t="s">
        <v>45</v>
      </c>
      <c r="AQ19" s="5" t="s">
        <v>46</v>
      </c>
      <c r="AR19" s="5" t="s">
        <v>47</v>
      </c>
      <c r="AS19" s="7">
        <v>0.41666666666666669</v>
      </c>
      <c r="AT19" s="7">
        <v>0.6875</v>
      </c>
      <c r="AU19" s="5">
        <v>1.3312999999999999</v>
      </c>
      <c r="AV19" s="5">
        <v>1.3263</v>
      </c>
      <c r="AW19" s="5">
        <v>1.3340700000000001</v>
      </c>
      <c r="AX19" s="5">
        <v>1.3263</v>
      </c>
      <c r="AY19" s="5" t="s">
        <v>98</v>
      </c>
      <c r="AZ19" s="8">
        <v>-2.77</v>
      </c>
      <c r="BA19" s="5">
        <v>14</v>
      </c>
      <c r="BB19" s="8">
        <v>7.63</v>
      </c>
      <c r="BC19" s="8">
        <v>-1.9</v>
      </c>
      <c r="BD19" s="5">
        <v>4</v>
      </c>
      <c r="BE19" s="5" t="s">
        <v>48</v>
      </c>
      <c r="BF19" s="8">
        <v>5</v>
      </c>
      <c r="BG19" s="6">
        <v>45567</v>
      </c>
      <c r="BH19" s="5" t="s">
        <v>52</v>
      </c>
      <c r="BI19" s="5" t="s">
        <v>45</v>
      </c>
      <c r="BJ19" s="8" t="s">
        <v>46</v>
      </c>
      <c r="BK19" s="8" t="s">
        <v>46</v>
      </c>
      <c r="BL19" s="8" t="s">
        <v>46</v>
      </c>
      <c r="BM19" s="8">
        <v>0</v>
      </c>
      <c r="BN19" s="8">
        <v>0</v>
      </c>
      <c r="BO19" s="8">
        <v>0</v>
      </c>
      <c r="BP19" s="10" t="s">
        <v>46</v>
      </c>
    </row>
    <row r="20" spans="1:68" ht="14.5" customHeight="1" x14ac:dyDescent="0.35">
      <c r="A20" s="5">
        <v>19</v>
      </c>
      <c r="B20" s="6" t="s">
        <v>99</v>
      </c>
      <c r="C20" s="5" t="s">
        <v>44</v>
      </c>
      <c r="D20" s="5" t="s">
        <v>45</v>
      </c>
      <c r="E20" s="5" t="s">
        <v>46</v>
      </c>
      <c r="F20" s="5" t="s">
        <v>67</v>
      </c>
      <c r="G20" s="7">
        <v>0.125</v>
      </c>
      <c r="H20" s="7">
        <v>0.625</v>
      </c>
      <c r="I20" s="5">
        <v>1.3294000000000001</v>
      </c>
      <c r="J20" s="5">
        <v>1.3269</v>
      </c>
      <c r="K20" s="8">
        <v>-2.5</v>
      </c>
      <c r="L20" s="8">
        <v>5</v>
      </c>
      <c r="M20" s="5">
        <v>1.3269</v>
      </c>
      <c r="N20" s="5">
        <v>1.3344</v>
      </c>
      <c r="O20" s="5">
        <v>25</v>
      </c>
      <c r="P20" s="8">
        <v>4.58</v>
      </c>
      <c r="Q20" s="8">
        <v>-2.63</v>
      </c>
      <c r="R20" s="5">
        <v>14</v>
      </c>
      <c r="S20" s="5" t="s">
        <v>68</v>
      </c>
      <c r="T20" s="8">
        <v>-2.5</v>
      </c>
      <c r="U20" s="5">
        <v>13</v>
      </c>
      <c r="V20" s="5" t="s">
        <v>56</v>
      </c>
      <c r="W20" s="12" t="s">
        <v>46</v>
      </c>
      <c r="X20" s="5">
        <v>1</v>
      </c>
      <c r="Y20" s="5" t="s">
        <v>49</v>
      </c>
      <c r="Z20" s="5" t="s">
        <v>100</v>
      </c>
      <c r="AA20" s="6" t="s">
        <v>101</v>
      </c>
      <c r="AB20" s="5" t="s">
        <v>52</v>
      </c>
      <c r="AC20" s="5" t="s">
        <v>45</v>
      </c>
      <c r="AD20" s="8" t="s">
        <v>46</v>
      </c>
      <c r="AE20" s="8" t="s">
        <v>46</v>
      </c>
      <c r="AF20" s="8" t="s">
        <v>45</v>
      </c>
      <c r="AG20" s="5">
        <v>0</v>
      </c>
      <c r="AH20" s="8">
        <v>0</v>
      </c>
      <c r="AI20" s="8">
        <v>0</v>
      </c>
      <c r="AJ20" s="8">
        <v>0</v>
      </c>
      <c r="AK20" s="10" t="s">
        <v>46</v>
      </c>
      <c r="AL20" s="5"/>
      <c r="AM20" s="5">
        <v>19</v>
      </c>
      <c r="AN20" s="5" t="s">
        <v>99</v>
      </c>
      <c r="AO20" s="5" t="s">
        <v>53</v>
      </c>
      <c r="AP20" s="5" t="s">
        <v>45</v>
      </c>
      <c r="AQ20" s="5" t="s">
        <v>46</v>
      </c>
      <c r="AR20" s="5" t="s">
        <v>67</v>
      </c>
      <c r="AS20" s="7">
        <v>0.125</v>
      </c>
      <c r="AT20" s="7">
        <v>0.625</v>
      </c>
      <c r="AU20" s="5">
        <v>1.3294000000000001</v>
      </c>
      <c r="AV20" s="5">
        <v>1.3267899999999999</v>
      </c>
      <c r="AW20" s="5">
        <v>1.3267899999999999</v>
      </c>
      <c r="AX20" s="5">
        <v>1.3344</v>
      </c>
      <c r="AY20" s="5" t="s">
        <v>102</v>
      </c>
      <c r="AZ20" s="8">
        <v>-2.61</v>
      </c>
      <c r="BA20" s="5">
        <v>25</v>
      </c>
      <c r="BB20" s="8">
        <v>4.58</v>
      </c>
      <c r="BC20" s="8">
        <v>-2.63</v>
      </c>
      <c r="BD20" s="5">
        <v>14</v>
      </c>
      <c r="BE20" s="5" t="s">
        <v>68</v>
      </c>
      <c r="BF20" s="8">
        <v>-2.61</v>
      </c>
      <c r="BG20" s="6">
        <v>45558</v>
      </c>
      <c r="BH20" s="5" t="s">
        <v>52</v>
      </c>
      <c r="BI20" s="5" t="s">
        <v>45</v>
      </c>
      <c r="BJ20" s="8" t="s">
        <v>46</v>
      </c>
      <c r="BK20" s="8" t="s">
        <v>46</v>
      </c>
      <c r="BL20" s="8" t="s">
        <v>45</v>
      </c>
      <c r="BM20" s="8">
        <v>0</v>
      </c>
      <c r="BN20" s="8">
        <v>0</v>
      </c>
      <c r="BO20" s="8">
        <v>0</v>
      </c>
      <c r="BP20" s="10" t="s">
        <v>46</v>
      </c>
    </row>
    <row r="21" spans="1:68" ht="14.5" customHeight="1" x14ac:dyDescent="0.35">
      <c r="A21" s="5">
        <v>20</v>
      </c>
      <c r="B21" s="6" t="s">
        <v>103</v>
      </c>
      <c r="C21" s="5" t="s">
        <v>44</v>
      </c>
      <c r="D21" s="5" t="s">
        <v>45</v>
      </c>
      <c r="E21" s="5" t="s">
        <v>46</v>
      </c>
      <c r="F21" s="5" t="s">
        <v>67</v>
      </c>
      <c r="G21" s="7">
        <v>0.14583333333333334</v>
      </c>
      <c r="H21" s="7">
        <v>0.4375</v>
      </c>
      <c r="I21" s="5">
        <v>1.3153000000000001</v>
      </c>
      <c r="J21" s="5">
        <v>1.3203</v>
      </c>
      <c r="K21" s="8">
        <v>-2.5</v>
      </c>
      <c r="L21" s="8">
        <v>5</v>
      </c>
      <c r="M21" s="5">
        <v>1.3128</v>
      </c>
      <c r="N21" s="5">
        <v>1.3203</v>
      </c>
      <c r="O21" s="5">
        <v>15</v>
      </c>
      <c r="P21" s="8">
        <v>6.5</v>
      </c>
      <c r="Q21" s="8">
        <v>-0.01</v>
      </c>
      <c r="R21" s="5">
        <v>4</v>
      </c>
      <c r="S21" s="5" t="s">
        <v>48</v>
      </c>
      <c r="T21" s="8">
        <v>5</v>
      </c>
      <c r="U21" s="5">
        <v>1</v>
      </c>
      <c r="V21" s="5" t="s">
        <v>56</v>
      </c>
      <c r="W21" s="5" t="s">
        <v>104</v>
      </c>
      <c r="X21" s="5">
        <v>2</v>
      </c>
      <c r="Y21" s="5" t="s">
        <v>49</v>
      </c>
      <c r="Z21" s="5" t="s">
        <v>105</v>
      </c>
      <c r="AA21" s="13" t="s">
        <v>106</v>
      </c>
      <c r="AB21" s="5" t="s">
        <v>52</v>
      </c>
      <c r="AC21" s="5" t="s">
        <v>45</v>
      </c>
      <c r="AD21" s="8" t="s">
        <v>46</v>
      </c>
      <c r="AE21" s="8" t="s">
        <v>46</v>
      </c>
      <c r="AF21" s="8" t="s">
        <v>46</v>
      </c>
      <c r="AG21" s="5">
        <v>0</v>
      </c>
      <c r="AH21" s="8">
        <v>0</v>
      </c>
      <c r="AI21" s="8">
        <v>0</v>
      </c>
      <c r="AJ21" s="8">
        <v>0</v>
      </c>
      <c r="AK21" s="10" t="s">
        <v>46</v>
      </c>
      <c r="AL21" s="5"/>
      <c r="AM21" s="5">
        <v>20</v>
      </c>
      <c r="AN21" s="6" t="s">
        <v>103</v>
      </c>
      <c r="AO21" s="5" t="s">
        <v>53</v>
      </c>
      <c r="AP21" s="5" t="s">
        <v>45</v>
      </c>
      <c r="AQ21" s="5" t="s">
        <v>46</v>
      </c>
      <c r="AR21" s="5" t="s">
        <v>67</v>
      </c>
      <c r="AS21" s="9">
        <v>0.14583333333333334</v>
      </c>
      <c r="AT21" s="9">
        <v>0.4375</v>
      </c>
      <c r="AU21" s="5">
        <v>1.3153000000000001</v>
      </c>
      <c r="AV21" s="5">
        <v>1.3203</v>
      </c>
      <c r="AW21" s="5">
        <v>1.3128200000000001</v>
      </c>
      <c r="AX21" s="5">
        <v>1.3203</v>
      </c>
      <c r="AY21" s="5" t="s">
        <v>107</v>
      </c>
      <c r="AZ21" s="8">
        <v>-2.48</v>
      </c>
      <c r="BA21" s="5">
        <v>15</v>
      </c>
      <c r="BB21" s="8">
        <v>6.5</v>
      </c>
      <c r="BC21" s="8">
        <v>-0.01</v>
      </c>
      <c r="BD21" s="5">
        <v>4</v>
      </c>
      <c r="BE21" s="5" t="s">
        <v>48</v>
      </c>
      <c r="BF21" s="8">
        <v>5</v>
      </c>
      <c r="BG21" s="13" t="s">
        <v>106</v>
      </c>
      <c r="BH21" s="5" t="s">
        <v>52</v>
      </c>
      <c r="BI21" s="5" t="s">
        <v>45</v>
      </c>
      <c r="BJ21" s="8" t="s">
        <v>46</v>
      </c>
      <c r="BK21" s="8" t="s">
        <v>46</v>
      </c>
      <c r="BL21" s="8" t="s">
        <v>46</v>
      </c>
      <c r="BM21" s="8">
        <v>0</v>
      </c>
      <c r="BN21" s="8">
        <v>0</v>
      </c>
      <c r="BO21" s="8">
        <v>0</v>
      </c>
      <c r="BP21" s="10" t="s">
        <v>46</v>
      </c>
    </row>
    <row r="22" spans="1:68" ht="14.5" customHeight="1" x14ac:dyDescent="0.35">
      <c r="A22" s="5">
        <v>21</v>
      </c>
      <c r="B22" s="6" t="s">
        <v>108</v>
      </c>
      <c r="C22" s="5" t="s">
        <v>44</v>
      </c>
      <c r="D22" s="5" t="s">
        <v>45</v>
      </c>
      <c r="E22" s="5" t="s">
        <v>46</v>
      </c>
      <c r="F22" s="5" t="s">
        <v>47</v>
      </c>
      <c r="G22" s="7">
        <v>0.52083333333333337</v>
      </c>
      <c r="H22" s="7">
        <v>0.60416666666666663</v>
      </c>
      <c r="I22" s="5">
        <v>1.3052999999999999</v>
      </c>
      <c r="J22" s="5">
        <v>1.3003</v>
      </c>
      <c r="K22" s="8">
        <v>-2.5</v>
      </c>
      <c r="L22" s="8">
        <v>5</v>
      </c>
      <c r="M22" s="5">
        <v>1.3078000000000001</v>
      </c>
      <c r="N22" s="5">
        <v>1.3003</v>
      </c>
      <c r="O22" s="5">
        <v>5</v>
      </c>
      <c r="P22" s="8">
        <v>5.15</v>
      </c>
      <c r="Q22" s="8">
        <v>-1.95</v>
      </c>
      <c r="R22" s="5">
        <v>1</v>
      </c>
      <c r="S22" s="5" t="s">
        <v>48</v>
      </c>
      <c r="T22" s="8">
        <v>5</v>
      </c>
      <c r="U22" s="5">
        <v>6</v>
      </c>
      <c r="V22" s="5" t="s">
        <v>49</v>
      </c>
      <c r="W22" s="5" t="s">
        <v>109</v>
      </c>
      <c r="X22" s="5">
        <v>3</v>
      </c>
      <c r="Y22" s="5" t="s">
        <v>49</v>
      </c>
      <c r="Z22" s="5" t="s">
        <v>110</v>
      </c>
      <c r="AA22" s="13" t="s">
        <v>111</v>
      </c>
      <c r="AB22" s="5" t="s">
        <v>52</v>
      </c>
      <c r="AC22" s="5" t="s">
        <v>52</v>
      </c>
      <c r="AD22" s="8" t="s">
        <v>46</v>
      </c>
      <c r="AE22" s="8" t="s">
        <v>46</v>
      </c>
      <c r="AF22" s="8" t="s">
        <v>46</v>
      </c>
      <c r="AG22" s="5">
        <v>12</v>
      </c>
      <c r="AH22" s="8">
        <v>0</v>
      </c>
      <c r="AI22" s="8">
        <v>0</v>
      </c>
      <c r="AJ22" s="8">
        <v>0</v>
      </c>
      <c r="AK22" s="10" t="s">
        <v>46</v>
      </c>
      <c r="AL22" s="5"/>
      <c r="AM22" s="5">
        <v>21</v>
      </c>
      <c r="AN22" s="13" t="s">
        <v>108</v>
      </c>
      <c r="AO22" s="5" t="s">
        <v>53</v>
      </c>
      <c r="AP22" s="5" t="s">
        <v>45</v>
      </c>
      <c r="AQ22" s="5" t="s">
        <v>46</v>
      </c>
      <c r="AR22" s="5" t="s">
        <v>47</v>
      </c>
      <c r="AS22" s="7">
        <v>0.52083333333333337</v>
      </c>
      <c r="AT22" s="7">
        <v>0.60416666666666663</v>
      </c>
      <c r="AU22" s="5">
        <v>1.3052999999999999</v>
      </c>
      <c r="AV22" s="5">
        <v>1.3003</v>
      </c>
      <c r="AW22" s="5">
        <v>1.30775</v>
      </c>
      <c r="AX22" s="5">
        <v>1.3003</v>
      </c>
      <c r="AY22" s="5" t="s">
        <v>112</v>
      </c>
      <c r="AZ22" s="8">
        <v>-2.4500000000000002</v>
      </c>
      <c r="BA22" s="5">
        <v>5</v>
      </c>
      <c r="BB22" s="8">
        <v>5.15</v>
      </c>
      <c r="BC22" s="8">
        <v>-1.95</v>
      </c>
      <c r="BD22" s="5">
        <v>1</v>
      </c>
      <c r="BE22" s="5" t="s">
        <v>48</v>
      </c>
      <c r="BF22" s="8">
        <v>5</v>
      </c>
      <c r="BG22" s="13" t="s">
        <v>108</v>
      </c>
      <c r="BH22" s="5" t="s">
        <v>52</v>
      </c>
      <c r="BI22" s="5" t="s">
        <v>52</v>
      </c>
      <c r="BJ22" s="8" t="s">
        <v>46</v>
      </c>
      <c r="BK22" s="8" t="s">
        <v>46</v>
      </c>
      <c r="BL22" s="8" t="s">
        <v>46</v>
      </c>
      <c r="BM22" s="8">
        <v>0</v>
      </c>
      <c r="BN22" s="8">
        <v>0</v>
      </c>
      <c r="BO22" s="8">
        <v>0</v>
      </c>
      <c r="BP22" s="10" t="s">
        <v>46</v>
      </c>
    </row>
    <row r="23" spans="1:68" ht="14.5" customHeight="1" x14ac:dyDescent="0.35">
      <c r="A23" s="5">
        <v>22</v>
      </c>
      <c r="B23" s="6" t="s">
        <v>113</v>
      </c>
      <c r="C23" s="5" t="s">
        <v>44</v>
      </c>
      <c r="D23" s="5" t="s">
        <v>45</v>
      </c>
      <c r="E23" s="5" t="s">
        <v>46</v>
      </c>
      <c r="F23" s="5" t="s">
        <v>47</v>
      </c>
      <c r="G23" s="7">
        <v>0.125</v>
      </c>
      <c r="H23" s="7">
        <v>0.27083333333333331</v>
      </c>
      <c r="I23" s="5">
        <v>1.3069</v>
      </c>
      <c r="J23" s="5">
        <v>1.3093999999999999</v>
      </c>
      <c r="K23" s="8">
        <v>-2.5</v>
      </c>
      <c r="L23" s="8">
        <v>5</v>
      </c>
      <c r="M23" s="5">
        <v>1.3093999999999999</v>
      </c>
      <c r="N23" s="5">
        <v>1.3019000000000001</v>
      </c>
      <c r="O23" s="5">
        <v>8</v>
      </c>
      <c r="P23" s="8">
        <v>2.0099999999999998</v>
      </c>
      <c r="Q23" s="8">
        <v>-3.84</v>
      </c>
      <c r="R23" s="5">
        <v>8</v>
      </c>
      <c r="S23" s="5" t="s">
        <v>68</v>
      </c>
      <c r="T23" s="8">
        <v>-2.5</v>
      </c>
      <c r="U23" s="5">
        <v>10</v>
      </c>
      <c r="V23" s="5" t="s">
        <v>56</v>
      </c>
      <c r="W23" s="12" t="s">
        <v>46</v>
      </c>
      <c r="X23" s="5">
        <v>6</v>
      </c>
      <c r="Y23" s="5" t="s">
        <v>49</v>
      </c>
      <c r="Z23" s="5" t="s">
        <v>109</v>
      </c>
      <c r="AA23" s="13" t="s">
        <v>108</v>
      </c>
      <c r="AB23" s="5" t="s">
        <v>52</v>
      </c>
      <c r="AC23" s="5" t="s">
        <v>45</v>
      </c>
      <c r="AD23" s="5" t="s">
        <v>45</v>
      </c>
      <c r="AE23" s="5" t="s">
        <v>52</v>
      </c>
      <c r="AF23" s="5" t="s">
        <v>45</v>
      </c>
      <c r="AG23" s="5">
        <v>3</v>
      </c>
      <c r="AH23" s="8">
        <v>6.75</v>
      </c>
      <c r="AI23" s="8">
        <v>-4.2300000000000004</v>
      </c>
      <c r="AJ23" s="8">
        <v>-2.5</v>
      </c>
      <c r="AK23" s="10" t="s">
        <v>46</v>
      </c>
      <c r="AL23" s="5"/>
      <c r="AM23" s="5">
        <v>22</v>
      </c>
      <c r="AN23" s="13" t="s">
        <v>113</v>
      </c>
      <c r="AO23" s="5" t="s">
        <v>53</v>
      </c>
      <c r="AP23" s="5" t="s">
        <v>45</v>
      </c>
      <c r="AQ23" s="5" t="s">
        <v>46</v>
      </c>
      <c r="AR23" s="5" t="s">
        <v>47</v>
      </c>
      <c r="AS23" s="7">
        <v>0.125</v>
      </c>
      <c r="AT23" s="7">
        <v>0.27083333333333331</v>
      </c>
      <c r="AU23" s="5">
        <v>1.3069</v>
      </c>
      <c r="AV23" s="5">
        <v>1.3093600000000001</v>
      </c>
      <c r="AW23" s="5">
        <v>1.3093600000000001</v>
      </c>
      <c r="AX23" s="5">
        <v>1.3019000000000001</v>
      </c>
      <c r="AY23" s="5" t="s">
        <v>114</v>
      </c>
      <c r="AZ23" s="8">
        <v>-2.46</v>
      </c>
      <c r="BA23" s="5">
        <v>8</v>
      </c>
      <c r="BB23" s="8">
        <v>2.0099999999999998</v>
      </c>
      <c r="BC23" s="8">
        <v>-3.84</v>
      </c>
      <c r="BD23" s="5">
        <v>8</v>
      </c>
      <c r="BE23" s="5" t="s">
        <v>68</v>
      </c>
      <c r="BF23" s="8">
        <v>-2.46</v>
      </c>
      <c r="BG23" s="13" t="s">
        <v>108</v>
      </c>
      <c r="BH23" s="5" t="s">
        <v>52</v>
      </c>
      <c r="BI23" s="5" t="s">
        <v>45</v>
      </c>
      <c r="BJ23" s="5" t="s">
        <v>45</v>
      </c>
      <c r="BK23" s="5" t="s">
        <v>52</v>
      </c>
      <c r="BL23" s="5" t="s">
        <v>45</v>
      </c>
      <c r="BM23" s="8">
        <v>6.75</v>
      </c>
      <c r="BN23" s="8">
        <v>-4.2300000000000004</v>
      </c>
      <c r="BO23" s="8">
        <v>-2.46</v>
      </c>
      <c r="BP23" s="10" t="s">
        <v>46</v>
      </c>
    </row>
    <row r="24" spans="1:68" ht="14.5" customHeight="1" x14ac:dyDescent="0.35">
      <c r="A24" s="5">
        <v>23</v>
      </c>
      <c r="B24" s="6" t="s">
        <v>115</v>
      </c>
      <c r="C24" s="5" t="s">
        <v>44</v>
      </c>
      <c r="D24" s="5" t="s">
        <v>45</v>
      </c>
      <c r="E24" s="5" t="s">
        <v>46</v>
      </c>
      <c r="F24" s="5" t="s">
        <v>47</v>
      </c>
      <c r="G24" s="7">
        <v>0.33333333333333331</v>
      </c>
      <c r="H24" s="7">
        <v>0.97916666666666663</v>
      </c>
      <c r="I24" s="5">
        <v>1.3088</v>
      </c>
      <c r="J24" s="5">
        <v>1.30705</v>
      </c>
      <c r="K24" s="8">
        <v>-2.5</v>
      </c>
      <c r="L24" s="8">
        <v>5</v>
      </c>
      <c r="M24" s="5">
        <v>1.3112999999999999</v>
      </c>
      <c r="N24" s="5">
        <v>1.3038000000000001</v>
      </c>
      <c r="O24" s="5">
        <v>32</v>
      </c>
      <c r="P24" s="8">
        <v>2.09</v>
      </c>
      <c r="Q24" s="8">
        <v>-1.37</v>
      </c>
      <c r="R24" s="5">
        <v>11</v>
      </c>
      <c r="S24" s="5" t="s">
        <v>55</v>
      </c>
      <c r="T24" s="8">
        <v>1.75</v>
      </c>
      <c r="U24" s="5">
        <v>3</v>
      </c>
      <c r="V24" s="5" t="s">
        <v>56</v>
      </c>
      <c r="W24" s="5" t="s">
        <v>116</v>
      </c>
      <c r="X24" s="5">
        <v>10</v>
      </c>
      <c r="Y24" s="5" t="s">
        <v>56</v>
      </c>
      <c r="Z24" s="12" t="s">
        <v>46</v>
      </c>
      <c r="AA24" s="13" t="s">
        <v>113</v>
      </c>
      <c r="AB24" s="5" t="s">
        <v>45</v>
      </c>
      <c r="AC24" s="5" t="s">
        <v>45</v>
      </c>
      <c r="AD24" s="5" t="s">
        <v>52</v>
      </c>
      <c r="AE24" s="5" t="s">
        <v>52</v>
      </c>
      <c r="AF24" s="8" t="s">
        <v>46</v>
      </c>
      <c r="AG24" s="5">
        <v>6</v>
      </c>
      <c r="AH24" s="8">
        <v>3.91</v>
      </c>
      <c r="AI24" s="8">
        <v>-1.94</v>
      </c>
      <c r="AJ24" s="8">
        <v>0.89</v>
      </c>
      <c r="AK24" s="10" t="s">
        <v>46</v>
      </c>
      <c r="AL24" s="5"/>
      <c r="AM24" s="5">
        <v>23</v>
      </c>
      <c r="AN24" s="13" t="s">
        <v>115</v>
      </c>
      <c r="AO24" s="5" t="s">
        <v>53</v>
      </c>
      <c r="AP24" s="5" t="s">
        <v>45</v>
      </c>
      <c r="AQ24" s="5" t="s">
        <v>46</v>
      </c>
      <c r="AR24" s="5" t="s">
        <v>47</v>
      </c>
      <c r="AS24" s="7">
        <v>0.33333333333333331</v>
      </c>
      <c r="AT24" s="7">
        <v>0.97916666666666663</v>
      </c>
      <c r="AU24" s="5">
        <v>1.3088</v>
      </c>
      <c r="AV24" s="5">
        <v>1.30705</v>
      </c>
      <c r="AW24" s="5">
        <v>1.31125</v>
      </c>
      <c r="AX24" s="5">
        <v>1.3038000000000001</v>
      </c>
      <c r="AY24" s="5" t="s">
        <v>117</v>
      </c>
      <c r="AZ24" s="8">
        <v>-2.4500000000000002</v>
      </c>
      <c r="BA24" s="5">
        <v>32</v>
      </c>
      <c r="BB24" s="8">
        <v>2.09</v>
      </c>
      <c r="BC24" s="8">
        <v>-1.37</v>
      </c>
      <c r="BD24" s="5">
        <v>11</v>
      </c>
      <c r="BE24" s="5" t="s">
        <v>55</v>
      </c>
      <c r="BF24" s="8">
        <v>1.75</v>
      </c>
      <c r="BG24" s="13" t="s">
        <v>113</v>
      </c>
      <c r="BH24" s="5" t="s">
        <v>45</v>
      </c>
      <c r="BI24" s="5" t="s">
        <v>45</v>
      </c>
      <c r="BJ24" s="5" t="s">
        <v>52</v>
      </c>
      <c r="BK24" s="5" t="s">
        <v>52</v>
      </c>
      <c r="BL24" s="8" t="s">
        <v>46</v>
      </c>
      <c r="BM24" s="8">
        <v>3.91</v>
      </c>
      <c r="BN24" s="8">
        <v>-1.94</v>
      </c>
      <c r="BO24" s="8">
        <v>0.89</v>
      </c>
      <c r="BP24" s="10" t="s">
        <v>46</v>
      </c>
    </row>
    <row r="25" spans="1:68" ht="14.5" customHeight="1" x14ac:dyDescent="0.35">
      <c r="A25" s="5">
        <v>24</v>
      </c>
      <c r="B25" s="6" t="s">
        <v>118</v>
      </c>
      <c r="C25" s="5" t="s">
        <v>44</v>
      </c>
      <c r="D25" s="5" t="s">
        <v>45</v>
      </c>
      <c r="E25" s="5" t="s">
        <v>46</v>
      </c>
      <c r="F25" s="5" t="s">
        <v>67</v>
      </c>
      <c r="G25" s="7">
        <v>0.52083333333333337</v>
      </c>
      <c r="H25" s="7">
        <v>0.54166666666666663</v>
      </c>
      <c r="I25" s="5">
        <v>1.3198000000000001</v>
      </c>
      <c r="J25" s="5">
        <v>1.3172999999999999</v>
      </c>
      <c r="K25" s="8">
        <v>-2.5</v>
      </c>
      <c r="L25" s="8">
        <v>5</v>
      </c>
      <c r="M25" s="5">
        <v>1.3172999999999999</v>
      </c>
      <c r="N25" s="5">
        <v>1.3248</v>
      </c>
      <c r="O25" s="5">
        <v>2</v>
      </c>
      <c r="P25" s="8">
        <v>3.97</v>
      </c>
      <c r="Q25" s="8">
        <v>-8.8800000000000008</v>
      </c>
      <c r="R25" s="5">
        <v>2</v>
      </c>
      <c r="S25" s="5" t="s">
        <v>68</v>
      </c>
      <c r="T25" s="8">
        <v>-2.5</v>
      </c>
      <c r="U25" s="5">
        <v>5</v>
      </c>
      <c r="V25" s="5" t="s">
        <v>49</v>
      </c>
      <c r="W25" s="5" t="s">
        <v>119</v>
      </c>
      <c r="X25" s="5">
        <v>3</v>
      </c>
      <c r="Y25" s="5" t="s">
        <v>49</v>
      </c>
      <c r="Z25" s="5" t="s">
        <v>120</v>
      </c>
      <c r="AA25" s="13" t="s">
        <v>115</v>
      </c>
      <c r="AB25" s="5" t="s">
        <v>52</v>
      </c>
      <c r="AC25" s="5" t="s">
        <v>52</v>
      </c>
      <c r="AD25" s="8" t="s">
        <v>46</v>
      </c>
      <c r="AE25" s="8" t="s">
        <v>46</v>
      </c>
      <c r="AF25" s="8" t="s">
        <v>46</v>
      </c>
      <c r="AG25" s="5">
        <v>0</v>
      </c>
      <c r="AH25" s="8">
        <v>0</v>
      </c>
      <c r="AI25" s="8">
        <v>0</v>
      </c>
      <c r="AJ25" s="8">
        <v>0</v>
      </c>
      <c r="AK25" s="10" t="s">
        <v>46</v>
      </c>
      <c r="AL25" s="5"/>
      <c r="AM25" s="5">
        <v>24</v>
      </c>
      <c r="AN25" s="6" t="s">
        <v>118</v>
      </c>
      <c r="AO25" s="5" t="s">
        <v>53</v>
      </c>
      <c r="AP25" s="5" t="s">
        <v>45</v>
      </c>
      <c r="AQ25" s="5" t="s">
        <v>46</v>
      </c>
      <c r="AR25" s="5" t="s">
        <v>67</v>
      </c>
      <c r="AS25" s="9">
        <v>0.52083333333333337</v>
      </c>
      <c r="AT25" s="9">
        <v>0.54166666666666663</v>
      </c>
      <c r="AU25" s="5">
        <v>1.3198000000000001</v>
      </c>
      <c r="AV25" s="5">
        <v>1.31742</v>
      </c>
      <c r="AW25" s="5">
        <v>1.31742</v>
      </c>
      <c r="AX25" s="5">
        <v>1.3248</v>
      </c>
      <c r="AY25" s="5" t="s">
        <v>121</v>
      </c>
      <c r="AZ25" s="8">
        <v>-2.38</v>
      </c>
      <c r="BA25" s="5">
        <v>1</v>
      </c>
      <c r="BB25" s="8">
        <v>3.97</v>
      </c>
      <c r="BC25" s="8">
        <v>-8.8800000000000008</v>
      </c>
      <c r="BD25" s="5">
        <v>2</v>
      </c>
      <c r="BE25" s="5" t="s">
        <v>68</v>
      </c>
      <c r="BF25" s="8">
        <v>-2.38</v>
      </c>
      <c r="BG25" s="13" t="s">
        <v>115</v>
      </c>
      <c r="BH25" s="5" t="s">
        <v>52</v>
      </c>
      <c r="BI25" s="5" t="s">
        <v>52</v>
      </c>
      <c r="BJ25" s="8" t="s">
        <v>46</v>
      </c>
      <c r="BK25" s="8" t="s">
        <v>46</v>
      </c>
      <c r="BL25" s="8" t="s">
        <v>46</v>
      </c>
      <c r="BM25" s="8">
        <v>0</v>
      </c>
      <c r="BN25" s="8">
        <v>0</v>
      </c>
      <c r="BO25" s="8">
        <v>0</v>
      </c>
      <c r="BP25" s="10" t="s">
        <v>46</v>
      </c>
    </row>
    <row r="26" spans="1:68" ht="14.5" customHeight="1" x14ac:dyDescent="0.35">
      <c r="A26" s="5">
        <v>25</v>
      </c>
      <c r="B26" s="6" t="s">
        <v>122</v>
      </c>
      <c r="C26" s="5" t="s">
        <v>44</v>
      </c>
      <c r="D26" s="5" t="s">
        <v>45</v>
      </c>
      <c r="E26" s="5" t="s">
        <v>46</v>
      </c>
      <c r="F26" s="5" t="s">
        <v>47</v>
      </c>
      <c r="G26" s="7">
        <v>0.58333333333333337</v>
      </c>
      <c r="H26" s="7">
        <v>0.97916666666666663</v>
      </c>
      <c r="I26" s="5">
        <v>1.3112999999999999</v>
      </c>
      <c r="J26" s="5">
        <v>1.31121</v>
      </c>
      <c r="K26" s="8">
        <v>-2.5</v>
      </c>
      <c r="L26" s="8">
        <v>5</v>
      </c>
      <c r="M26" s="5">
        <v>1.3138000000000001</v>
      </c>
      <c r="N26" s="5">
        <v>1.3063</v>
      </c>
      <c r="O26" s="5">
        <v>20</v>
      </c>
      <c r="P26" s="8">
        <v>2.6</v>
      </c>
      <c r="Q26" s="8">
        <v>-0.34</v>
      </c>
      <c r="R26" s="5">
        <v>4</v>
      </c>
      <c r="S26" s="5" t="s">
        <v>55</v>
      </c>
      <c r="T26" s="8">
        <v>0.09</v>
      </c>
      <c r="U26" s="5">
        <v>2</v>
      </c>
      <c r="V26" s="5" t="s">
        <v>49</v>
      </c>
      <c r="W26" s="5" t="s">
        <v>123</v>
      </c>
      <c r="X26" s="5">
        <v>1</v>
      </c>
      <c r="Y26" s="5" t="s">
        <v>49</v>
      </c>
      <c r="Z26" s="5" t="s">
        <v>124</v>
      </c>
      <c r="AA26" s="13" t="s">
        <v>125</v>
      </c>
      <c r="AB26" s="5" t="s">
        <v>45</v>
      </c>
      <c r="AC26" s="5" t="s">
        <v>52</v>
      </c>
      <c r="AD26" s="5" t="s">
        <v>45</v>
      </c>
      <c r="AE26" s="5" t="s">
        <v>52</v>
      </c>
      <c r="AF26" s="5" t="s">
        <v>52</v>
      </c>
      <c r="AG26" s="5">
        <v>16</v>
      </c>
      <c r="AH26" s="8">
        <v>1.28</v>
      </c>
      <c r="AI26" s="8">
        <v>-6.17</v>
      </c>
      <c r="AJ26" s="8">
        <v>-2.5</v>
      </c>
      <c r="AK26" s="10" t="s">
        <v>46</v>
      </c>
      <c r="AL26" s="5"/>
      <c r="AM26" s="5">
        <v>25</v>
      </c>
      <c r="AN26" s="13" t="s">
        <v>122</v>
      </c>
      <c r="AO26" s="5" t="s">
        <v>53</v>
      </c>
      <c r="AP26" s="5" t="s">
        <v>45</v>
      </c>
      <c r="AQ26" s="5" t="s">
        <v>46</v>
      </c>
      <c r="AR26" s="5" t="s">
        <v>47</v>
      </c>
      <c r="AS26" s="7">
        <v>0.58333333333333337</v>
      </c>
      <c r="AT26" s="7">
        <v>0.97916666666666663</v>
      </c>
      <c r="AU26" s="5">
        <v>1.3112999999999999</v>
      </c>
      <c r="AV26" s="5">
        <v>1.31121</v>
      </c>
      <c r="AW26" s="5">
        <v>1.31376</v>
      </c>
      <c r="AX26" s="5">
        <v>1.3063</v>
      </c>
      <c r="AY26" s="5" t="s">
        <v>114</v>
      </c>
      <c r="AZ26" s="8">
        <v>-2.46</v>
      </c>
      <c r="BA26" s="5">
        <v>20</v>
      </c>
      <c r="BB26" s="8">
        <v>2.6</v>
      </c>
      <c r="BC26" s="8">
        <v>-0.34</v>
      </c>
      <c r="BD26" s="5">
        <v>4</v>
      </c>
      <c r="BE26" s="5" t="s">
        <v>55</v>
      </c>
      <c r="BF26" s="8">
        <v>0.09</v>
      </c>
      <c r="BG26" s="13" t="s">
        <v>125</v>
      </c>
      <c r="BH26" s="5" t="s">
        <v>45</v>
      </c>
      <c r="BI26" s="5" t="s">
        <v>52</v>
      </c>
      <c r="BJ26" s="5" t="s">
        <v>45</v>
      </c>
      <c r="BK26" s="5" t="s">
        <v>52</v>
      </c>
      <c r="BL26" s="5" t="s">
        <v>52</v>
      </c>
      <c r="BM26" s="8">
        <v>1.28</v>
      </c>
      <c r="BN26" s="8">
        <v>-6.17</v>
      </c>
      <c r="BO26" s="8">
        <v>-2.46</v>
      </c>
      <c r="BP26" s="10" t="s">
        <v>46</v>
      </c>
    </row>
    <row r="27" spans="1:68" ht="14.5" customHeight="1" x14ac:dyDescent="0.35">
      <c r="A27" s="5">
        <v>26</v>
      </c>
      <c r="B27" s="6" t="s">
        <v>126</v>
      </c>
      <c r="C27" s="5" t="s">
        <v>44</v>
      </c>
      <c r="D27" s="5" t="s">
        <v>45</v>
      </c>
      <c r="E27" s="5" t="s">
        <v>46</v>
      </c>
      <c r="F27" s="5" t="s">
        <v>67</v>
      </c>
      <c r="G27" s="7">
        <v>6.25E-2</v>
      </c>
      <c r="H27" s="7">
        <v>0.6875</v>
      </c>
      <c r="I27" s="5">
        <v>1.2870999999999999</v>
      </c>
      <c r="J27" s="5">
        <v>1.2921</v>
      </c>
      <c r="K27" s="8">
        <v>-2.5</v>
      </c>
      <c r="L27" s="8">
        <v>5</v>
      </c>
      <c r="M27" s="5">
        <v>1.2846</v>
      </c>
      <c r="N27" s="5">
        <v>1.2921</v>
      </c>
      <c r="O27" s="5">
        <v>31</v>
      </c>
      <c r="P27" s="8">
        <v>7.44</v>
      </c>
      <c r="Q27" s="8">
        <v>-0.52</v>
      </c>
      <c r="R27" s="5">
        <v>7</v>
      </c>
      <c r="S27" s="5" t="s">
        <v>48</v>
      </c>
      <c r="T27" s="8">
        <v>5</v>
      </c>
      <c r="U27" s="5">
        <v>19</v>
      </c>
      <c r="V27" s="5" t="s">
        <v>56</v>
      </c>
      <c r="W27" s="12" t="s">
        <v>46</v>
      </c>
      <c r="X27" s="5">
        <v>2</v>
      </c>
      <c r="Y27" s="5" t="s">
        <v>49</v>
      </c>
      <c r="Z27" s="5" t="s">
        <v>127</v>
      </c>
      <c r="AA27" s="6" t="s">
        <v>128</v>
      </c>
      <c r="AB27" s="5" t="s">
        <v>52</v>
      </c>
      <c r="AC27" s="5" t="s">
        <v>52</v>
      </c>
      <c r="AD27" s="8" t="s">
        <v>46</v>
      </c>
      <c r="AE27" s="8" t="s">
        <v>46</v>
      </c>
      <c r="AF27" s="8" t="s">
        <v>46</v>
      </c>
      <c r="AG27" s="5">
        <v>0</v>
      </c>
      <c r="AH27" s="8">
        <v>0</v>
      </c>
      <c r="AI27" s="8">
        <v>0</v>
      </c>
      <c r="AJ27" s="8">
        <v>0</v>
      </c>
      <c r="AK27" s="10" t="s">
        <v>46</v>
      </c>
      <c r="AL27" s="5"/>
      <c r="AM27" s="5">
        <v>26</v>
      </c>
      <c r="AN27" s="6" t="s">
        <v>126</v>
      </c>
      <c r="AO27" s="5" t="s">
        <v>53</v>
      </c>
      <c r="AP27" s="5" t="s">
        <v>45</v>
      </c>
      <c r="AQ27" s="5" t="s">
        <v>46</v>
      </c>
      <c r="AR27" s="5" t="s">
        <v>67</v>
      </c>
      <c r="AS27" s="7">
        <v>6.25E-2</v>
      </c>
      <c r="AT27" s="7">
        <v>0.6875</v>
      </c>
      <c r="AU27" s="5">
        <v>1.2870999999999999</v>
      </c>
      <c r="AV27" s="5">
        <v>1.2921</v>
      </c>
      <c r="AW27" s="5">
        <v>1.2846</v>
      </c>
      <c r="AX27" s="5">
        <v>1.2921</v>
      </c>
      <c r="AY27" s="5" t="s">
        <v>129</v>
      </c>
      <c r="AZ27" s="8">
        <v>-2.5</v>
      </c>
      <c r="BA27" s="5">
        <v>31</v>
      </c>
      <c r="BB27" s="8">
        <v>7.44</v>
      </c>
      <c r="BC27" s="8">
        <v>-0.52</v>
      </c>
      <c r="BD27" s="5">
        <v>7</v>
      </c>
      <c r="BE27" s="5" t="s">
        <v>48</v>
      </c>
      <c r="BF27" s="8">
        <v>5</v>
      </c>
      <c r="BG27" s="6" t="s">
        <v>128</v>
      </c>
      <c r="BH27" s="5" t="s">
        <v>52</v>
      </c>
      <c r="BI27" s="5" t="s">
        <v>52</v>
      </c>
      <c r="BJ27" s="8" t="s">
        <v>46</v>
      </c>
      <c r="BK27" s="8" t="s">
        <v>46</v>
      </c>
      <c r="BL27" s="8" t="s">
        <v>46</v>
      </c>
      <c r="BM27" s="8">
        <v>0</v>
      </c>
      <c r="BN27" s="8">
        <v>0</v>
      </c>
      <c r="BO27" s="8">
        <v>0</v>
      </c>
      <c r="BP27" s="10" t="s">
        <v>46</v>
      </c>
    </row>
    <row r="28" spans="1:68" ht="14.5" customHeight="1" x14ac:dyDescent="0.35">
      <c r="A28" s="5">
        <v>27</v>
      </c>
      <c r="B28" s="6" t="s">
        <v>130</v>
      </c>
      <c r="C28" s="5" t="s">
        <v>44</v>
      </c>
      <c r="D28" s="5" t="s">
        <v>45</v>
      </c>
      <c r="E28" s="5" t="s">
        <v>46</v>
      </c>
      <c r="F28" s="5" t="s">
        <v>67</v>
      </c>
      <c r="G28" s="7">
        <v>0.25</v>
      </c>
      <c r="H28" s="7">
        <v>0.6875</v>
      </c>
      <c r="I28" s="5">
        <v>1.2792999999999999</v>
      </c>
      <c r="J28" s="5">
        <v>1.2843</v>
      </c>
      <c r="K28" s="8">
        <v>-2.5</v>
      </c>
      <c r="L28" s="8">
        <v>5</v>
      </c>
      <c r="M28" s="5">
        <v>1.2767999999999999</v>
      </c>
      <c r="N28" s="5">
        <v>1.2843</v>
      </c>
      <c r="O28" s="5">
        <v>22</v>
      </c>
      <c r="P28" s="8">
        <v>7.95</v>
      </c>
      <c r="Q28" s="8">
        <v>-1.41</v>
      </c>
      <c r="R28" s="5">
        <v>5</v>
      </c>
      <c r="S28" s="5" t="s">
        <v>48</v>
      </c>
      <c r="T28" s="8">
        <v>5</v>
      </c>
      <c r="U28" s="5">
        <v>1</v>
      </c>
      <c r="V28" s="5" t="s">
        <v>49</v>
      </c>
      <c r="W28" s="5" t="s">
        <v>131</v>
      </c>
      <c r="X28" s="5">
        <v>5</v>
      </c>
      <c r="Y28" s="5" t="s">
        <v>49</v>
      </c>
      <c r="Z28" s="5" t="s">
        <v>132</v>
      </c>
      <c r="AA28" s="6" t="s">
        <v>133</v>
      </c>
      <c r="AB28" s="5" t="s">
        <v>52</v>
      </c>
      <c r="AC28" s="5" t="s">
        <v>52</v>
      </c>
      <c r="AD28" s="8" t="s">
        <v>46</v>
      </c>
      <c r="AE28" s="8" t="s">
        <v>46</v>
      </c>
      <c r="AF28" s="8" t="s">
        <v>46</v>
      </c>
      <c r="AG28" s="5">
        <v>0</v>
      </c>
      <c r="AH28" s="8">
        <v>0</v>
      </c>
      <c r="AI28" s="8">
        <v>0</v>
      </c>
      <c r="AJ28" s="8">
        <v>0</v>
      </c>
      <c r="AK28" s="10" t="s">
        <v>46</v>
      </c>
      <c r="AL28" s="5"/>
      <c r="AM28" s="5">
        <v>27</v>
      </c>
      <c r="AN28" s="6" t="s">
        <v>130</v>
      </c>
      <c r="AO28" s="5" t="s">
        <v>53</v>
      </c>
      <c r="AP28" s="5" t="s">
        <v>45</v>
      </c>
      <c r="AQ28" s="5" t="s">
        <v>46</v>
      </c>
      <c r="AR28" s="5" t="s">
        <v>67</v>
      </c>
      <c r="AS28" s="7">
        <v>0.25</v>
      </c>
      <c r="AT28" s="7">
        <v>0.6875</v>
      </c>
      <c r="AU28" s="5">
        <v>1.2792999999999999</v>
      </c>
      <c r="AV28" s="5">
        <v>1.2843</v>
      </c>
      <c r="AW28" s="5">
        <v>1.2768600000000001</v>
      </c>
      <c r="AX28" s="5">
        <v>1.2843</v>
      </c>
      <c r="AY28" s="5" t="s">
        <v>134</v>
      </c>
      <c r="AZ28" s="8">
        <v>-2.44</v>
      </c>
      <c r="BA28" s="5">
        <v>22</v>
      </c>
      <c r="BB28" s="8">
        <v>7.95</v>
      </c>
      <c r="BC28" s="8">
        <v>-1.41</v>
      </c>
      <c r="BD28" s="5">
        <v>5</v>
      </c>
      <c r="BE28" s="5" t="s">
        <v>48</v>
      </c>
      <c r="BF28" s="8">
        <v>5</v>
      </c>
      <c r="BG28" s="6" t="s">
        <v>133</v>
      </c>
      <c r="BH28" s="5" t="s">
        <v>52</v>
      </c>
      <c r="BI28" s="5" t="s">
        <v>52</v>
      </c>
      <c r="BJ28" s="8" t="s">
        <v>46</v>
      </c>
      <c r="BK28" s="8" t="s">
        <v>46</v>
      </c>
      <c r="BL28" s="8" t="s">
        <v>46</v>
      </c>
      <c r="BM28" s="8">
        <v>0</v>
      </c>
      <c r="BN28" s="8">
        <v>0</v>
      </c>
      <c r="BO28" s="8">
        <v>0</v>
      </c>
      <c r="BP28" s="10" t="s">
        <v>46</v>
      </c>
    </row>
    <row r="29" spans="1:68" ht="14.5" customHeight="1" x14ac:dyDescent="0.35">
      <c r="A29" s="5">
        <v>28</v>
      </c>
      <c r="B29" s="6" t="s">
        <v>135</v>
      </c>
      <c r="C29" s="5" t="s">
        <v>44</v>
      </c>
      <c r="D29" s="5" t="s">
        <v>45</v>
      </c>
      <c r="E29" s="5" t="s">
        <v>46</v>
      </c>
      <c r="F29" s="5" t="s">
        <v>47</v>
      </c>
      <c r="G29" s="7">
        <v>0.22916666666666666</v>
      </c>
      <c r="H29" s="7">
        <v>0.29166666666666669</v>
      </c>
      <c r="I29" s="5">
        <v>1.2751999999999999</v>
      </c>
      <c r="J29" s="5">
        <v>1.2777000000000001</v>
      </c>
      <c r="K29" s="8">
        <v>-2.5</v>
      </c>
      <c r="L29" s="8">
        <v>5</v>
      </c>
      <c r="M29" s="5">
        <v>1.2777000000000001</v>
      </c>
      <c r="N29" s="5">
        <v>1.2702</v>
      </c>
      <c r="O29" s="5">
        <v>4</v>
      </c>
      <c r="P29" s="8">
        <v>4.2</v>
      </c>
      <c r="Q29" s="8">
        <v>-6.44</v>
      </c>
      <c r="R29" s="5">
        <v>14</v>
      </c>
      <c r="S29" s="5" t="s">
        <v>68</v>
      </c>
      <c r="T29" s="8">
        <v>-2.5</v>
      </c>
      <c r="U29" s="5">
        <v>2</v>
      </c>
      <c r="V29" s="5" t="s">
        <v>49</v>
      </c>
      <c r="W29" s="5" t="s">
        <v>136</v>
      </c>
      <c r="X29" s="5">
        <v>2</v>
      </c>
      <c r="Y29" s="5" t="s">
        <v>49</v>
      </c>
      <c r="Z29" s="5" t="s">
        <v>137</v>
      </c>
      <c r="AA29" s="6" t="s">
        <v>138</v>
      </c>
      <c r="AB29" s="5" t="s">
        <v>52</v>
      </c>
      <c r="AC29" s="5" t="s">
        <v>45</v>
      </c>
      <c r="AD29" s="8" t="s">
        <v>46</v>
      </c>
      <c r="AE29" s="8" t="s">
        <v>46</v>
      </c>
      <c r="AF29" s="8" t="s">
        <v>45</v>
      </c>
      <c r="AG29" s="5">
        <v>3</v>
      </c>
      <c r="AH29" s="8">
        <v>0</v>
      </c>
      <c r="AI29" s="8">
        <v>0</v>
      </c>
      <c r="AJ29" s="8">
        <v>0</v>
      </c>
      <c r="AK29" s="10" t="s">
        <v>46</v>
      </c>
      <c r="AL29" s="5"/>
      <c r="AM29" s="5">
        <v>28</v>
      </c>
      <c r="AN29" s="6" t="s">
        <v>135</v>
      </c>
      <c r="AO29" s="5" t="s">
        <v>53</v>
      </c>
      <c r="AP29" s="5" t="s">
        <v>45</v>
      </c>
      <c r="AQ29" s="5" t="s">
        <v>46</v>
      </c>
      <c r="AR29" s="5" t="s">
        <v>47</v>
      </c>
      <c r="AS29" s="7">
        <v>0.22916666666666666</v>
      </c>
      <c r="AT29" s="7">
        <v>0.29166666666666669</v>
      </c>
      <c r="AU29" s="5">
        <v>1.2751999999999999</v>
      </c>
      <c r="AV29" s="5">
        <v>1.2773000000000001</v>
      </c>
      <c r="AW29" s="5">
        <v>1.2773000000000001</v>
      </c>
      <c r="AX29" s="5">
        <v>1.2702</v>
      </c>
      <c r="AY29" s="5" t="s">
        <v>139</v>
      </c>
      <c r="AZ29" s="8">
        <v>-2.1</v>
      </c>
      <c r="BA29" s="5">
        <v>4</v>
      </c>
      <c r="BB29" s="8">
        <v>4.2</v>
      </c>
      <c r="BC29" s="8">
        <v>-6.44</v>
      </c>
      <c r="BD29" s="5">
        <v>14</v>
      </c>
      <c r="BE29" s="5" t="s">
        <v>68</v>
      </c>
      <c r="BF29" s="8">
        <v>-2.1</v>
      </c>
      <c r="BG29" s="6" t="s">
        <v>138</v>
      </c>
      <c r="BH29" s="5" t="s">
        <v>52</v>
      </c>
      <c r="BI29" s="5" t="s">
        <v>45</v>
      </c>
      <c r="BJ29" s="8" t="s">
        <v>46</v>
      </c>
      <c r="BK29" s="8" t="s">
        <v>46</v>
      </c>
      <c r="BL29" s="8" t="s">
        <v>45</v>
      </c>
      <c r="BM29" s="8">
        <v>0</v>
      </c>
      <c r="BN29" s="8">
        <v>0</v>
      </c>
      <c r="BO29" s="8">
        <v>0</v>
      </c>
      <c r="BP29" s="10" t="s">
        <v>46</v>
      </c>
    </row>
    <row r="30" spans="1:68" ht="14.5" customHeight="1" x14ac:dyDescent="0.35">
      <c r="A30" s="5">
        <v>29</v>
      </c>
      <c r="B30" s="6">
        <v>45505</v>
      </c>
      <c r="C30" s="5" t="s">
        <v>44</v>
      </c>
      <c r="D30" s="5" t="s">
        <v>45</v>
      </c>
      <c r="E30" s="5" t="s">
        <v>46</v>
      </c>
      <c r="F30" s="5" t="s">
        <v>47</v>
      </c>
      <c r="G30" s="7">
        <v>0.27083333333333331</v>
      </c>
      <c r="H30" s="7">
        <v>0.375</v>
      </c>
      <c r="I30" s="5">
        <v>1.282</v>
      </c>
      <c r="J30" s="5">
        <v>1.2769999999999999</v>
      </c>
      <c r="K30" s="8">
        <v>-2.5</v>
      </c>
      <c r="L30" s="8">
        <v>5</v>
      </c>
      <c r="M30" s="5">
        <v>1.2845</v>
      </c>
      <c r="N30" s="5">
        <v>1.2769999999999999</v>
      </c>
      <c r="O30" s="5">
        <v>6</v>
      </c>
      <c r="P30" s="8">
        <v>6.88</v>
      </c>
      <c r="Q30" s="8">
        <v>-1.91</v>
      </c>
      <c r="R30" s="5">
        <v>3</v>
      </c>
      <c r="S30" s="5" t="s">
        <v>48</v>
      </c>
      <c r="T30" s="8">
        <v>5</v>
      </c>
      <c r="U30" s="5">
        <v>4</v>
      </c>
      <c r="V30" s="5" t="s">
        <v>49</v>
      </c>
      <c r="W30" s="5" t="s">
        <v>140</v>
      </c>
      <c r="X30" s="5">
        <v>3</v>
      </c>
      <c r="Y30" s="5" t="s">
        <v>49</v>
      </c>
      <c r="Z30" s="5" t="s">
        <v>141</v>
      </c>
      <c r="AA30" s="6" t="s">
        <v>142</v>
      </c>
      <c r="AB30" s="5" t="s">
        <v>52</v>
      </c>
      <c r="AC30" s="5" t="s">
        <v>45</v>
      </c>
      <c r="AD30" s="8" t="s">
        <v>46</v>
      </c>
      <c r="AE30" s="8" t="s">
        <v>46</v>
      </c>
      <c r="AF30" s="8" t="s">
        <v>46</v>
      </c>
      <c r="AG30" s="5">
        <v>3</v>
      </c>
      <c r="AH30" s="8">
        <v>0</v>
      </c>
      <c r="AI30" s="8">
        <v>0</v>
      </c>
      <c r="AJ30" s="8">
        <v>0</v>
      </c>
      <c r="AK30" s="10" t="s">
        <v>46</v>
      </c>
      <c r="AL30" s="5"/>
      <c r="AM30" s="5">
        <v>29</v>
      </c>
      <c r="AN30" s="6" t="s">
        <v>143</v>
      </c>
      <c r="AO30" s="5" t="s">
        <v>53</v>
      </c>
      <c r="AP30" s="5" t="s">
        <v>45</v>
      </c>
      <c r="AQ30" s="5" t="s">
        <v>46</v>
      </c>
      <c r="AR30" s="5" t="s">
        <v>47</v>
      </c>
      <c r="AS30" s="9">
        <v>0.27083333333333331</v>
      </c>
      <c r="AT30" s="9">
        <v>0.375</v>
      </c>
      <c r="AU30" s="5">
        <v>1.282</v>
      </c>
      <c r="AV30" s="5">
        <v>1.2769999999999999</v>
      </c>
      <c r="AW30" s="5">
        <v>1.28393</v>
      </c>
      <c r="AX30" s="5">
        <v>1.2769999999999999</v>
      </c>
      <c r="AY30" s="5" t="s">
        <v>144</v>
      </c>
      <c r="AZ30" s="8">
        <v>-1.93</v>
      </c>
      <c r="BA30" s="5">
        <v>6</v>
      </c>
      <c r="BB30" s="8">
        <v>6.88</v>
      </c>
      <c r="BC30" s="8">
        <v>-1.91</v>
      </c>
      <c r="BD30" s="5">
        <v>3</v>
      </c>
      <c r="BE30" s="5" t="s">
        <v>48</v>
      </c>
      <c r="BF30" s="8">
        <v>5</v>
      </c>
      <c r="BG30" s="6" t="s">
        <v>142</v>
      </c>
      <c r="BH30" s="5" t="s">
        <v>52</v>
      </c>
      <c r="BI30" s="5" t="s">
        <v>45</v>
      </c>
      <c r="BJ30" s="8" t="s">
        <v>46</v>
      </c>
      <c r="BK30" s="8" t="s">
        <v>46</v>
      </c>
      <c r="BL30" s="8" t="s">
        <v>46</v>
      </c>
      <c r="BM30" s="8">
        <v>0</v>
      </c>
      <c r="BN30" s="8">
        <v>0</v>
      </c>
      <c r="BO30" s="8">
        <v>0</v>
      </c>
      <c r="BP30" s="10" t="s">
        <v>46</v>
      </c>
    </row>
    <row r="31" spans="1:68" ht="14.5" customHeight="1" x14ac:dyDescent="0.35">
      <c r="A31" s="5">
        <v>30</v>
      </c>
      <c r="B31" s="6">
        <v>45503</v>
      </c>
      <c r="C31" s="5" t="s">
        <v>44</v>
      </c>
      <c r="D31" s="5" t="s">
        <v>45</v>
      </c>
      <c r="E31" s="5" t="s">
        <v>46</v>
      </c>
      <c r="F31" s="5" t="s">
        <v>47</v>
      </c>
      <c r="G31" s="7">
        <v>0.58333333333333337</v>
      </c>
      <c r="H31" s="7">
        <v>0.97916666666666663</v>
      </c>
      <c r="I31" s="5">
        <v>1.2822</v>
      </c>
      <c r="J31" s="5">
        <v>1.28372</v>
      </c>
      <c r="K31" s="8">
        <v>-2.5</v>
      </c>
      <c r="L31" s="8">
        <v>5</v>
      </c>
      <c r="M31" s="5">
        <v>1.2847</v>
      </c>
      <c r="N31" s="5">
        <v>1.2771999999999999</v>
      </c>
      <c r="O31" s="5">
        <v>20</v>
      </c>
      <c r="P31" s="8">
        <v>0.25</v>
      </c>
      <c r="Q31" s="8">
        <v>-1.52</v>
      </c>
      <c r="R31" s="5">
        <v>1</v>
      </c>
      <c r="S31" s="5" t="s">
        <v>55</v>
      </c>
      <c r="T31" s="8">
        <v>-1.52</v>
      </c>
      <c r="U31" s="5">
        <v>2</v>
      </c>
      <c r="V31" s="5" t="s">
        <v>49</v>
      </c>
      <c r="W31" s="5" t="s">
        <v>145</v>
      </c>
      <c r="X31" s="5">
        <v>6</v>
      </c>
      <c r="Y31" s="5" t="s">
        <v>49</v>
      </c>
      <c r="Z31" s="5" t="s">
        <v>146</v>
      </c>
      <c r="AA31" s="6">
        <v>45504</v>
      </c>
      <c r="AB31" s="5" t="s">
        <v>45</v>
      </c>
      <c r="AC31" s="5" t="s">
        <v>45</v>
      </c>
      <c r="AD31" s="5" t="s">
        <v>45</v>
      </c>
      <c r="AE31" s="5" t="s">
        <v>52</v>
      </c>
      <c r="AF31" s="5" t="s">
        <v>52</v>
      </c>
      <c r="AG31" s="5">
        <v>3</v>
      </c>
      <c r="AH31" s="8">
        <v>0</v>
      </c>
      <c r="AI31" s="8">
        <v>-3.03</v>
      </c>
      <c r="AJ31" s="8">
        <v>-2.5</v>
      </c>
      <c r="AK31" s="10" t="s">
        <v>46</v>
      </c>
      <c r="AL31" s="5"/>
      <c r="AM31" s="5">
        <v>30</v>
      </c>
      <c r="AN31" s="6">
        <v>45503</v>
      </c>
      <c r="AO31" s="5" t="s">
        <v>53</v>
      </c>
      <c r="AP31" s="5" t="s">
        <v>45</v>
      </c>
      <c r="AQ31" s="5" t="s">
        <v>46</v>
      </c>
      <c r="AR31" s="5" t="s">
        <v>47</v>
      </c>
      <c r="AS31" s="7">
        <v>0.58333333333333337</v>
      </c>
      <c r="AT31" s="7">
        <v>0.97916666666666663</v>
      </c>
      <c r="AU31" s="5">
        <v>1.2822</v>
      </c>
      <c r="AV31" s="5">
        <v>1.28372</v>
      </c>
      <c r="AW31" s="5">
        <v>1.2841</v>
      </c>
      <c r="AX31" s="5">
        <v>1.2771999999999999</v>
      </c>
      <c r="AY31" s="5" t="s">
        <v>147</v>
      </c>
      <c r="AZ31" s="8">
        <v>-1.9</v>
      </c>
      <c r="BA31" s="5">
        <v>20</v>
      </c>
      <c r="BB31" s="8">
        <v>0.25</v>
      </c>
      <c r="BC31" s="8">
        <v>-1.52</v>
      </c>
      <c r="BD31" s="5">
        <v>1</v>
      </c>
      <c r="BE31" s="5" t="s">
        <v>55</v>
      </c>
      <c r="BF31" s="8">
        <v>-1.52</v>
      </c>
      <c r="BG31" s="6">
        <v>45504</v>
      </c>
      <c r="BH31" s="5" t="s">
        <v>45</v>
      </c>
      <c r="BI31" s="5" t="s">
        <v>52</v>
      </c>
      <c r="BJ31" s="5" t="s">
        <v>45</v>
      </c>
      <c r="BK31" s="5" t="s">
        <v>45</v>
      </c>
      <c r="BL31" s="5" t="s">
        <v>52</v>
      </c>
      <c r="BM31" s="8">
        <v>0</v>
      </c>
      <c r="BN31" s="8">
        <v>-3.03</v>
      </c>
      <c r="BO31" s="8">
        <v>1.9</v>
      </c>
      <c r="BP31" s="10" t="s">
        <v>46</v>
      </c>
    </row>
    <row r="32" spans="1:68" ht="14.5" customHeight="1" x14ac:dyDescent="0.35">
      <c r="A32" s="5">
        <v>31</v>
      </c>
      <c r="B32" s="6">
        <v>45502</v>
      </c>
      <c r="C32" s="5" t="s">
        <v>44</v>
      </c>
      <c r="D32" s="5" t="s">
        <v>45</v>
      </c>
      <c r="E32" s="5" t="s">
        <v>46</v>
      </c>
      <c r="F32" s="5" t="s">
        <v>47</v>
      </c>
      <c r="G32" s="7">
        <v>0.29166666666666669</v>
      </c>
      <c r="H32" s="7">
        <v>0.97916666666666663</v>
      </c>
      <c r="I32" s="5">
        <v>1.2846</v>
      </c>
      <c r="J32" s="5">
        <v>1.28592</v>
      </c>
      <c r="K32" s="8">
        <v>-2.5</v>
      </c>
      <c r="L32" s="8">
        <v>5</v>
      </c>
      <c r="M32" s="5">
        <v>1.2870999999999999</v>
      </c>
      <c r="N32" s="5">
        <v>1.2796000000000001</v>
      </c>
      <c r="O32" s="5">
        <v>34</v>
      </c>
      <c r="P32" s="8">
        <v>3.99</v>
      </c>
      <c r="Q32" s="8">
        <v>-2.12</v>
      </c>
      <c r="R32" s="5">
        <v>7</v>
      </c>
      <c r="S32" s="5" t="s">
        <v>55</v>
      </c>
      <c r="T32" s="8">
        <v>-1.32</v>
      </c>
      <c r="U32" s="5">
        <v>0</v>
      </c>
      <c r="V32" s="5" t="s">
        <v>46</v>
      </c>
      <c r="W32" s="12" t="s">
        <v>46</v>
      </c>
      <c r="X32" s="5">
        <v>2</v>
      </c>
      <c r="Y32" s="5" t="s">
        <v>49</v>
      </c>
      <c r="Z32" s="5" t="s">
        <v>145</v>
      </c>
      <c r="AA32" s="6">
        <v>45503</v>
      </c>
      <c r="AB32" s="5" t="s">
        <v>45</v>
      </c>
      <c r="AC32" s="5" t="s">
        <v>45</v>
      </c>
      <c r="AD32" s="5" t="s">
        <v>52</v>
      </c>
      <c r="AE32" s="5" t="s">
        <v>52</v>
      </c>
      <c r="AF32" s="8" t="s">
        <v>46</v>
      </c>
      <c r="AG32" s="5">
        <v>6</v>
      </c>
      <c r="AH32" s="8">
        <v>2.65</v>
      </c>
      <c r="AI32" s="8">
        <v>-1.81</v>
      </c>
      <c r="AJ32" s="8">
        <v>0.88</v>
      </c>
      <c r="AK32" s="10" t="s">
        <v>46</v>
      </c>
      <c r="AL32" s="5"/>
      <c r="AM32" s="5">
        <v>31</v>
      </c>
      <c r="AN32" s="6">
        <v>45502</v>
      </c>
      <c r="AO32" s="5" t="s">
        <v>53</v>
      </c>
      <c r="AP32" s="5" t="s">
        <v>45</v>
      </c>
      <c r="AQ32" s="5" t="s">
        <v>46</v>
      </c>
      <c r="AR32" s="5" t="s">
        <v>47</v>
      </c>
      <c r="AS32" s="7">
        <v>0.29166666666666669</v>
      </c>
      <c r="AT32" s="7">
        <v>0.97916666666666663</v>
      </c>
      <c r="AU32" s="5">
        <v>1.2846</v>
      </c>
      <c r="AV32" s="5">
        <v>1.28592</v>
      </c>
      <c r="AW32" s="5">
        <v>1.2865</v>
      </c>
      <c r="AX32" s="5">
        <v>1.2796000000000001</v>
      </c>
      <c r="AY32" s="5" t="s">
        <v>147</v>
      </c>
      <c r="AZ32" s="8">
        <v>-1.9</v>
      </c>
      <c r="BA32" s="5">
        <v>34</v>
      </c>
      <c r="BB32" s="8">
        <v>3.99</v>
      </c>
      <c r="BC32" s="8">
        <v>-2.12</v>
      </c>
      <c r="BD32" s="5">
        <v>7</v>
      </c>
      <c r="BE32" s="5" t="s">
        <v>55</v>
      </c>
      <c r="BF32" s="8">
        <v>-1.32</v>
      </c>
      <c r="BG32" s="6">
        <v>45503</v>
      </c>
      <c r="BH32" s="5" t="s">
        <v>45</v>
      </c>
      <c r="BI32" s="5" t="s">
        <v>45</v>
      </c>
      <c r="BJ32" s="5" t="s">
        <v>52</v>
      </c>
      <c r="BK32" s="5" t="s">
        <v>52</v>
      </c>
      <c r="BL32" s="8" t="s">
        <v>46</v>
      </c>
      <c r="BM32" s="8">
        <v>2.65</v>
      </c>
      <c r="BN32" s="8">
        <v>-1.81</v>
      </c>
      <c r="BO32" s="8">
        <v>0.88</v>
      </c>
      <c r="BP32" s="10" t="s">
        <v>46</v>
      </c>
    </row>
    <row r="33" spans="1:68" ht="14.5" customHeight="1" x14ac:dyDescent="0.35">
      <c r="A33" s="5">
        <v>32</v>
      </c>
      <c r="B33" s="6">
        <v>45496</v>
      </c>
      <c r="C33" s="5" t="s">
        <v>44</v>
      </c>
      <c r="D33" s="5" t="s">
        <v>45</v>
      </c>
      <c r="E33" s="5" t="s">
        <v>46</v>
      </c>
      <c r="F33" s="5" t="s">
        <v>47</v>
      </c>
      <c r="G33" s="7">
        <v>0.41666666666666669</v>
      </c>
      <c r="H33" s="7">
        <v>0.97916666666666663</v>
      </c>
      <c r="I33" s="5">
        <v>1.2901</v>
      </c>
      <c r="J33" s="5">
        <v>1.29003</v>
      </c>
      <c r="K33" s="8">
        <v>-2.5</v>
      </c>
      <c r="L33" s="8">
        <v>5</v>
      </c>
      <c r="M33" s="5">
        <v>1.2926</v>
      </c>
      <c r="N33" s="5">
        <v>1.2850999999999999</v>
      </c>
      <c r="O33" s="5">
        <v>28</v>
      </c>
      <c r="P33" s="8">
        <v>1.39</v>
      </c>
      <c r="Q33" s="8">
        <v>-1.82</v>
      </c>
      <c r="R33" s="5">
        <v>7</v>
      </c>
      <c r="S33" s="5" t="s">
        <v>55</v>
      </c>
      <c r="T33" s="8">
        <v>7.0000000000000007E-2</v>
      </c>
      <c r="U33" s="5">
        <v>1</v>
      </c>
      <c r="V33" s="5" t="s">
        <v>49</v>
      </c>
      <c r="W33" s="5" t="s">
        <v>148</v>
      </c>
      <c r="X33" s="5">
        <v>3</v>
      </c>
      <c r="Y33" s="5" t="s">
        <v>49</v>
      </c>
      <c r="Z33" s="5" t="s">
        <v>149</v>
      </c>
      <c r="AA33" s="6">
        <v>45497</v>
      </c>
      <c r="AB33" s="5" t="s">
        <v>45</v>
      </c>
      <c r="AC33" s="5" t="s">
        <v>45</v>
      </c>
      <c r="AD33" s="5" t="s">
        <v>45</v>
      </c>
      <c r="AE33" s="5" t="s">
        <v>52</v>
      </c>
      <c r="AF33" s="5" t="s">
        <v>52</v>
      </c>
      <c r="AG33" s="5">
        <v>9</v>
      </c>
      <c r="AH33" s="8">
        <v>2.38</v>
      </c>
      <c r="AI33" s="8">
        <v>3.61</v>
      </c>
      <c r="AJ33" s="8">
        <v>-2.5</v>
      </c>
      <c r="AK33" s="10" t="s">
        <v>46</v>
      </c>
      <c r="AL33" s="5"/>
      <c r="AM33" s="5">
        <v>32</v>
      </c>
      <c r="AN33" s="6">
        <v>45496</v>
      </c>
      <c r="AO33" s="5" t="s">
        <v>53</v>
      </c>
      <c r="AP33" s="5" t="s">
        <v>45</v>
      </c>
      <c r="AQ33" s="5" t="s">
        <v>46</v>
      </c>
      <c r="AR33" s="5" t="s">
        <v>47</v>
      </c>
      <c r="AS33" s="7">
        <v>0.41666666666666669</v>
      </c>
      <c r="AT33" s="7">
        <v>0.97916666666666663</v>
      </c>
      <c r="AU33" s="5">
        <v>1.2901</v>
      </c>
      <c r="AV33" s="5">
        <v>1.29003</v>
      </c>
      <c r="AW33" s="5">
        <v>1.29199</v>
      </c>
      <c r="AX33" s="5">
        <v>1.2850999999999999</v>
      </c>
      <c r="AY33" s="5" t="s">
        <v>150</v>
      </c>
      <c r="AZ33" s="8">
        <v>-1.89</v>
      </c>
      <c r="BA33" s="5">
        <v>28</v>
      </c>
      <c r="BB33" s="8">
        <v>1.39</v>
      </c>
      <c r="BC33" s="8">
        <v>1.82</v>
      </c>
      <c r="BD33" s="5">
        <v>7</v>
      </c>
      <c r="BE33" s="5" t="s">
        <v>55</v>
      </c>
      <c r="BF33" s="8">
        <v>7.0000000000000007E-2</v>
      </c>
      <c r="BG33" s="6">
        <v>45497</v>
      </c>
      <c r="BH33" s="5" t="s">
        <v>45</v>
      </c>
      <c r="BI33" s="5" t="s">
        <v>45</v>
      </c>
      <c r="BJ33" s="5" t="s">
        <v>45</v>
      </c>
      <c r="BK33" s="5" t="s">
        <v>52</v>
      </c>
      <c r="BL33" s="5" t="s">
        <v>52</v>
      </c>
      <c r="BM33" s="8">
        <v>2.38</v>
      </c>
      <c r="BN33" s="8">
        <v>3.61</v>
      </c>
      <c r="BO33" s="8">
        <v>-2.5</v>
      </c>
      <c r="BP33" s="10" t="s">
        <v>46</v>
      </c>
    </row>
    <row r="34" spans="1:68" ht="14.5" customHeight="1" x14ac:dyDescent="0.35">
      <c r="A34" s="5">
        <v>33</v>
      </c>
      <c r="B34" s="6">
        <v>45476</v>
      </c>
      <c r="C34" s="5" t="s">
        <v>44</v>
      </c>
      <c r="D34" s="5" t="s">
        <v>45</v>
      </c>
      <c r="E34" s="5" t="s">
        <v>46</v>
      </c>
      <c r="F34" s="5" t="s">
        <v>67</v>
      </c>
      <c r="G34" s="7">
        <v>2.0833333333333332E-2</v>
      </c>
      <c r="H34" s="7">
        <v>0.5625</v>
      </c>
      <c r="I34" s="5">
        <v>1.2690000000000001</v>
      </c>
      <c r="J34" s="5">
        <v>1.274</v>
      </c>
      <c r="K34" s="8">
        <v>-2.5</v>
      </c>
      <c r="L34" s="8">
        <v>5</v>
      </c>
      <c r="M34" s="5">
        <v>1.2665</v>
      </c>
      <c r="N34" s="5">
        <v>1.274</v>
      </c>
      <c r="O34" s="5">
        <v>27</v>
      </c>
      <c r="P34" s="8">
        <v>8.69</v>
      </c>
      <c r="Q34" s="8">
        <v>-1.18</v>
      </c>
      <c r="R34" s="5">
        <v>3</v>
      </c>
      <c r="S34" s="5" t="s">
        <v>48</v>
      </c>
      <c r="T34" s="8">
        <v>5</v>
      </c>
      <c r="U34" s="5">
        <v>6</v>
      </c>
      <c r="V34" s="5" t="s">
        <v>49</v>
      </c>
      <c r="W34" s="5" t="s">
        <v>151</v>
      </c>
      <c r="X34" s="5">
        <v>4</v>
      </c>
      <c r="Y34" s="5" t="s">
        <v>49</v>
      </c>
      <c r="Z34" s="5" t="s">
        <v>152</v>
      </c>
      <c r="AA34" s="6">
        <v>45477</v>
      </c>
      <c r="AB34" s="5" t="s">
        <v>52</v>
      </c>
      <c r="AC34" s="5" t="s">
        <v>45</v>
      </c>
      <c r="AD34" s="8" t="s">
        <v>46</v>
      </c>
      <c r="AE34" s="8" t="s">
        <v>46</v>
      </c>
      <c r="AF34" s="8" t="s">
        <v>46</v>
      </c>
      <c r="AG34" s="5">
        <v>0</v>
      </c>
      <c r="AH34" s="8">
        <v>0</v>
      </c>
      <c r="AI34" s="8">
        <v>0</v>
      </c>
      <c r="AJ34" s="8">
        <v>0</v>
      </c>
      <c r="AK34" s="10" t="s">
        <v>46</v>
      </c>
      <c r="AL34" s="5"/>
      <c r="AM34" s="5">
        <v>33</v>
      </c>
      <c r="AN34" s="6">
        <v>45476</v>
      </c>
      <c r="AO34" s="5" t="s">
        <v>53</v>
      </c>
      <c r="AP34" s="5" t="s">
        <v>45</v>
      </c>
      <c r="AQ34" s="5" t="s">
        <v>46</v>
      </c>
      <c r="AR34" s="5" t="s">
        <v>67</v>
      </c>
      <c r="AS34" s="7">
        <v>2.0833333333333332E-2</v>
      </c>
      <c r="AT34" s="7">
        <v>0.5625</v>
      </c>
      <c r="AU34" s="5">
        <v>1.2690000000000001</v>
      </c>
      <c r="AV34" s="5">
        <v>1.274</v>
      </c>
      <c r="AW34" s="5">
        <v>1.26695</v>
      </c>
      <c r="AX34" s="5">
        <v>1.274</v>
      </c>
      <c r="AY34" s="5" t="s">
        <v>153</v>
      </c>
      <c r="AZ34" s="8">
        <v>-2.0499999999999998</v>
      </c>
      <c r="BA34" s="5">
        <v>27</v>
      </c>
      <c r="BB34" s="8">
        <v>8.69</v>
      </c>
      <c r="BC34" s="8">
        <v>-1.18</v>
      </c>
      <c r="BD34" s="5">
        <v>3</v>
      </c>
      <c r="BE34" s="5" t="s">
        <v>48</v>
      </c>
      <c r="BF34" s="8">
        <v>5</v>
      </c>
      <c r="BG34" s="6">
        <v>45477</v>
      </c>
      <c r="BH34" s="5" t="s">
        <v>52</v>
      </c>
      <c r="BI34" s="5" t="s">
        <v>45</v>
      </c>
      <c r="BJ34" s="8" t="s">
        <v>46</v>
      </c>
      <c r="BK34" s="8" t="s">
        <v>46</v>
      </c>
      <c r="BL34" s="8" t="s">
        <v>46</v>
      </c>
      <c r="BM34" s="8">
        <v>0</v>
      </c>
      <c r="BN34" s="8">
        <v>0</v>
      </c>
      <c r="BO34" s="8">
        <v>0</v>
      </c>
      <c r="BP34" s="10" t="s">
        <v>46</v>
      </c>
    </row>
    <row r="35" spans="1:68" ht="14.5" customHeight="1" x14ac:dyDescent="0.35">
      <c r="A35" s="5">
        <v>34</v>
      </c>
      <c r="B35" s="6">
        <v>45474</v>
      </c>
      <c r="C35" s="5" t="s">
        <v>44</v>
      </c>
      <c r="D35" s="5" t="s">
        <v>45</v>
      </c>
      <c r="E35" s="5" t="s">
        <v>46</v>
      </c>
      <c r="F35" s="5" t="s">
        <v>67</v>
      </c>
      <c r="G35" s="7">
        <v>0.58333333333333337</v>
      </c>
      <c r="H35" s="7">
        <v>0.58333333333333337</v>
      </c>
      <c r="I35" s="5">
        <v>1.2698</v>
      </c>
      <c r="J35" s="5">
        <v>1.2673000000000001</v>
      </c>
      <c r="K35" s="8">
        <v>-2.5</v>
      </c>
      <c r="L35" s="8">
        <v>5</v>
      </c>
      <c r="M35" s="5">
        <v>1.2673000000000001</v>
      </c>
      <c r="N35" s="5">
        <v>1.2747999999999999</v>
      </c>
      <c r="O35" s="5">
        <v>1</v>
      </c>
      <c r="P35" s="8">
        <v>1.25</v>
      </c>
      <c r="Q35" s="8">
        <v>-6.52</v>
      </c>
      <c r="R35" s="5">
        <v>0</v>
      </c>
      <c r="S35" s="5" t="s">
        <v>68</v>
      </c>
      <c r="T35" s="8">
        <v>-2.5</v>
      </c>
      <c r="U35" s="5">
        <v>2</v>
      </c>
      <c r="V35" s="5" t="s">
        <v>49</v>
      </c>
      <c r="W35" s="5" t="s">
        <v>154</v>
      </c>
      <c r="X35" s="5">
        <v>2</v>
      </c>
      <c r="Y35" s="5" t="s">
        <v>49</v>
      </c>
      <c r="Z35" s="5" t="s">
        <v>155</v>
      </c>
      <c r="AA35" s="6">
        <v>45475</v>
      </c>
      <c r="AB35" s="5" t="s">
        <v>52</v>
      </c>
      <c r="AC35" s="5" t="s">
        <v>45</v>
      </c>
      <c r="AD35" s="8" t="s">
        <v>46</v>
      </c>
      <c r="AE35" s="8" t="s">
        <v>46</v>
      </c>
      <c r="AF35" s="8" t="s">
        <v>45</v>
      </c>
      <c r="AG35" s="5">
        <v>0</v>
      </c>
      <c r="AH35" s="8">
        <v>0</v>
      </c>
      <c r="AI35" s="8">
        <v>0</v>
      </c>
      <c r="AJ35" s="8">
        <v>0</v>
      </c>
      <c r="AK35" s="10" t="s">
        <v>46</v>
      </c>
      <c r="AL35" s="5"/>
      <c r="AM35" s="5">
        <v>34</v>
      </c>
      <c r="AN35" s="6">
        <v>45474</v>
      </c>
      <c r="AO35" s="5" t="s">
        <v>53</v>
      </c>
      <c r="AP35" s="5" t="s">
        <v>45</v>
      </c>
      <c r="AQ35" s="5" t="s">
        <v>46</v>
      </c>
      <c r="AR35" s="5" t="s">
        <v>67</v>
      </c>
      <c r="AS35" s="7">
        <v>0.58333333333333337</v>
      </c>
      <c r="AT35" s="7">
        <v>0.58333333333333337</v>
      </c>
      <c r="AU35" s="5">
        <v>1.2698</v>
      </c>
      <c r="AV35" s="5">
        <v>1.2677400000000001</v>
      </c>
      <c r="AW35" s="5">
        <v>1.2677400000000001</v>
      </c>
      <c r="AX35" s="5">
        <v>1.2747999999999999</v>
      </c>
      <c r="AY35" s="5" t="s">
        <v>156</v>
      </c>
      <c r="AZ35" s="8">
        <v>-2.06</v>
      </c>
      <c r="BA35" s="5">
        <v>1</v>
      </c>
      <c r="BB35" s="8">
        <v>1.25</v>
      </c>
      <c r="BC35" s="8">
        <v>-6.52</v>
      </c>
      <c r="BD35" s="5">
        <v>0</v>
      </c>
      <c r="BE35" s="5" t="s">
        <v>68</v>
      </c>
      <c r="BF35" s="8">
        <v>-2.06</v>
      </c>
      <c r="BG35" s="6">
        <v>45476</v>
      </c>
      <c r="BH35" s="5" t="s">
        <v>52</v>
      </c>
      <c r="BI35" s="5" t="s">
        <v>45</v>
      </c>
      <c r="BJ35" s="8" t="s">
        <v>46</v>
      </c>
      <c r="BK35" s="8" t="s">
        <v>46</v>
      </c>
      <c r="BL35" s="5" t="s">
        <v>45</v>
      </c>
      <c r="BM35" s="8">
        <v>0</v>
      </c>
      <c r="BN35" s="8">
        <v>0</v>
      </c>
      <c r="BO35" s="8">
        <v>0</v>
      </c>
      <c r="BP35" s="10" t="s">
        <v>46</v>
      </c>
    </row>
    <row r="36" spans="1:68" ht="14.5" customHeight="1" x14ac:dyDescent="0.35">
      <c r="A36" s="5">
        <v>35</v>
      </c>
      <c r="B36" s="6">
        <v>45470</v>
      </c>
      <c r="C36" s="5" t="s">
        <v>44</v>
      </c>
      <c r="D36" s="5" t="s">
        <v>45</v>
      </c>
      <c r="E36" s="5" t="s">
        <v>46</v>
      </c>
      <c r="F36" s="5" t="s">
        <v>47</v>
      </c>
      <c r="G36" s="7">
        <v>0</v>
      </c>
      <c r="H36" s="7">
        <v>0.27083333333333331</v>
      </c>
      <c r="I36" s="5">
        <v>1.2618</v>
      </c>
      <c r="J36" s="5">
        <v>1.2643</v>
      </c>
      <c r="K36" s="8">
        <v>-2.5</v>
      </c>
      <c r="L36" s="8">
        <v>5</v>
      </c>
      <c r="M36" s="5">
        <v>1.2643</v>
      </c>
      <c r="N36" s="5">
        <v>1.2567999999999999</v>
      </c>
      <c r="O36" s="5">
        <v>14</v>
      </c>
      <c r="P36" s="8">
        <v>0.56999999999999995</v>
      </c>
      <c r="Q36" s="8">
        <v>-5.2</v>
      </c>
      <c r="R36" s="5">
        <v>1</v>
      </c>
      <c r="S36" s="5" t="s">
        <v>68</v>
      </c>
      <c r="T36" s="8">
        <v>-2.5</v>
      </c>
      <c r="U36" s="5">
        <v>4</v>
      </c>
      <c r="V36" s="5" t="s">
        <v>49</v>
      </c>
      <c r="W36" s="5" t="s">
        <v>157</v>
      </c>
      <c r="X36" s="5">
        <v>5</v>
      </c>
      <c r="Y36" s="5" t="s">
        <v>49</v>
      </c>
      <c r="Z36" s="5" t="s">
        <v>158</v>
      </c>
      <c r="AA36" s="6">
        <v>45471</v>
      </c>
      <c r="AB36" s="5" t="s">
        <v>52</v>
      </c>
      <c r="AC36" s="5" t="s">
        <v>52</v>
      </c>
      <c r="AD36" s="8" t="s">
        <v>46</v>
      </c>
      <c r="AE36" s="8" t="s">
        <v>46</v>
      </c>
      <c r="AF36" s="8" t="s">
        <v>46</v>
      </c>
      <c r="AG36" s="5">
        <v>0</v>
      </c>
      <c r="AH36" s="8">
        <v>0</v>
      </c>
      <c r="AI36" s="8">
        <v>0</v>
      </c>
      <c r="AJ36" s="8">
        <v>0</v>
      </c>
      <c r="AK36" s="10" t="s">
        <v>46</v>
      </c>
      <c r="AL36" s="5"/>
      <c r="AM36" s="5">
        <v>35</v>
      </c>
      <c r="AN36" s="6">
        <v>45470</v>
      </c>
      <c r="AO36" s="5" t="s">
        <v>53</v>
      </c>
      <c r="AP36" s="5" t="s">
        <v>45</v>
      </c>
      <c r="AQ36" s="5" t="s">
        <v>46</v>
      </c>
      <c r="AR36" s="5" t="s">
        <v>47</v>
      </c>
      <c r="AS36" s="7">
        <v>0</v>
      </c>
      <c r="AT36" s="7">
        <v>0.25</v>
      </c>
      <c r="AU36" s="5">
        <v>1.2618</v>
      </c>
      <c r="AV36" s="5">
        <v>1.2643</v>
      </c>
      <c r="AW36" s="5">
        <v>1.26387</v>
      </c>
      <c r="AX36" s="5">
        <v>1.2567999999999999</v>
      </c>
      <c r="AY36" s="5" t="s">
        <v>159</v>
      </c>
      <c r="AZ36" s="8">
        <v>-2.0699999999999998</v>
      </c>
      <c r="BA36" s="5">
        <v>13</v>
      </c>
      <c r="BB36" s="8">
        <v>0.56999999999999995</v>
      </c>
      <c r="BC36" s="8">
        <v>-5.2</v>
      </c>
      <c r="BD36" s="5">
        <v>1</v>
      </c>
      <c r="BE36" s="5" t="s">
        <v>68</v>
      </c>
      <c r="BF36" s="8">
        <v>-2.0699999999999998</v>
      </c>
      <c r="BG36" s="6">
        <v>45471</v>
      </c>
      <c r="BH36" s="5" t="s">
        <v>52</v>
      </c>
      <c r="BI36" s="5" t="s">
        <v>52</v>
      </c>
      <c r="BJ36" s="8" t="s">
        <v>46</v>
      </c>
      <c r="BK36" s="8" t="s">
        <v>46</v>
      </c>
      <c r="BL36" s="8" t="s">
        <v>46</v>
      </c>
      <c r="BM36" s="8">
        <v>0</v>
      </c>
      <c r="BN36" s="8">
        <v>0</v>
      </c>
      <c r="BO36" s="8">
        <v>0</v>
      </c>
      <c r="BP36" s="10" t="s">
        <v>46</v>
      </c>
    </row>
    <row r="37" spans="1:68" ht="14.5" customHeight="1" x14ac:dyDescent="0.35">
      <c r="A37" s="5">
        <v>36</v>
      </c>
      <c r="B37" s="6">
        <v>45469</v>
      </c>
      <c r="C37" s="5" t="s">
        <v>44</v>
      </c>
      <c r="D37" s="5" t="s">
        <v>45</v>
      </c>
      <c r="E37" s="5" t="s">
        <v>46</v>
      </c>
      <c r="F37" s="5" t="s">
        <v>47</v>
      </c>
      <c r="G37" s="7">
        <v>0.60416666666666663</v>
      </c>
      <c r="H37" s="7">
        <v>0.97916666666666663</v>
      </c>
      <c r="I37" s="5">
        <v>1.2625</v>
      </c>
      <c r="J37" s="5">
        <v>1.26207</v>
      </c>
      <c r="K37" s="8">
        <v>-2.5</v>
      </c>
      <c r="L37" s="8">
        <v>5</v>
      </c>
      <c r="M37" s="5">
        <v>1.2649999999999999</v>
      </c>
      <c r="N37" s="5">
        <v>1.2575000000000001</v>
      </c>
      <c r="O37" s="5">
        <v>19</v>
      </c>
      <c r="P37" s="8">
        <v>1</v>
      </c>
      <c r="Q37" s="8">
        <v>-1.24</v>
      </c>
      <c r="R37" s="5">
        <v>8</v>
      </c>
      <c r="S37" s="5" t="s">
        <v>55</v>
      </c>
      <c r="T37" s="8">
        <v>0.43</v>
      </c>
      <c r="U37" s="5">
        <v>2</v>
      </c>
      <c r="V37" s="5" t="s">
        <v>49</v>
      </c>
      <c r="W37" s="5" t="s">
        <v>160</v>
      </c>
      <c r="X37" s="5">
        <v>4</v>
      </c>
      <c r="Y37" s="5" t="s">
        <v>49</v>
      </c>
      <c r="Z37" s="5" t="s">
        <v>157</v>
      </c>
      <c r="AA37" s="6">
        <v>45470</v>
      </c>
      <c r="AB37" s="5" t="s">
        <v>45</v>
      </c>
      <c r="AC37" s="5" t="s">
        <v>52</v>
      </c>
      <c r="AD37" s="5" t="s">
        <v>45</v>
      </c>
      <c r="AE37" s="5" t="s">
        <v>52</v>
      </c>
      <c r="AF37" s="5" t="s">
        <v>52</v>
      </c>
      <c r="AG37" s="5">
        <v>1</v>
      </c>
      <c r="AH37" s="8">
        <v>1.27</v>
      </c>
      <c r="AI37" s="8">
        <v>-4.5</v>
      </c>
      <c r="AJ37" s="8">
        <v>-2.5</v>
      </c>
      <c r="AK37" s="10" t="s">
        <v>46</v>
      </c>
      <c r="AL37" s="5"/>
      <c r="AM37" s="5">
        <v>36</v>
      </c>
      <c r="AN37" s="6">
        <v>45469</v>
      </c>
      <c r="AO37" s="5" t="s">
        <v>53</v>
      </c>
      <c r="AP37" s="5" t="s">
        <v>45</v>
      </c>
      <c r="AQ37" s="5" t="s">
        <v>46</v>
      </c>
      <c r="AR37" s="5" t="s">
        <v>47</v>
      </c>
      <c r="AS37" s="7">
        <v>0.60416666666666663</v>
      </c>
      <c r="AT37" s="7">
        <v>0.97916666666666663</v>
      </c>
      <c r="AU37" s="5">
        <v>1.2625</v>
      </c>
      <c r="AV37" s="5">
        <v>1.26207</v>
      </c>
      <c r="AW37" s="5">
        <v>1.26457</v>
      </c>
      <c r="AX37" s="5">
        <v>1.2575000000000001</v>
      </c>
      <c r="AY37" s="5" t="s">
        <v>161</v>
      </c>
      <c r="AZ37" s="8">
        <v>-2.0699999999999998</v>
      </c>
      <c r="BA37" s="5">
        <v>19</v>
      </c>
      <c r="BB37" s="8">
        <v>1</v>
      </c>
      <c r="BC37" s="8">
        <v>-1.24</v>
      </c>
      <c r="BD37" s="5">
        <v>8</v>
      </c>
      <c r="BE37" s="5" t="s">
        <v>55</v>
      </c>
      <c r="BF37" s="8">
        <v>0.43</v>
      </c>
      <c r="BG37" s="6">
        <v>45470</v>
      </c>
      <c r="BH37" s="5" t="s">
        <v>45</v>
      </c>
      <c r="BI37" s="5" t="s">
        <v>52</v>
      </c>
      <c r="BJ37" s="5" t="s">
        <v>45</v>
      </c>
      <c r="BK37" s="5" t="s">
        <v>52</v>
      </c>
      <c r="BL37" s="5" t="s">
        <v>52</v>
      </c>
      <c r="BM37" s="8">
        <v>1.27</v>
      </c>
      <c r="BN37" s="8">
        <v>-4.5</v>
      </c>
      <c r="BO37" s="8">
        <v>-2.0699999999999998</v>
      </c>
      <c r="BP37" s="10" t="s">
        <v>46</v>
      </c>
    </row>
    <row r="38" spans="1:68" ht="14.5" customHeight="1" x14ac:dyDescent="0.35">
      <c r="A38" s="5">
        <v>37</v>
      </c>
      <c r="B38" s="6">
        <v>45457</v>
      </c>
      <c r="C38" s="5" t="s">
        <v>44</v>
      </c>
      <c r="D38" s="5" t="s">
        <v>45</v>
      </c>
      <c r="E38" s="5" t="s">
        <v>46</v>
      </c>
      <c r="F38" s="5" t="s">
        <v>47</v>
      </c>
      <c r="G38" s="7">
        <v>0.39583333333333331</v>
      </c>
      <c r="H38" s="7">
        <v>0.85416666666666663</v>
      </c>
      <c r="I38" s="5">
        <v>1.2703000000000002</v>
      </c>
      <c r="J38" s="5">
        <v>1.26861</v>
      </c>
      <c r="K38" s="8">
        <v>-2.5</v>
      </c>
      <c r="L38" s="8">
        <v>5</v>
      </c>
      <c r="M38" s="5">
        <v>1.2727999999999999</v>
      </c>
      <c r="N38" s="5">
        <v>1.2653000000000001</v>
      </c>
      <c r="O38" s="5">
        <v>25</v>
      </c>
      <c r="P38" s="8">
        <v>4.68</v>
      </c>
      <c r="Q38" s="8">
        <v>-1.37</v>
      </c>
      <c r="R38" s="5">
        <v>4</v>
      </c>
      <c r="S38" s="5" t="s">
        <v>55</v>
      </c>
      <c r="T38" s="8">
        <v>1.69</v>
      </c>
      <c r="U38" s="5">
        <v>13</v>
      </c>
      <c r="V38" s="5" t="s">
        <v>56</v>
      </c>
      <c r="W38" s="12" t="s">
        <v>46</v>
      </c>
      <c r="X38" s="5">
        <v>2</v>
      </c>
      <c r="Y38" s="5" t="s">
        <v>49</v>
      </c>
      <c r="Z38" s="5" t="s">
        <v>162</v>
      </c>
      <c r="AA38" s="6">
        <v>45460</v>
      </c>
      <c r="AB38" s="5" t="s">
        <v>45</v>
      </c>
      <c r="AC38" s="5" t="s">
        <v>52</v>
      </c>
      <c r="AD38" s="5" t="s">
        <v>52</v>
      </c>
      <c r="AE38" s="5" t="s">
        <v>52</v>
      </c>
      <c r="AF38" s="8" t="s">
        <v>46</v>
      </c>
      <c r="AG38" s="5">
        <v>6</v>
      </c>
      <c r="AH38" s="8">
        <v>4.49</v>
      </c>
      <c r="AI38" s="8">
        <v>-1.07</v>
      </c>
      <c r="AJ38" s="8">
        <v>-0.98</v>
      </c>
      <c r="AK38" s="10" t="s">
        <v>46</v>
      </c>
      <c r="AL38" s="5"/>
      <c r="AM38" s="5">
        <v>37</v>
      </c>
      <c r="AN38" s="6">
        <v>45457</v>
      </c>
      <c r="AO38" s="5" t="s">
        <v>53</v>
      </c>
      <c r="AP38" s="5" t="s">
        <v>45</v>
      </c>
      <c r="AQ38" s="5" t="s">
        <v>46</v>
      </c>
      <c r="AR38" s="5" t="s">
        <v>47</v>
      </c>
      <c r="AS38" s="7">
        <v>0.39583333333333331</v>
      </c>
      <c r="AT38" s="7">
        <v>0.85416666666666663</v>
      </c>
      <c r="AU38" s="5">
        <v>1.2703000000000002</v>
      </c>
      <c r="AV38" s="5">
        <v>1.26861</v>
      </c>
      <c r="AW38" s="5">
        <v>1.2723500000000001</v>
      </c>
      <c r="AX38" s="5">
        <v>1.2653000000000001</v>
      </c>
      <c r="AY38" s="5" t="s">
        <v>163</v>
      </c>
      <c r="AZ38" s="8">
        <v>-2.0499999999999998</v>
      </c>
      <c r="BA38" s="5">
        <v>25</v>
      </c>
      <c r="BB38" s="8">
        <v>4.68</v>
      </c>
      <c r="BC38" s="8">
        <v>-1.37</v>
      </c>
      <c r="BD38" s="5">
        <v>4</v>
      </c>
      <c r="BE38" s="5" t="s">
        <v>55</v>
      </c>
      <c r="BF38" s="8">
        <v>1.69</v>
      </c>
      <c r="BG38" s="6">
        <v>45460</v>
      </c>
      <c r="BH38" s="5" t="s">
        <v>45</v>
      </c>
      <c r="BI38" s="5" t="s">
        <v>52</v>
      </c>
      <c r="BJ38" s="5" t="s">
        <v>52</v>
      </c>
      <c r="BK38" s="5" t="s">
        <v>52</v>
      </c>
      <c r="BL38" s="8" t="s">
        <v>46</v>
      </c>
      <c r="BM38" s="8">
        <v>4.49</v>
      </c>
      <c r="BN38" s="8">
        <v>-1.07</v>
      </c>
      <c r="BO38" s="8">
        <v>-0.98</v>
      </c>
      <c r="BP38" s="10" t="s">
        <v>46</v>
      </c>
    </row>
    <row r="39" spans="1:68" ht="14.5" customHeight="1" x14ac:dyDescent="0.35">
      <c r="A39" s="5">
        <v>38</v>
      </c>
      <c r="B39" s="6">
        <v>45453</v>
      </c>
      <c r="C39" s="5" t="s">
        <v>44</v>
      </c>
      <c r="D39" s="5" t="s">
        <v>45</v>
      </c>
      <c r="E39" s="5" t="s">
        <v>46</v>
      </c>
      <c r="F39" s="5" t="s">
        <v>47</v>
      </c>
      <c r="G39" s="7">
        <v>0.39583333333333331</v>
      </c>
      <c r="H39" s="7">
        <v>0.5</v>
      </c>
      <c r="I39" s="5">
        <v>1.2699</v>
      </c>
      <c r="J39" s="5">
        <v>1.2724</v>
      </c>
      <c r="K39" s="8">
        <v>-2.5</v>
      </c>
      <c r="L39" s="8">
        <v>5</v>
      </c>
      <c r="M39" s="5">
        <v>1.2724</v>
      </c>
      <c r="N39" s="5">
        <v>1.2648999999999999</v>
      </c>
      <c r="O39" s="5">
        <v>7</v>
      </c>
      <c r="P39" s="8">
        <v>1.17</v>
      </c>
      <c r="Q39" s="8">
        <v>-3.75</v>
      </c>
      <c r="R39" s="5">
        <v>1</v>
      </c>
      <c r="S39" s="5" t="s">
        <v>68</v>
      </c>
      <c r="T39" s="8">
        <v>-2.5</v>
      </c>
      <c r="U39" s="5">
        <v>3</v>
      </c>
      <c r="V39" s="5" t="s">
        <v>56</v>
      </c>
      <c r="W39" s="5" t="s">
        <v>164</v>
      </c>
      <c r="X39" s="5">
        <v>1</v>
      </c>
      <c r="Y39" s="5" t="s">
        <v>49</v>
      </c>
      <c r="Z39" s="5" t="s">
        <v>165</v>
      </c>
      <c r="AA39" s="6">
        <v>45454</v>
      </c>
      <c r="AB39" s="5" t="s">
        <v>52</v>
      </c>
      <c r="AC39" s="5" t="s">
        <v>52</v>
      </c>
      <c r="AD39" s="8" t="s">
        <v>46</v>
      </c>
      <c r="AE39" s="8" t="s">
        <v>46</v>
      </c>
      <c r="AF39" s="8" t="s">
        <v>46</v>
      </c>
      <c r="AG39" s="5">
        <v>0</v>
      </c>
      <c r="AH39" s="8">
        <v>0</v>
      </c>
      <c r="AI39" s="8">
        <v>0</v>
      </c>
      <c r="AJ39" s="8">
        <v>0</v>
      </c>
      <c r="AK39" s="10" t="s">
        <v>46</v>
      </c>
      <c r="AL39" s="5"/>
      <c r="AM39" s="5">
        <v>38</v>
      </c>
      <c r="AN39" s="6">
        <v>45453</v>
      </c>
      <c r="AO39" s="5" t="s">
        <v>53</v>
      </c>
      <c r="AP39" s="5" t="s">
        <v>45</v>
      </c>
      <c r="AQ39" s="5" t="s">
        <v>46</v>
      </c>
      <c r="AR39" s="5" t="s">
        <v>47</v>
      </c>
      <c r="AS39" s="7">
        <v>0.39583333333333331</v>
      </c>
      <c r="AT39" s="7">
        <v>0.5</v>
      </c>
      <c r="AU39" s="5">
        <v>1.2699</v>
      </c>
      <c r="AV39" s="5">
        <v>1.2724</v>
      </c>
      <c r="AW39" s="5">
        <v>1.2719199999999999</v>
      </c>
      <c r="AX39" s="5">
        <v>1.2648999999999999</v>
      </c>
      <c r="AY39" s="5" t="s">
        <v>166</v>
      </c>
      <c r="AZ39" s="8">
        <v>-2.02</v>
      </c>
      <c r="BA39" s="5">
        <v>7</v>
      </c>
      <c r="BB39" s="8">
        <v>1.17</v>
      </c>
      <c r="BC39" s="8">
        <v>-3.75</v>
      </c>
      <c r="BD39" s="5">
        <v>1</v>
      </c>
      <c r="BE39" s="5" t="s">
        <v>68</v>
      </c>
      <c r="BF39" s="8">
        <v>-2.02</v>
      </c>
      <c r="BG39" s="6">
        <v>45454</v>
      </c>
      <c r="BH39" s="5" t="s">
        <v>52</v>
      </c>
      <c r="BI39" s="5" t="s">
        <v>52</v>
      </c>
      <c r="BJ39" s="8" t="s">
        <v>46</v>
      </c>
      <c r="BK39" s="8" t="s">
        <v>46</v>
      </c>
      <c r="BL39" s="8" t="s">
        <v>46</v>
      </c>
      <c r="BM39" s="8">
        <v>0</v>
      </c>
      <c r="BN39" s="8">
        <v>0</v>
      </c>
      <c r="BO39" s="8">
        <v>0</v>
      </c>
      <c r="BP39" s="10" t="s">
        <v>46</v>
      </c>
    </row>
    <row r="40" spans="1:68" ht="14.5" customHeight="1" x14ac:dyDescent="0.35">
      <c r="A40" s="5">
        <v>39</v>
      </c>
      <c r="B40" s="6">
        <v>45450</v>
      </c>
      <c r="C40" s="5" t="s">
        <v>44</v>
      </c>
      <c r="D40" s="5" t="s">
        <v>45</v>
      </c>
      <c r="E40" s="5" t="s">
        <v>46</v>
      </c>
      <c r="F40" s="5" t="s">
        <v>67</v>
      </c>
      <c r="G40" s="7">
        <v>0.52083333333333337</v>
      </c>
      <c r="H40" s="7">
        <v>0.52083333333333337</v>
      </c>
      <c r="I40" s="5">
        <v>1.2812000000000001</v>
      </c>
      <c r="J40" s="5">
        <v>1.2786999999999999</v>
      </c>
      <c r="K40" s="8">
        <v>-2.5</v>
      </c>
      <c r="L40" s="8">
        <v>5</v>
      </c>
      <c r="M40" s="5">
        <v>1.2786999999999999</v>
      </c>
      <c r="N40" s="5">
        <v>1.2862</v>
      </c>
      <c r="O40" s="5">
        <v>1</v>
      </c>
      <c r="P40" s="8">
        <v>0.47</v>
      </c>
      <c r="Q40" s="8">
        <v>-9.68</v>
      </c>
      <c r="R40" s="5">
        <v>0</v>
      </c>
      <c r="S40" s="5" t="s">
        <v>68</v>
      </c>
      <c r="T40" s="8">
        <v>-2.5</v>
      </c>
      <c r="U40" s="5">
        <v>3</v>
      </c>
      <c r="V40" s="5" t="s">
        <v>49</v>
      </c>
      <c r="W40" s="5" t="s">
        <v>167</v>
      </c>
      <c r="X40" s="5">
        <v>1</v>
      </c>
      <c r="Y40" s="5" t="s">
        <v>49</v>
      </c>
      <c r="Z40" s="5" t="s">
        <v>165</v>
      </c>
      <c r="AA40" s="6">
        <v>45453</v>
      </c>
      <c r="AB40" s="5" t="s">
        <v>52</v>
      </c>
      <c r="AC40" s="5" t="s">
        <v>52</v>
      </c>
      <c r="AD40" s="8" t="s">
        <v>46</v>
      </c>
      <c r="AE40" s="8" t="s">
        <v>46</v>
      </c>
      <c r="AF40" s="8" t="s">
        <v>46</v>
      </c>
      <c r="AG40" s="5">
        <v>0</v>
      </c>
      <c r="AH40" s="8">
        <v>0</v>
      </c>
      <c r="AI40" s="8">
        <v>0</v>
      </c>
      <c r="AJ40" s="8">
        <v>0</v>
      </c>
      <c r="AK40" s="10" t="s">
        <v>46</v>
      </c>
      <c r="AL40" s="5"/>
      <c r="AM40" s="5">
        <v>39</v>
      </c>
      <c r="AN40" s="6">
        <v>45450</v>
      </c>
      <c r="AO40" s="5" t="s">
        <v>53</v>
      </c>
      <c r="AP40" s="5" t="s">
        <v>45</v>
      </c>
      <c r="AQ40" s="5" t="s">
        <v>46</v>
      </c>
      <c r="AR40" s="5" t="s">
        <v>67</v>
      </c>
      <c r="AS40" s="7">
        <v>0.52083333333333337</v>
      </c>
      <c r="AT40" s="7">
        <v>0.52083333333333337</v>
      </c>
      <c r="AU40" s="5">
        <v>1.2812000000000001</v>
      </c>
      <c r="AV40" s="5">
        <v>1.2791999999999999</v>
      </c>
      <c r="AW40" s="5">
        <v>1.2791999999999999</v>
      </c>
      <c r="AX40" s="5">
        <v>1.2862</v>
      </c>
      <c r="AY40" s="5" t="s">
        <v>168</v>
      </c>
      <c r="AZ40" s="8">
        <v>-2</v>
      </c>
      <c r="BA40" s="5">
        <v>1</v>
      </c>
      <c r="BB40" s="8">
        <v>0.47</v>
      </c>
      <c r="BC40" s="8">
        <v>-9.68</v>
      </c>
      <c r="BD40" s="5">
        <v>0</v>
      </c>
      <c r="BE40" s="5" t="s">
        <v>68</v>
      </c>
      <c r="BF40" s="8">
        <v>-2</v>
      </c>
      <c r="BG40" s="6">
        <v>45453</v>
      </c>
      <c r="BH40" s="5" t="s">
        <v>52</v>
      </c>
      <c r="BI40" s="5" t="s">
        <v>52</v>
      </c>
      <c r="BJ40" s="8" t="s">
        <v>46</v>
      </c>
      <c r="BK40" s="8" t="s">
        <v>46</v>
      </c>
      <c r="BL40" s="8" t="s">
        <v>46</v>
      </c>
      <c r="BM40" s="8">
        <v>0</v>
      </c>
      <c r="BN40" s="8">
        <v>0</v>
      </c>
      <c r="BO40" s="8">
        <v>0</v>
      </c>
      <c r="BP40" s="10" t="s">
        <v>46</v>
      </c>
    </row>
    <row r="41" spans="1:68" ht="14.5" customHeight="1" x14ac:dyDescent="0.35">
      <c r="A41" s="5">
        <v>40</v>
      </c>
      <c r="B41" s="6">
        <v>45442</v>
      </c>
      <c r="C41" s="5" t="s">
        <v>44</v>
      </c>
      <c r="D41" s="5" t="s">
        <v>45</v>
      </c>
      <c r="E41" s="5" t="s">
        <v>46</v>
      </c>
      <c r="F41" s="5" t="s">
        <v>47</v>
      </c>
      <c r="G41" s="7">
        <v>0.22916666666666666</v>
      </c>
      <c r="H41" s="7">
        <v>0.35416666666666669</v>
      </c>
      <c r="I41" s="5">
        <v>1.2685</v>
      </c>
      <c r="J41" s="5">
        <v>1.2709999999999999</v>
      </c>
      <c r="K41" s="8">
        <v>-2.5</v>
      </c>
      <c r="L41" s="8">
        <v>5</v>
      </c>
      <c r="M41" s="5">
        <v>1.2709999999999999</v>
      </c>
      <c r="N41" s="5">
        <v>1.2635000000000001</v>
      </c>
      <c r="O41" s="5">
        <v>7</v>
      </c>
      <c r="P41" s="8">
        <v>0.46</v>
      </c>
      <c r="Q41" s="8">
        <v>-6.16</v>
      </c>
      <c r="R41" s="5">
        <v>3</v>
      </c>
      <c r="S41" s="5" t="s">
        <v>68</v>
      </c>
      <c r="T41" s="8">
        <v>-2.5</v>
      </c>
      <c r="U41" s="5">
        <v>3</v>
      </c>
      <c r="V41" s="5" t="s">
        <v>49</v>
      </c>
      <c r="W41" s="5" t="s">
        <v>169</v>
      </c>
      <c r="X41" s="5">
        <v>3</v>
      </c>
      <c r="Y41" s="5" t="s">
        <v>49</v>
      </c>
      <c r="Z41" s="5" t="s">
        <v>170</v>
      </c>
      <c r="AA41" s="6">
        <v>45443</v>
      </c>
      <c r="AB41" s="5" t="s">
        <v>52</v>
      </c>
      <c r="AC41" s="5" t="s">
        <v>52</v>
      </c>
      <c r="AD41" s="8" t="s">
        <v>46</v>
      </c>
      <c r="AE41" s="8" t="s">
        <v>46</v>
      </c>
      <c r="AF41" s="8" t="s">
        <v>46</v>
      </c>
      <c r="AG41" s="5">
        <v>0</v>
      </c>
      <c r="AH41" s="8">
        <v>0</v>
      </c>
      <c r="AI41" s="8">
        <v>0</v>
      </c>
      <c r="AJ41" s="8">
        <v>0</v>
      </c>
      <c r="AK41" s="10" t="s">
        <v>46</v>
      </c>
      <c r="AL41" s="5"/>
      <c r="AM41" s="5">
        <v>40</v>
      </c>
      <c r="AN41" s="6">
        <v>45442</v>
      </c>
      <c r="AO41" s="5" t="s">
        <v>53</v>
      </c>
      <c r="AP41" s="5" t="s">
        <v>45</v>
      </c>
      <c r="AQ41" s="5" t="s">
        <v>46</v>
      </c>
      <c r="AR41" s="5" t="s">
        <v>47</v>
      </c>
      <c r="AS41" s="7">
        <v>0.22916666666666666</v>
      </c>
      <c r="AT41" s="7">
        <v>0.3125</v>
      </c>
      <c r="AU41" s="5">
        <v>1.2685</v>
      </c>
      <c r="AV41" s="5">
        <v>1.2705299999999999</v>
      </c>
      <c r="AW41" s="5">
        <v>1.2705299999999999</v>
      </c>
      <c r="AX41" s="5">
        <v>1.2635000000000001</v>
      </c>
      <c r="AY41" s="5" t="s">
        <v>171</v>
      </c>
      <c r="AZ41" s="8">
        <v>-2.0299999999999998</v>
      </c>
      <c r="BA41" s="5">
        <v>5</v>
      </c>
      <c r="BB41" s="8">
        <v>0.46</v>
      </c>
      <c r="BC41" s="8">
        <v>-6.16</v>
      </c>
      <c r="BD41" s="5">
        <v>3</v>
      </c>
      <c r="BE41" s="5" t="s">
        <v>68</v>
      </c>
      <c r="BF41" s="8">
        <v>-2.0299999999999998</v>
      </c>
      <c r="BG41" s="6">
        <v>45443</v>
      </c>
      <c r="BH41" s="5" t="s">
        <v>52</v>
      </c>
      <c r="BI41" s="5" t="s">
        <v>52</v>
      </c>
      <c r="BJ41" s="8" t="s">
        <v>46</v>
      </c>
      <c r="BK41" s="8" t="s">
        <v>46</v>
      </c>
      <c r="BL41" s="8" t="s">
        <v>46</v>
      </c>
      <c r="BM41" s="8">
        <v>0</v>
      </c>
      <c r="BN41" s="8">
        <v>0</v>
      </c>
      <c r="BO41" s="8">
        <v>0</v>
      </c>
      <c r="BP41" s="10" t="s">
        <v>46</v>
      </c>
    </row>
    <row r="42" spans="1:68" ht="14.5" customHeight="1" x14ac:dyDescent="0.35">
      <c r="A42" s="5">
        <v>41</v>
      </c>
      <c r="B42" s="6">
        <v>45439</v>
      </c>
      <c r="C42" s="5" t="s">
        <v>44</v>
      </c>
      <c r="D42" s="5" t="s">
        <v>45</v>
      </c>
      <c r="E42" s="5" t="s">
        <v>46</v>
      </c>
      <c r="F42" s="5" t="s">
        <v>67</v>
      </c>
      <c r="G42" s="7">
        <v>0.39583333333333331</v>
      </c>
      <c r="H42" s="7">
        <v>0.97916666666666663</v>
      </c>
      <c r="I42" s="5">
        <v>1.2751999999999999</v>
      </c>
      <c r="J42" s="5">
        <v>1.2771399999999999</v>
      </c>
      <c r="K42" s="8">
        <v>-2.5</v>
      </c>
      <c r="L42" s="8">
        <v>5</v>
      </c>
      <c r="M42" s="5">
        <v>1.2726999999999999</v>
      </c>
      <c r="N42" s="5">
        <v>1.2802</v>
      </c>
      <c r="O42" s="5">
        <v>29</v>
      </c>
      <c r="P42" s="8">
        <v>2.5099999999999998</v>
      </c>
      <c r="Q42" s="8">
        <v>-0.92</v>
      </c>
      <c r="R42" s="5">
        <v>6</v>
      </c>
      <c r="S42" s="5" t="s">
        <v>55</v>
      </c>
      <c r="T42" s="8">
        <v>1.94</v>
      </c>
      <c r="U42" s="5">
        <v>1</v>
      </c>
      <c r="V42" s="5" t="s">
        <v>56</v>
      </c>
      <c r="W42" s="5" t="s">
        <v>172</v>
      </c>
      <c r="X42" s="5">
        <v>1</v>
      </c>
      <c r="Y42" s="5" t="s">
        <v>49</v>
      </c>
      <c r="Z42" s="5" t="s">
        <v>173</v>
      </c>
      <c r="AA42" s="6">
        <v>45440</v>
      </c>
      <c r="AB42" s="5" t="s">
        <v>45</v>
      </c>
      <c r="AC42" s="5" t="s">
        <v>45</v>
      </c>
      <c r="AD42" s="5" t="s">
        <v>52</v>
      </c>
      <c r="AE42" s="5" t="s">
        <v>52</v>
      </c>
      <c r="AF42" s="8" t="s">
        <v>46</v>
      </c>
      <c r="AG42" s="5">
        <v>0</v>
      </c>
      <c r="AH42" s="8">
        <v>4.8499999999999996</v>
      </c>
      <c r="AI42" s="8">
        <v>0</v>
      </c>
      <c r="AJ42" s="8">
        <v>0.56000000000000005</v>
      </c>
      <c r="AK42" s="10" t="s">
        <v>46</v>
      </c>
      <c r="AL42" s="5"/>
      <c r="AM42" s="5">
        <v>41</v>
      </c>
      <c r="AN42" s="6">
        <v>45439</v>
      </c>
      <c r="AO42" s="5" t="s">
        <v>53</v>
      </c>
      <c r="AP42" s="5" t="s">
        <v>45</v>
      </c>
      <c r="AQ42" s="5" t="s">
        <v>46</v>
      </c>
      <c r="AR42" s="5" t="s">
        <v>67</v>
      </c>
      <c r="AS42" s="7">
        <v>0.39583333333333331</v>
      </c>
      <c r="AT42" s="7">
        <v>0.97916666666666663</v>
      </c>
      <c r="AU42" s="5">
        <v>1.2751999999999999</v>
      </c>
      <c r="AV42" s="5">
        <v>1.2771399999999999</v>
      </c>
      <c r="AW42" s="5">
        <v>1.27302</v>
      </c>
      <c r="AX42" s="5">
        <v>1.2802</v>
      </c>
      <c r="AY42" s="5" t="s">
        <v>174</v>
      </c>
      <c r="AZ42" s="8">
        <v>-2.1800000000000002</v>
      </c>
      <c r="BA42" s="5">
        <v>29</v>
      </c>
      <c r="BB42" s="8">
        <v>2.5099999999999998</v>
      </c>
      <c r="BC42" s="8">
        <v>-0.92</v>
      </c>
      <c r="BD42" s="5">
        <v>6</v>
      </c>
      <c r="BE42" s="5" t="s">
        <v>55</v>
      </c>
      <c r="BF42" s="8">
        <v>1.94</v>
      </c>
      <c r="BG42" s="6">
        <v>45440</v>
      </c>
      <c r="BH42" s="5" t="s">
        <v>45</v>
      </c>
      <c r="BI42" s="5" t="s">
        <v>45</v>
      </c>
      <c r="BJ42" s="5" t="s">
        <v>52</v>
      </c>
      <c r="BK42" s="5" t="s">
        <v>52</v>
      </c>
      <c r="BL42" s="8" t="s">
        <v>46</v>
      </c>
      <c r="BM42" s="8">
        <v>4.8499999999999996</v>
      </c>
      <c r="BN42" s="8">
        <v>0</v>
      </c>
      <c r="BO42" s="8">
        <v>0.56000000000000005</v>
      </c>
      <c r="BP42" s="10" t="s">
        <v>46</v>
      </c>
    </row>
    <row r="43" spans="1:68" ht="14.5" customHeight="1" x14ac:dyDescent="0.35">
      <c r="A43" s="5">
        <v>42</v>
      </c>
      <c r="B43" s="6">
        <v>45427</v>
      </c>
      <c r="C43" s="5" t="s">
        <v>44</v>
      </c>
      <c r="D43" s="5" t="s">
        <v>45</v>
      </c>
      <c r="E43" s="5" t="s">
        <v>46</v>
      </c>
      <c r="F43" s="5" t="s">
        <v>67</v>
      </c>
      <c r="G43" s="7">
        <v>6.25E-2</v>
      </c>
      <c r="H43" s="7">
        <v>0.52083333333333337</v>
      </c>
      <c r="I43" s="5">
        <v>1.2641</v>
      </c>
      <c r="J43" s="5">
        <v>1.2641</v>
      </c>
      <c r="K43" s="8">
        <v>-2.5</v>
      </c>
      <c r="L43" s="8">
        <v>5</v>
      </c>
      <c r="M43" s="5">
        <v>1.2565999999999999</v>
      </c>
      <c r="N43" s="5">
        <v>1.2641</v>
      </c>
      <c r="O43" s="5">
        <v>23</v>
      </c>
      <c r="P43" s="8">
        <v>10.26</v>
      </c>
      <c r="Q43" s="8">
        <v>-0.46</v>
      </c>
      <c r="R43" s="5">
        <v>7</v>
      </c>
      <c r="S43" s="5" t="s">
        <v>48</v>
      </c>
      <c r="T43" s="8">
        <v>5</v>
      </c>
      <c r="U43" s="5">
        <v>6</v>
      </c>
      <c r="V43" s="5" t="s">
        <v>49</v>
      </c>
      <c r="W43" s="5" t="s">
        <v>175</v>
      </c>
      <c r="X43" s="5">
        <v>2</v>
      </c>
      <c r="Y43" s="5" t="s">
        <v>49</v>
      </c>
      <c r="Z43" s="5" t="s">
        <v>176</v>
      </c>
      <c r="AA43" s="6">
        <v>45428</v>
      </c>
      <c r="AB43" s="5" t="s">
        <v>52</v>
      </c>
      <c r="AC43" s="5" t="s">
        <v>45</v>
      </c>
      <c r="AD43" s="8" t="s">
        <v>46</v>
      </c>
      <c r="AE43" s="8" t="s">
        <v>46</v>
      </c>
      <c r="AF43" s="8" t="s">
        <v>46</v>
      </c>
      <c r="AG43" s="5">
        <v>0</v>
      </c>
      <c r="AH43" s="8">
        <v>0</v>
      </c>
      <c r="AI43" s="8">
        <v>0</v>
      </c>
      <c r="AJ43" s="8">
        <v>0</v>
      </c>
      <c r="AK43" s="10" t="s">
        <v>46</v>
      </c>
      <c r="AL43" s="5"/>
      <c r="AM43" s="5">
        <v>42</v>
      </c>
      <c r="AN43" s="6">
        <v>45427</v>
      </c>
      <c r="AO43" s="5" t="s">
        <v>53</v>
      </c>
      <c r="AP43" s="5" t="s">
        <v>45</v>
      </c>
      <c r="AQ43" s="5" t="s">
        <v>46</v>
      </c>
      <c r="AR43" s="5" t="s">
        <v>67</v>
      </c>
      <c r="AS43" s="7">
        <v>6.25E-2</v>
      </c>
      <c r="AT43" s="7">
        <v>0.52083333333333337</v>
      </c>
      <c r="AU43" s="5">
        <v>1.2590999999999999</v>
      </c>
      <c r="AV43" s="5">
        <v>1.2641</v>
      </c>
      <c r="AW43" s="5">
        <v>1.25667</v>
      </c>
      <c r="AX43" s="5">
        <v>1.2641</v>
      </c>
      <c r="AY43" s="5" t="s">
        <v>177</v>
      </c>
      <c r="AZ43" s="8">
        <v>-2.4300000000000002</v>
      </c>
      <c r="BA43" s="5">
        <v>23</v>
      </c>
      <c r="BB43" s="8">
        <v>10.26</v>
      </c>
      <c r="BC43" s="8">
        <v>-0.46</v>
      </c>
      <c r="BD43" s="5">
        <v>7</v>
      </c>
      <c r="BE43" s="5" t="s">
        <v>48</v>
      </c>
      <c r="BF43" s="8">
        <v>5</v>
      </c>
      <c r="BG43" s="6">
        <v>45428</v>
      </c>
      <c r="BH43" s="5" t="s">
        <v>52</v>
      </c>
      <c r="BI43" s="5" t="s">
        <v>45</v>
      </c>
      <c r="BJ43" s="8" t="s">
        <v>46</v>
      </c>
      <c r="BK43" s="8" t="s">
        <v>46</v>
      </c>
      <c r="BL43" s="8" t="s">
        <v>46</v>
      </c>
      <c r="BM43" s="8">
        <v>0</v>
      </c>
      <c r="BN43" s="8">
        <v>0</v>
      </c>
      <c r="BO43" s="8">
        <v>0</v>
      </c>
      <c r="BP43" s="10" t="s">
        <v>46</v>
      </c>
    </row>
    <row r="44" spans="1:68" ht="14.5" customHeight="1" x14ac:dyDescent="0.35">
      <c r="A44" s="5">
        <v>43</v>
      </c>
      <c r="B44" s="6">
        <v>45426</v>
      </c>
      <c r="C44" s="5" t="s">
        <v>44</v>
      </c>
      <c r="D44" s="5" t="s">
        <v>45</v>
      </c>
      <c r="E44" s="5" t="s">
        <v>46</v>
      </c>
      <c r="F44" s="5" t="s">
        <v>67</v>
      </c>
      <c r="G44" s="7">
        <v>0.54166666666666663</v>
      </c>
      <c r="H44" s="7">
        <v>0.97916666666666663</v>
      </c>
      <c r="I44" s="5">
        <v>1.2567999999999999</v>
      </c>
      <c r="J44" s="5">
        <v>1.2583800000000001</v>
      </c>
      <c r="K44" s="8">
        <v>-2.5</v>
      </c>
      <c r="L44" s="8">
        <v>5</v>
      </c>
      <c r="M44" s="5">
        <v>1.2543</v>
      </c>
      <c r="N44" s="5">
        <v>1.2618</v>
      </c>
      <c r="O44" s="5">
        <v>22</v>
      </c>
      <c r="P44" s="8">
        <v>2.42</v>
      </c>
      <c r="Q44" s="8">
        <v>-0.15</v>
      </c>
      <c r="R44" s="5">
        <v>2</v>
      </c>
      <c r="S44" s="5" t="s">
        <v>55</v>
      </c>
      <c r="T44" s="8">
        <v>1.58</v>
      </c>
      <c r="U44" s="5">
        <v>2</v>
      </c>
      <c r="V44" s="5" t="s">
        <v>49</v>
      </c>
      <c r="W44" s="5" t="s">
        <v>178</v>
      </c>
      <c r="X44" s="5">
        <v>6</v>
      </c>
      <c r="Y44" s="5" t="s">
        <v>49</v>
      </c>
      <c r="Z44" s="5" t="s">
        <v>175</v>
      </c>
      <c r="AA44" s="6">
        <v>45427</v>
      </c>
      <c r="AB44" s="5" t="s">
        <v>45</v>
      </c>
      <c r="AC44" s="5" t="s">
        <v>45</v>
      </c>
      <c r="AD44" s="5" t="s">
        <v>52</v>
      </c>
      <c r="AE44" s="5" t="s">
        <v>45</v>
      </c>
      <c r="AF44" s="8" t="s">
        <v>46</v>
      </c>
      <c r="AG44" s="5">
        <v>0</v>
      </c>
      <c r="AH44" s="8">
        <v>11.52</v>
      </c>
      <c r="AI44" s="8">
        <v>0</v>
      </c>
      <c r="AJ44" s="8">
        <v>5</v>
      </c>
      <c r="AK44" s="10" t="s">
        <v>46</v>
      </c>
      <c r="AL44" s="5"/>
      <c r="AM44" s="5">
        <v>43</v>
      </c>
      <c r="AN44" s="6">
        <v>45426</v>
      </c>
      <c r="AO44" s="5" t="s">
        <v>53</v>
      </c>
      <c r="AP44" s="5" t="s">
        <v>45</v>
      </c>
      <c r="AQ44" s="5" t="s">
        <v>46</v>
      </c>
      <c r="AR44" s="5" t="s">
        <v>67</v>
      </c>
      <c r="AS44" s="7">
        <v>0.54166666666666663</v>
      </c>
      <c r="AT44" s="7">
        <v>0.97916666666666663</v>
      </c>
      <c r="AU44" s="5">
        <v>1.2567999999999999</v>
      </c>
      <c r="AV44" s="5">
        <v>1.2583800000000001</v>
      </c>
      <c r="AW44" s="5">
        <v>1.2543500000000001</v>
      </c>
      <c r="AX44" s="5">
        <v>1.2618</v>
      </c>
      <c r="AY44" s="5" t="s">
        <v>179</v>
      </c>
      <c r="AZ44" s="8">
        <v>-2.4500000000000002</v>
      </c>
      <c r="BA44" s="5">
        <v>22</v>
      </c>
      <c r="BB44" s="8">
        <v>2.42</v>
      </c>
      <c r="BC44" s="8">
        <v>-0.15</v>
      </c>
      <c r="BD44" s="5">
        <v>2</v>
      </c>
      <c r="BE44" s="5" t="s">
        <v>55</v>
      </c>
      <c r="BF44" s="8">
        <v>1.58</v>
      </c>
      <c r="BG44" s="6">
        <v>45427</v>
      </c>
      <c r="BH44" s="5" t="s">
        <v>45</v>
      </c>
      <c r="BI44" s="5" t="s">
        <v>45</v>
      </c>
      <c r="BJ44" s="5" t="s">
        <v>52</v>
      </c>
      <c r="BK44" s="5" t="s">
        <v>45</v>
      </c>
      <c r="BL44" s="8" t="s">
        <v>46</v>
      </c>
      <c r="BM44" s="8">
        <v>11.52</v>
      </c>
      <c r="BN44" s="8">
        <v>0</v>
      </c>
      <c r="BO44" s="8">
        <v>5</v>
      </c>
      <c r="BP44" s="10" t="s">
        <v>46</v>
      </c>
    </row>
    <row r="45" spans="1:68" ht="14.5" customHeight="1" x14ac:dyDescent="0.35">
      <c r="A45" s="5">
        <v>44</v>
      </c>
      <c r="B45" s="6">
        <v>45421</v>
      </c>
      <c r="C45" s="5" t="s">
        <v>44</v>
      </c>
      <c r="D45" s="5" t="s">
        <v>45</v>
      </c>
      <c r="E45" s="5" t="s">
        <v>46</v>
      </c>
      <c r="F45" s="5" t="s">
        <v>47</v>
      </c>
      <c r="G45" s="7">
        <v>0.3125</v>
      </c>
      <c r="H45" s="7">
        <v>0.52083333333333337</v>
      </c>
      <c r="I45" s="5">
        <v>1.2472000000000001</v>
      </c>
      <c r="J45" s="5">
        <v>1.2497</v>
      </c>
      <c r="K45" s="8">
        <v>-2.5</v>
      </c>
      <c r="L45" s="8">
        <v>5</v>
      </c>
      <c r="M45" s="5">
        <v>1.2497</v>
      </c>
      <c r="N45" s="5">
        <v>1.2422</v>
      </c>
      <c r="O45" s="5">
        <v>11</v>
      </c>
      <c r="P45" s="8">
        <v>3.02</v>
      </c>
      <c r="Q45" s="8">
        <v>-5.65</v>
      </c>
      <c r="R45" s="5">
        <v>6</v>
      </c>
      <c r="S45" s="5" t="s">
        <v>68</v>
      </c>
      <c r="T45" s="8">
        <v>-2.5</v>
      </c>
      <c r="U45" s="5">
        <v>3</v>
      </c>
      <c r="V45" s="5" t="s">
        <v>49</v>
      </c>
      <c r="W45" s="5" t="s">
        <v>180</v>
      </c>
      <c r="X45" s="5">
        <v>3</v>
      </c>
      <c r="Y45" s="5" t="s">
        <v>49</v>
      </c>
      <c r="Z45" s="5" t="s">
        <v>181</v>
      </c>
      <c r="AA45" s="6">
        <v>45422</v>
      </c>
      <c r="AB45" s="5" t="s">
        <v>52</v>
      </c>
      <c r="AC45" s="5" t="s">
        <v>52</v>
      </c>
      <c r="AD45" s="8" t="s">
        <v>46</v>
      </c>
      <c r="AE45" s="8" t="s">
        <v>46</v>
      </c>
      <c r="AF45" s="8" t="s">
        <v>46</v>
      </c>
      <c r="AG45" s="5">
        <v>0</v>
      </c>
      <c r="AH45" s="8">
        <v>0</v>
      </c>
      <c r="AI45" s="8">
        <v>0</v>
      </c>
      <c r="AJ45" s="8">
        <v>0</v>
      </c>
      <c r="AK45" s="10" t="s">
        <v>46</v>
      </c>
      <c r="AL45" s="5"/>
      <c r="AM45" s="5">
        <v>44</v>
      </c>
      <c r="AN45" s="6">
        <v>45421</v>
      </c>
      <c r="AO45" s="5" t="s">
        <v>53</v>
      </c>
      <c r="AP45" s="5" t="s">
        <v>45</v>
      </c>
      <c r="AQ45" s="5" t="s">
        <v>46</v>
      </c>
      <c r="AR45" s="5" t="s">
        <v>47</v>
      </c>
      <c r="AS45" s="7">
        <v>0.3125</v>
      </c>
      <c r="AT45" s="7">
        <v>0.52083333333333337</v>
      </c>
      <c r="AU45" s="5">
        <v>1.2472000000000001</v>
      </c>
      <c r="AV45" s="5">
        <v>1.24973</v>
      </c>
      <c r="AW45" s="5">
        <v>1.24973</v>
      </c>
      <c r="AX45" s="5">
        <v>1.2422</v>
      </c>
      <c r="AY45" s="5" t="s">
        <v>182</v>
      </c>
      <c r="AZ45" s="8">
        <v>-2.5299999999999998</v>
      </c>
      <c r="BA45" s="5">
        <v>11</v>
      </c>
      <c r="BB45" s="8">
        <v>3.02</v>
      </c>
      <c r="BC45" s="8">
        <v>-5.65</v>
      </c>
      <c r="BD45" s="5">
        <v>6</v>
      </c>
      <c r="BE45" s="5" t="s">
        <v>68</v>
      </c>
      <c r="BF45" s="8">
        <v>-2.5299999999999998</v>
      </c>
      <c r="BG45" s="6">
        <v>45422</v>
      </c>
      <c r="BH45" s="5" t="s">
        <v>52</v>
      </c>
      <c r="BI45" s="5" t="s">
        <v>52</v>
      </c>
      <c r="BJ45" s="8" t="s">
        <v>46</v>
      </c>
      <c r="BK45" s="8" t="s">
        <v>46</v>
      </c>
      <c r="BL45" s="8" t="s">
        <v>46</v>
      </c>
      <c r="BM45" s="8">
        <v>0</v>
      </c>
      <c r="BN45" s="8">
        <v>0</v>
      </c>
      <c r="BO45" s="8">
        <v>0</v>
      </c>
      <c r="BP45" s="10" t="s">
        <v>46</v>
      </c>
    </row>
    <row r="46" spans="1:68" ht="14.5" customHeight="1" x14ac:dyDescent="0.35">
      <c r="A46" s="5">
        <v>45</v>
      </c>
      <c r="B46" s="6">
        <v>45420</v>
      </c>
      <c r="C46" s="5" t="s">
        <v>44</v>
      </c>
      <c r="D46" s="5" t="s">
        <v>45</v>
      </c>
      <c r="E46" s="5" t="s">
        <v>46</v>
      </c>
      <c r="F46" s="5" t="s">
        <v>47</v>
      </c>
      <c r="G46" s="7">
        <v>0.33333333333333331</v>
      </c>
      <c r="H46" s="7">
        <v>0.41666666666666669</v>
      </c>
      <c r="I46" s="5">
        <v>1.2470000000000001</v>
      </c>
      <c r="J46" s="5">
        <v>1.2495000000000001</v>
      </c>
      <c r="K46" s="8">
        <v>-2.5</v>
      </c>
      <c r="L46" s="8">
        <v>5</v>
      </c>
      <c r="M46" s="5">
        <v>1.2495000000000001</v>
      </c>
      <c r="N46" s="5">
        <v>1.242</v>
      </c>
      <c r="O46" s="5">
        <v>5</v>
      </c>
      <c r="P46" s="8">
        <v>0.28999999999999998</v>
      </c>
      <c r="Q46" s="8">
        <v>-3.44</v>
      </c>
      <c r="R46" s="5">
        <v>0</v>
      </c>
      <c r="S46" s="5" t="s">
        <v>68</v>
      </c>
      <c r="T46" s="8">
        <v>-2.5</v>
      </c>
      <c r="U46" s="5">
        <v>2</v>
      </c>
      <c r="V46" s="5" t="s">
        <v>49</v>
      </c>
      <c r="W46" s="5" t="s">
        <v>137</v>
      </c>
      <c r="X46" s="5">
        <v>3</v>
      </c>
      <c r="Y46" s="5" t="s">
        <v>49</v>
      </c>
      <c r="Z46" s="5" t="s">
        <v>180</v>
      </c>
      <c r="AA46" s="6">
        <v>45421</v>
      </c>
      <c r="AB46" s="5" t="s">
        <v>52</v>
      </c>
      <c r="AC46" s="5" t="s">
        <v>52</v>
      </c>
      <c r="AD46" s="8" t="s">
        <v>46</v>
      </c>
      <c r="AE46" s="8" t="s">
        <v>46</v>
      </c>
      <c r="AF46" s="8" t="s">
        <v>46</v>
      </c>
      <c r="AG46" s="5">
        <v>6</v>
      </c>
      <c r="AH46" s="8">
        <v>0</v>
      </c>
      <c r="AI46" s="8">
        <v>0</v>
      </c>
      <c r="AJ46" s="8">
        <v>0</v>
      </c>
      <c r="AK46" s="10" t="s">
        <v>46</v>
      </c>
      <c r="AL46" s="5"/>
      <c r="AM46" s="5">
        <v>45</v>
      </c>
      <c r="AN46" s="6">
        <v>45420</v>
      </c>
      <c r="AO46" s="5" t="s">
        <v>53</v>
      </c>
      <c r="AP46" s="5" t="s">
        <v>45</v>
      </c>
      <c r="AQ46" s="5" t="s">
        <v>46</v>
      </c>
      <c r="AR46" s="5" t="s">
        <v>47</v>
      </c>
      <c r="AS46" s="7">
        <v>0.33333333333333331</v>
      </c>
      <c r="AT46" s="7">
        <v>0.41666666666666669</v>
      </c>
      <c r="AU46" s="5">
        <v>1.2470000000000001</v>
      </c>
      <c r="AV46" s="5">
        <v>1.2496</v>
      </c>
      <c r="AW46" s="5">
        <v>1.2496</v>
      </c>
      <c r="AX46" s="5">
        <v>1.242</v>
      </c>
      <c r="AY46" s="5" t="s">
        <v>183</v>
      </c>
      <c r="AZ46" s="8">
        <v>-2.6</v>
      </c>
      <c r="BA46" s="5">
        <v>5</v>
      </c>
      <c r="BB46" s="8">
        <v>0.28999999999999998</v>
      </c>
      <c r="BC46" s="8">
        <v>-3.44</v>
      </c>
      <c r="BD46" s="5">
        <v>0</v>
      </c>
      <c r="BE46" s="5" t="s">
        <v>68</v>
      </c>
      <c r="BF46" s="8">
        <v>-2.6</v>
      </c>
      <c r="BG46" s="6">
        <v>45419</v>
      </c>
      <c r="BH46" s="5" t="s">
        <v>52</v>
      </c>
      <c r="BI46" s="5" t="s">
        <v>52</v>
      </c>
      <c r="BJ46" s="8" t="s">
        <v>46</v>
      </c>
      <c r="BK46" s="8" t="s">
        <v>46</v>
      </c>
      <c r="BL46" s="8" t="s">
        <v>46</v>
      </c>
      <c r="BM46" s="8">
        <v>0</v>
      </c>
      <c r="BN46" s="8">
        <v>0</v>
      </c>
      <c r="BO46" s="8">
        <v>0</v>
      </c>
      <c r="BP46" s="10" t="s">
        <v>46</v>
      </c>
    </row>
    <row r="47" spans="1:68" ht="14.5" customHeight="1" x14ac:dyDescent="0.35">
      <c r="A47" s="5">
        <v>46</v>
      </c>
      <c r="B47" s="6">
        <v>45415</v>
      </c>
      <c r="C47" s="5" t="s">
        <v>44</v>
      </c>
      <c r="D47" s="5" t="s">
        <v>45</v>
      </c>
      <c r="E47" s="5" t="s">
        <v>46</v>
      </c>
      <c r="F47" s="5" t="s">
        <v>67</v>
      </c>
      <c r="G47" s="7">
        <v>0.52083333333333337</v>
      </c>
      <c r="H47" s="7">
        <v>0.52083333333333337</v>
      </c>
      <c r="I47" s="5">
        <v>1.2567999999999999</v>
      </c>
      <c r="J47" s="5">
        <v>1.2618</v>
      </c>
      <c r="K47" s="8">
        <v>-2.5</v>
      </c>
      <c r="L47" s="8">
        <v>5</v>
      </c>
      <c r="M47" s="5">
        <v>1.2543</v>
      </c>
      <c r="N47" s="5">
        <v>1.2618</v>
      </c>
      <c r="O47" s="5">
        <v>1</v>
      </c>
      <c r="P47" s="8">
        <v>6.24</v>
      </c>
      <c r="Q47" s="8">
        <v>0</v>
      </c>
      <c r="R47" s="5">
        <v>2</v>
      </c>
      <c r="S47" s="5" t="s">
        <v>48</v>
      </c>
      <c r="T47" s="8">
        <v>5</v>
      </c>
      <c r="U47" s="5">
        <v>5</v>
      </c>
      <c r="V47" s="5" t="s">
        <v>49</v>
      </c>
      <c r="W47" s="5" t="s">
        <v>184</v>
      </c>
      <c r="X47" s="5">
        <v>2</v>
      </c>
      <c r="Y47" s="5" t="s">
        <v>56</v>
      </c>
      <c r="Z47" s="5" t="s">
        <v>185</v>
      </c>
      <c r="AA47" s="6">
        <v>45418</v>
      </c>
      <c r="AB47" s="5" t="s">
        <v>52</v>
      </c>
      <c r="AC47" s="5" t="s">
        <v>52</v>
      </c>
      <c r="AD47" s="8" t="s">
        <v>46</v>
      </c>
      <c r="AE47" s="8" t="s">
        <v>46</v>
      </c>
      <c r="AF47" s="8" t="s">
        <v>46</v>
      </c>
      <c r="AG47" s="5">
        <v>10</v>
      </c>
      <c r="AH47" s="8">
        <v>0</v>
      </c>
      <c r="AI47" s="8">
        <v>0</v>
      </c>
      <c r="AJ47" s="8">
        <v>0</v>
      </c>
      <c r="AK47" s="10" t="s">
        <v>46</v>
      </c>
      <c r="AL47" s="5"/>
      <c r="AM47" s="5">
        <v>46</v>
      </c>
      <c r="AN47" s="6">
        <v>45415</v>
      </c>
      <c r="AO47" s="5" t="s">
        <v>53</v>
      </c>
      <c r="AP47" s="5" t="s">
        <v>45</v>
      </c>
      <c r="AQ47" s="5" t="s">
        <v>46</v>
      </c>
      <c r="AR47" s="5" t="s">
        <v>67</v>
      </c>
      <c r="AS47" s="7">
        <v>0.52083333333333337</v>
      </c>
      <c r="AT47" s="7">
        <v>0.52083333333333337</v>
      </c>
      <c r="AU47" s="5">
        <v>1.2567999999999999</v>
      </c>
      <c r="AV47" s="5">
        <v>1.2618</v>
      </c>
      <c r="AW47" s="5">
        <v>1.2542199999999999</v>
      </c>
      <c r="AX47" s="5">
        <v>1.2618</v>
      </c>
      <c r="AY47" s="5" t="s">
        <v>186</v>
      </c>
      <c r="AZ47" s="8">
        <v>-2.58</v>
      </c>
      <c r="BA47" s="5">
        <v>1</v>
      </c>
      <c r="BB47" s="8">
        <v>6.24</v>
      </c>
      <c r="BC47" s="8">
        <v>0</v>
      </c>
      <c r="BD47" s="5">
        <v>2</v>
      </c>
      <c r="BE47" s="5" t="s">
        <v>48</v>
      </c>
      <c r="BF47" s="8">
        <v>5</v>
      </c>
      <c r="BG47" s="6">
        <v>45418</v>
      </c>
      <c r="BH47" s="5" t="s">
        <v>52</v>
      </c>
      <c r="BI47" s="5" t="s">
        <v>52</v>
      </c>
      <c r="BJ47" s="8" t="s">
        <v>46</v>
      </c>
      <c r="BK47" s="8" t="s">
        <v>46</v>
      </c>
      <c r="BL47" s="8" t="s">
        <v>46</v>
      </c>
      <c r="BM47" s="8">
        <v>0</v>
      </c>
      <c r="BN47" s="8">
        <v>0</v>
      </c>
      <c r="BO47" s="8">
        <v>0</v>
      </c>
      <c r="BP47" s="10" t="s">
        <v>46</v>
      </c>
    </row>
    <row r="48" spans="1:68" ht="14.5" customHeight="1" x14ac:dyDescent="0.35">
      <c r="A48" s="5">
        <v>47</v>
      </c>
      <c r="B48" s="6">
        <v>45408</v>
      </c>
      <c r="C48" s="5" t="s">
        <v>44</v>
      </c>
      <c r="D48" s="5" t="s">
        <v>45</v>
      </c>
      <c r="E48" s="5" t="s">
        <v>46</v>
      </c>
      <c r="F48" s="5" t="s">
        <v>67</v>
      </c>
      <c r="G48" s="7">
        <v>0.33333333333333331</v>
      </c>
      <c r="H48" s="7">
        <v>0.52083333333333337</v>
      </c>
      <c r="I48" s="5">
        <v>1.2522</v>
      </c>
      <c r="J48" s="5">
        <v>1.2497</v>
      </c>
      <c r="K48" s="8">
        <v>-2.5</v>
      </c>
      <c r="L48" s="8">
        <v>5</v>
      </c>
      <c r="M48" s="5">
        <v>1.2497</v>
      </c>
      <c r="N48" s="5">
        <v>1.2572000000000001</v>
      </c>
      <c r="O48" s="5">
        <v>10</v>
      </c>
      <c r="P48" s="8">
        <v>1.83</v>
      </c>
      <c r="Q48" s="8">
        <v>-7.32</v>
      </c>
      <c r="R48" s="5">
        <v>3</v>
      </c>
      <c r="S48" s="5" t="s">
        <v>68</v>
      </c>
      <c r="T48" s="8">
        <v>-2.5</v>
      </c>
      <c r="U48" s="5">
        <v>2</v>
      </c>
      <c r="V48" s="5" t="s">
        <v>49</v>
      </c>
      <c r="W48" s="5" t="s">
        <v>187</v>
      </c>
      <c r="X48" s="5">
        <v>2</v>
      </c>
      <c r="Y48" s="5" t="s">
        <v>49</v>
      </c>
      <c r="Z48" s="5" t="s">
        <v>188</v>
      </c>
      <c r="AA48" s="6">
        <v>45411</v>
      </c>
      <c r="AB48" s="5" t="s">
        <v>52</v>
      </c>
      <c r="AC48" s="5" t="s">
        <v>45</v>
      </c>
      <c r="AD48" s="8" t="s">
        <v>46</v>
      </c>
      <c r="AE48" s="8" t="s">
        <v>46</v>
      </c>
      <c r="AF48" s="8" t="s">
        <v>46</v>
      </c>
      <c r="AG48" s="5">
        <v>10</v>
      </c>
      <c r="AH48" s="8">
        <v>0</v>
      </c>
      <c r="AI48" s="8">
        <v>0</v>
      </c>
      <c r="AJ48" s="8">
        <v>0</v>
      </c>
      <c r="AK48" s="10" t="s">
        <v>46</v>
      </c>
      <c r="AL48" s="5"/>
      <c r="AM48" s="5">
        <v>47</v>
      </c>
      <c r="AN48" s="6">
        <v>45408</v>
      </c>
      <c r="AO48" s="5" t="s">
        <v>53</v>
      </c>
      <c r="AP48" s="5" t="s">
        <v>45</v>
      </c>
      <c r="AQ48" s="5" t="s">
        <v>46</v>
      </c>
      <c r="AR48" s="5" t="s">
        <v>67</v>
      </c>
      <c r="AS48" s="7">
        <v>0.33333333333333331</v>
      </c>
      <c r="AT48" s="7">
        <v>0.52083333333333337</v>
      </c>
      <c r="AU48" s="5">
        <v>1.2522</v>
      </c>
      <c r="AV48" s="5">
        <v>1.2498199999999999</v>
      </c>
      <c r="AW48" s="5">
        <v>1.2498199999999999</v>
      </c>
      <c r="AX48" s="5">
        <v>1.2572000000000001</v>
      </c>
      <c r="AY48" s="5" t="s">
        <v>121</v>
      </c>
      <c r="AZ48" s="8">
        <v>-2.38</v>
      </c>
      <c r="BA48" s="5">
        <v>10</v>
      </c>
      <c r="BB48" s="8">
        <v>1.83</v>
      </c>
      <c r="BC48" s="8">
        <v>-7.32</v>
      </c>
      <c r="BD48" s="5">
        <v>3</v>
      </c>
      <c r="BE48" s="5" t="s">
        <v>68</v>
      </c>
      <c r="BF48" s="8">
        <v>-2.38</v>
      </c>
      <c r="BG48" s="6">
        <v>45411</v>
      </c>
      <c r="BH48" s="5" t="s">
        <v>52</v>
      </c>
      <c r="BI48" s="5" t="s">
        <v>45</v>
      </c>
      <c r="BJ48" s="8" t="s">
        <v>46</v>
      </c>
      <c r="BK48" s="8" t="s">
        <v>46</v>
      </c>
      <c r="BL48" s="8" t="s">
        <v>46</v>
      </c>
      <c r="BM48" s="8">
        <v>0</v>
      </c>
      <c r="BN48" s="8">
        <v>0</v>
      </c>
      <c r="BO48" s="8">
        <v>0</v>
      </c>
      <c r="BP48" s="10" t="s">
        <v>46</v>
      </c>
    </row>
    <row r="49" spans="1:68" ht="14.5" customHeight="1" x14ac:dyDescent="0.35">
      <c r="A49" s="5">
        <v>48</v>
      </c>
      <c r="B49" s="6">
        <v>45407</v>
      </c>
      <c r="C49" s="5" t="s">
        <v>44</v>
      </c>
      <c r="D49" s="5" t="s">
        <v>45</v>
      </c>
      <c r="E49" s="5" t="s">
        <v>46</v>
      </c>
      <c r="F49" s="5" t="s">
        <v>67</v>
      </c>
      <c r="G49" s="7">
        <v>0.25</v>
      </c>
      <c r="H49" s="7">
        <v>0.97916666666666663</v>
      </c>
      <c r="I49" s="5">
        <v>1.2481</v>
      </c>
      <c r="J49" s="5">
        <v>1.2506600000000001</v>
      </c>
      <c r="K49" s="8">
        <v>-2.5</v>
      </c>
      <c r="L49" s="8">
        <v>5</v>
      </c>
      <c r="M49" s="5">
        <v>1.2456</v>
      </c>
      <c r="N49" s="5">
        <v>1.2531000000000001</v>
      </c>
      <c r="O49" s="5">
        <v>4</v>
      </c>
      <c r="P49" s="8">
        <v>4.54</v>
      </c>
      <c r="Q49" s="8">
        <v>-2.4700000000000002</v>
      </c>
      <c r="R49" s="5">
        <v>36</v>
      </c>
      <c r="S49" s="5" t="s">
        <v>55</v>
      </c>
      <c r="T49" s="8">
        <v>2.56</v>
      </c>
      <c r="U49" s="5">
        <v>2</v>
      </c>
      <c r="V49" s="5" t="s">
        <v>49</v>
      </c>
      <c r="W49" s="5" t="s">
        <v>189</v>
      </c>
      <c r="X49" s="5">
        <v>2</v>
      </c>
      <c r="Y49" s="5" t="s">
        <v>49</v>
      </c>
      <c r="Z49" s="5" t="s">
        <v>187</v>
      </c>
      <c r="AA49" s="6">
        <v>45408</v>
      </c>
      <c r="AB49" s="5" t="s">
        <v>45</v>
      </c>
      <c r="AC49" s="5" t="s">
        <v>45</v>
      </c>
      <c r="AD49" s="5" t="s">
        <v>52</v>
      </c>
      <c r="AE49" s="5" t="s">
        <v>45</v>
      </c>
      <c r="AF49" s="8" t="s">
        <v>46</v>
      </c>
      <c r="AG49" s="5">
        <v>0</v>
      </c>
      <c r="AH49" s="8">
        <v>5.93</v>
      </c>
      <c r="AI49" s="8">
        <v>0</v>
      </c>
      <c r="AJ49" s="8">
        <v>5</v>
      </c>
      <c r="AK49" s="10" t="s">
        <v>46</v>
      </c>
      <c r="AL49" s="5"/>
      <c r="AM49" s="5">
        <v>48</v>
      </c>
      <c r="AN49" s="6">
        <v>45407</v>
      </c>
      <c r="AO49" s="5" t="s">
        <v>53</v>
      </c>
      <c r="AP49" s="5" t="s">
        <v>45</v>
      </c>
      <c r="AQ49" s="5" t="s">
        <v>46</v>
      </c>
      <c r="AR49" s="5" t="s">
        <v>67</v>
      </c>
      <c r="AS49" s="7">
        <v>0.25</v>
      </c>
      <c r="AT49" s="7">
        <v>0.97916666666666663</v>
      </c>
      <c r="AU49" s="5">
        <v>1.2481</v>
      </c>
      <c r="AV49" s="5">
        <v>1.2457400000000001</v>
      </c>
      <c r="AW49" s="5">
        <v>1.2457400000000001</v>
      </c>
      <c r="AX49" s="5">
        <v>1.2531000000000001</v>
      </c>
      <c r="AY49" s="5" t="s">
        <v>190</v>
      </c>
      <c r="AZ49" s="8">
        <v>-2.36</v>
      </c>
      <c r="BA49" s="5">
        <v>4</v>
      </c>
      <c r="BB49" s="8">
        <v>4.54</v>
      </c>
      <c r="BC49" s="8">
        <v>-2.4700000000000002</v>
      </c>
      <c r="BD49" s="5">
        <v>36</v>
      </c>
      <c r="BE49" s="5" t="s">
        <v>68</v>
      </c>
      <c r="BF49" s="8">
        <v>-2.36</v>
      </c>
      <c r="BG49" s="6">
        <v>45408</v>
      </c>
      <c r="BH49" s="5" t="s">
        <v>52</v>
      </c>
      <c r="BI49" s="5" t="s">
        <v>45</v>
      </c>
      <c r="BJ49" s="8" t="s">
        <v>46</v>
      </c>
      <c r="BK49" s="8" t="s">
        <v>46</v>
      </c>
      <c r="BL49" s="8" t="s">
        <v>45</v>
      </c>
      <c r="BM49" s="8">
        <v>0</v>
      </c>
      <c r="BN49" s="8">
        <v>0</v>
      </c>
      <c r="BO49" s="8">
        <v>0</v>
      </c>
      <c r="BP49" s="10" t="s">
        <v>46</v>
      </c>
    </row>
    <row r="50" spans="1:68" ht="14.5" customHeight="1" x14ac:dyDescent="0.35">
      <c r="A50" s="5">
        <v>49</v>
      </c>
      <c r="B50" s="6">
        <v>45404</v>
      </c>
      <c r="C50" s="5" t="s">
        <v>44</v>
      </c>
      <c r="D50" s="5" t="s">
        <v>45</v>
      </c>
      <c r="E50" s="5" t="s">
        <v>46</v>
      </c>
      <c r="F50" s="5" t="s">
        <v>47</v>
      </c>
      <c r="G50" s="7">
        <v>0.29166666666666669</v>
      </c>
      <c r="H50" s="7">
        <v>0.45833333333333331</v>
      </c>
      <c r="I50" s="5">
        <v>1.2363999999999999</v>
      </c>
      <c r="J50" s="5">
        <v>1.2314000000000001</v>
      </c>
      <c r="K50" s="8">
        <v>-2.5</v>
      </c>
      <c r="L50" s="8">
        <v>5</v>
      </c>
      <c r="M50" s="5">
        <v>1.2388999999999999</v>
      </c>
      <c r="N50" s="5">
        <v>1.2314000000000001</v>
      </c>
      <c r="O50" s="5">
        <v>9</v>
      </c>
      <c r="P50" s="8">
        <v>6.52</v>
      </c>
      <c r="Q50" s="8">
        <v>-0.8</v>
      </c>
      <c r="R50" s="5">
        <v>4</v>
      </c>
      <c r="S50" s="5" t="s">
        <v>48</v>
      </c>
      <c r="T50" s="8">
        <v>5</v>
      </c>
      <c r="U50" s="5">
        <v>0</v>
      </c>
      <c r="V50" s="5" t="s">
        <v>46</v>
      </c>
      <c r="W50" s="12" t="s">
        <v>46</v>
      </c>
      <c r="X50" s="5">
        <v>1</v>
      </c>
      <c r="Y50" s="5" t="s">
        <v>49</v>
      </c>
      <c r="Z50" s="5" t="s">
        <v>191</v>
      </c>
      <c r="AA50" s="6">
        <v>45405</v>
      </c>
      <c r="AB50" s="5" t="s">
        <v>52</v>
      </c>
      <c r="AC50" s="5" t="s">
        <v>52</v>
      </c>
      <c r="AD50" s="8" t="s">
        <v>46</v>
      </c>
      <c r="AE50" s="8" t="s">
        <v>46</v>
      </c>
      <c r="AF50" s="8" t="s">
        <v>46</v>
      </c>
      <c r="AG50" s="5">
        <v>5</v>
      </c>
      <c r="AH50" s="8">
        <v>0</v>
      </c>
      <c r="AI50" s="8">
        <v>0</v>
      </c>
      <c r="AJ50" s="8">
        <v>0</v>
      </c>
      <c r="AK50" s="10" t="s">
        <v>46</v>
      </c>
      <c r="AL50" s="5"/>
      <c r="AM50" s="5">
        <v>49</v>
      </c>
      <c r="AN50" s="6">
        <v>45404</v>
      </c>
      <c r="AO50" s="5" t="s">
        <v>53</v>
      </c>
      <c r="AP50" s="5" t="s">
        <v>45</v>
      </c>
      <c r="AQ50" s="5" t="s">
        <v>46</v>
      </c>
      <c r="AR50" s="5" t="s">
        <v>47</v>
      </c>
      <c r="AS50" s="7">
        <v>0.29166666666666669</v>
      </c>
      <c r="AT50" s="7">
        <v>0.45833333333333331</v>
      </c>
      <c r="AU50" s="5">
        <v>1.2363999999999999</v>
      </c>
      <c r="AV50" s="5">
        <v>1.2314000000000001</v>
      </c>
      <c r="AW50" s="5">
        <v>1.23868</v>
      </c>
      <c r="AX50" s="5">
        <v>1.2314000000000001</v>
      </c>
      <c r="AY50" s="5" t="s">
        <v>192</v>
      </c>
      <c r="AZ50" s="8">
        <v>-2.2799999999999998</v>
      </c>
      <c r="BA50" s="5">
        <v>9</v>
      </c>
      <c r="BB50" s="8">
        <v>6.52</v>
      </c>
      <c r="BC50" s="8">
        <v>-0.8</v>
      </c>
      <c r="BD50" s="5">
        <v>4</v>
      </c>
      <c r="BE50" s="5" t="s">
        <v>48</v>
      </c>
      <c r="BF50" s="8">
        <v>5</v>
      </c>
      <c r="BG50" s="6">
        <v>45405</v>
      </c>
      <c r="BH50" s="5" t="s">
        <v>52</v>
      </c>
      <c r="BI50" s="5" t="s">
        <v>52</v>
      </c>
      <c r="BJ50" s="8" t="s">
        <v>46</v>
      </c>
      <c r="BK50" s="8" t="s">
        <v>46</v>
      </c>
      <c r="BL50" s="8" t="s">
        <v>46</v>
      </c>
      <c r="BM50" s="8">
        <v>0</v>
      </c>
      <c r="BN50" s="8">
        <v>0</v>
      </c>
      <c r="BO50" s="8">
        <v>0</v>
      </c>
      <c r="BP50" s="10" t="s">
        <v>46</v>
      </c>
    </row>
    <row r="51" spans="1:68" ht="14.5" customHeight="1" x14ac:dyDescent="0.35">
      <c r="A51" s="5">
        <v>50</v>
      </c>
      <c r="B51" s="6">
        <v>45394</v>
      </c>
      <c r="C51" s="5" t="s">
        <v>44</v>
      </c>
      <c r="D51" s="5" t="s">
        <v>45</v>
      </c>
      <c r="E51" s="5" t="s">
        <v>46</v>
      </c>
      <c r="F51" s="5" t="s">
        <v>47</v>
      </c>
      <c r="G51" s="7">
        <v>0.27083333333333331</v>
      </c>
      <c r="H51" s="7">
        <v>0.45833333333333331</v>
      </c>
      <c r="I51" s="5">
        <v>1.2513000000000001</v>
      </c>
      <c r="J51" s="5">
        <v>1.2463</v>
      </c>
      <c r="K51" s="8">
        <v>-2.5</v>
      </c>
      <c r="L51" s="8">
        <v>5</v>
      </c>
      <c r="M51" s="5">
        <v>1.2538</v>
      </c>
      <c r="N51" s="5">
        <v>1.2463</v>
      </c>
      <c r="O51" s="5">
        <v>10</v>
      </c>
      <c r="P51" s="8">
        <v>8.6999999999999993</v>
      </c>
      <c r="Q51" s="8">
        <v>-0.9</v>
      </c>
      <c r="R51" s="5">
        <v>3</v>
      </c>
      <c r="S51" s="5" t="s">
        <v>48</v>
      </c>
      <c r="T51" s="8">
        <v>5</v>
      </c>
      <c r="U51" s="5">
        <v>1</v>
      </c>
      <c r="V51" s="5" t="s">
        <v>49</v>
      </c>
      <c r="W51" s="5" t="s">
        <v>193</v>
      </c>
      <c r="X51" s="5">
        <v>2</v>
      </c>
      <c r="Y51" s="5" t="s">
        <v>49</v>
      </c>
      <c r="Z51" s="5" t="s">
        <v>194</v>
      </c>
      <c r="AA51" s="6">
        <v>45397</v>
      </c>
      <c r="AB51" s="5" t="s">
        <v>52</v>
      </c>
      <c r="AC51" s="5" t="s">
        <v>45</v>
      </c>
      <c r="AD51" s="8" t="s">
        <v>46</v>
      </c>
      <c r="AE51" s="8" t="s">
        <v>46</v>
      </c>
      <c r="AF51" s="8" t="s">
        <v>46</v>
      </c>
      <c r="AG51" s="5">
        <v>0</v>
      </c>
      <c r="AH51" s="8">
        <v>0</v>
      </c>
      <c r="AI51" s="8">
        <v>0</v>
      </c>
      <c r="AJ51" s="8">
        <v>0</v>
      </c>
      <c r="AK51" s="10" t="s">
        <v>46</v>
      </c>
      <c r="AL51" s="5"/>
      <c r="AM51" s="5">
        <v>50</v>
      </c>
      <c r="AN51" s="6">
        <v>45394</v>
      </c>
      <c r="AO51" s="5" t="s">
        <v>53</v>
      </c>
      <c r="AP51" s="5" t="s">
        <v>45</v>
      </c>
      <c r="AQ51" s="5" t="s">
        <v>46</v>
      </c>
      <c r="AR51" s="5" t="s">
        <v>47</v>
      </c>
      <c r="AS51" s="7">
        <v>0.27083333333333331</v>
      </c>
      <c r="AT51" s="7">
        <v>0.45833333333333331</v>
      </c>
      <c r="AU51" s="5">
        <v>1.2513000000000001</v>
      </c>
      <c r="AV51" s="5">
        <v>1.2463</v>
      </c>
      <c r="AW51" s="5">
        <v>1.2534099999999999</v>
      </c>
      <c r="AX51" s="5">
        <v>1.2463</v>
      </c>
      <c r="AY51" s="5" t="s">
        <v>195</v>
      </c>
      <c r="AZ51" s="8">
        <v>-2.11</v>
      </c>
      <c r="BA51" s="5">
        <v>10</v>
      </c>
      <c r="BB51" s="8">
        <v>8.6999999999999993</v>
      </c>
      <c r="BC51" s="8">
        <v>-0.9</v>
      </c>
      <c r="BD51" s="5">
        <v>3</v>
      </c>
      <c r="BE51" s="5" t="s">
        <v>48</v>
      </c>
      <c r="BF51" s="8">
        <v>5</v>
      </c>
      <c r="BG51" s="6">
        <v>45397</v>
      </c>
      <c r="BH51" s="5" t="s">
        <v>52</v>
      </c>
      <c r="BI51" s="5" t="s">
        <v>45</v>
      </c>
      <c r="BJ51" s="8" t="s">
        <v>46</v>
      </c>
      <c r="BK51" s="8" t="s">
        <v>46</v>
      </c>
      <c r="BL51" s="8" t="s">
        <v>46</v>
      </c>
      <c r="BM51" s="8">
        <v>0</v>
      </c>
      <c r="BN51" s="8">
        <v>0</v>
      </c>
      <c r="BO51" s="8">
        <v>0</v>
      </c>
      <c r="BP51" s="10" t="s">
        <v>46</v>
      </c>
    </row>
    <row r="52" spans="1:68" ht="14.5" customHeight="1" x14ac:dyDescent="0.35">
      <c r="A52" s="5">
        <v>51</v>
      </c>
      <c r="B52" s="6">
        <v>45392</v>
      </c>
      <c r="C52" s="5" t="s">
        <v>44</v>
      </c>
      <c r="D52" s="5" t="s">
        <v>45</v>
      </c>
      <c r="E52" s="5" t="s">
        <v>46</v>
      </c>
      <c r="F52" s="5" t="s">
        <v>67</v>
      </c>
      <c r="G52" s="7">
        <v>0.33333333333333331</v>
      </c>
      <c r="H52" s="7">
        <v>0.52083333333333337</v>
      </c>
      <c r="I52" s="5">
        <v>1.2689999999999999</v>
      </c>
      <c r="J52" s="5">
        <v>1.2665</v>
      </c>
      <c r="K52" s="8">
        <v>-2.5</v>
      </c>
      <c r="L52" s="8">
        <v>5</v>
      </c>
      <c r="M52" s="5">
        <v>1.2665</v>
      </c>
      <c r="N52" s="5">
        <v>1.274</v>
      </c>
      <c r="O52" s="5">
        <v>10</v>
      </c>
      <c r="P52" s="8">
        <v>1.68</v>
      </c>
      <c r="Q52" s="8">
        <v>-17.03</v>
      </c>
      <c r="R52" s="5">
        <v>3</v>
      </c>
      <c r="S52" s="5" t="s">
        <v>68</v>
      </c>
      <c r="T52" s="8">
        <v>-2.5</v>
      </c>
      <c r="U52" s="5">
        <v>6</v>
      </c>
      <c r="V52" s="5" t="s">
        <v>49</v>
      </c>
      <c r="W52" s="5" t="s">
        <v>196</v>
      </c>
      <c r="X52" s="5">
        <v>3</v>
      </c>
      <c r="Y52" s="5" t="s">
        <v>49</v>
      </c>
      <c r="Z52" s="5" t="s">
        <v>197</v>
      </c>
      <c r="AA52" s="6">
        <v>45393</v>
      </c>
      <c r="AB52" s="5" t="s">
        <v>52</v>
      </c>
      <c r="AC52" s="5" t="s">
        <v>52</v>
      </c>
      <c r="AD52" s="8" t="s">
        <v>46</v>
      </c>
      <c r="AE52" s="8" t="s">
        <v>46</v>
      </c>
      <c r="AF52" s="8" t="s">
        <v>46</v>
      </c>
      <c r="AG52" s="5">
        <v>0</v>
      </c>
      <c r="AH52" s="8">
        <v>0</v>
      </c>
      <c r="AI52" s="8">
        <v>0</v>
      </c>
      <c r="AJ52" s="8">
        <v>0</v>
      </c>
      <c r="AK52" s="10" t="s">
        <v>46</v>
      </c>
      <c r="AL52" s="5"/>
      <c r="AM52" s="5">
        <v>51</v>
      </c>
      <c r="AN52" s="6">
        <v>45392</v>
      </c>
      <c r="AO52" s="5" t="s">
        <v>53</v>
      </c>
      <c r="AP52" s="5" t="s">
        <v>45</v>
      </c>
      <c r="AQ52" s="5" t="s">
        <v>46</v>
      </c>
      <c r="AR52" s="5" t="s">
        <v>67</v>
      </c>
      <c r="AS52" s="7">
        <v>0.33333333333333331</v>
      </c>
      <c r="AT52" s="7">
        <v>0.52083333333333337</v>
      </c>
      <c r="AU52" s="5">
        <v>1.2689999999999999</v>
      </c>
      <c r="AV52" s="5">
        <v>1.2665</v>
      </c>
      <c r="AW52" s="5">
        <v>1.2669699999999999</v>
      </c>
      <c r="AX52" s="5">
        <v>1.274</v>
      </c>
      <c r="AY52" s="5" t="s">
        <v>198</v>
      </c>
      <c r="AZ52" s="8">
        <v>-2.0299999999999998</v>
      </c>
      <c r="BA52" s="5">
        <v>10</v>
      </c>
      <c r="BB52" s="8">
        <v>1.68</v>
      </c>
      <c r="BC52" s="8">
        <v>-17.03</v>
      </c>
      <c r="BD52" s="5">
        <v>3</v>
      </c>
      <c r="BE52" s="5" t="s">
        <v>68</v>
      </c>
      <c r="BF52" s="8">
        <v>-2.0299999999999998</v>
      </c>
      <c r="BG52" s="6">
        <v>45393</v>
      </c>
      <c r="BH52" s="5" t="s">
        <v>52</v>
      </c>
      <c r="BI52" s="5" t="s">
        <v>52</v>
      </c>
      <c r="BJ52" s="8" t="s">
        <v>46</v>
      </c>
      <c r="BK52" s="8" t="s">
        <v>46</v>
      </c>
      <c r="BL52" s="8" t="s">
        <v>46</v>
      </c>
      <c r="BM52" s="8">
        <v>0</v>
      </c>
      <c r="BN52" s="8">
        <v>0</v>
      </c>
      <c r="BO52" s="8">
        <v>0</v>
      </c>
      <c r="BP52" s="10" t="s">
        <v>46</v>
      </c>
    </row>
    <row r="53" spans="1:68" ht="14.5" customHeight="1" x14ac:dyDescent="0.35">
      <c r="A53" s="5">
        <v>52</v>
      </c>
      <c r="B53" s="6">
        <v>45392</v>
      </c>
      <c r="C53" s="5" t="s">
        <v>44</v>
      </c>
      <c r="D53" s="5" t="s">
        <v>45</v>
      </c>
      <c r="E53" s="5" t="s">
        <v>46</v>
      </c>
      <c r="F53" s="5" t="s">
        <v>47</v>
      </c>
      <c r="G53" s="7">
        <v>0.5625</v>
      </c>
      <c r="H53" s="7">
        <v>0.97916666666666663</v>
      </c>
      <c r="I53" s="5">
        <v>1.2564</v>
      </c>
      <c r="J53" s="5">
        <v>1.2536</v>
      </c>
      <c r="K53" s="8">
        <v>-2.5</v>
      </c>
      <c r="L53" s="8">
        <v>5</v>
      </c>
      <c r="M53" s="5">
        <v>1.2588999999999999</v>
      </c>
      <c r="N53" s="5">
        <v>1.2514000000000001</v>
      </c>
      <c r="O53" s="5">
        <v>21</v>
      </c>
      <c r="P53" s="8">
        <v>4.43</v>
      </c>
      <c r="Q53" s="8">
        <v>-1.77</v>
      </c>
      <c r="R53" s="5">
        <v>3</v>
      </c>
      <c r="S53" s="5" t="s">
        <v>55</v>
      </c>
      <c r="T53" s="8">
        <v>2.8</v>
      </c>
      <c r="U53" s="5">
        <v>6</v>
      </c>
      <c r="V53" s="5" t="s">
        <v>49</v>
      </c>
      <c r="W53" s="5" t="s">
        <v>196</v>
      </c>
      <c r="X53" s="5">
        <v>3</v>
      </c>
      <c r="Y53" s="5" t="s">
        <v>49</v>
      </c>
      <c r="Z53" s="5" t="s">
        <v>197</v>
      </c>
      <c r="AA53" s="6">
        <v>45393</v>
      </c>
      <c r="AB53" s="5" t="s">
        <v>45</v>
      </c>
      <c r="AC53" s="5" t="s">
        <v>45</v>
      </c>
      <c r="AD53" s="5" t="s">
        <v>52</v>
      </c>
      <c r="AE53" s="5" t="s">
        <v>45</v>
      </c>
      <c r="AF53" s="8" t="s">
        <v>46</v>
      </c>
      <c r="AG53" s="5">
        <v>5</v>
      </c>
      <c r="AH53" s="8">
        <v>5.39</v>
      </c>
      <c r="AI53" s="8">
        <v>-1.38</v>
      </c>
      <c r="AJ53" s="8">
        <v>5</v>
      </c>
      <c r="AK53" s="10" t="s">
        <v>46</v>
      </c>
      <c r="AL53" s="5"/>
      <c r="AM53" s="5">
        <v>52</v>
      </c>
      <c r="AN53" s="6">
        <v>45392</v>
      </c>
      <c r="AO53" s="5" t="s">
        <v>53</v>
      </c>
      <c r="AP53" s="5" t="s">
        <v>45</v>
      </c>
      <c r="AQ53" s="5" t="s">
        <v>46</v>
      </c>
      <c r="AR53" s="5" t="s">
        <v>47</v>
      </c>
      <c r="AS53" s="7">
        <v>0.5625</v>
      </c>
      <c r="AT53" s="7">
        <v>0.97916666666666663</v>
      </c>
      <c r="AU53" s="5">
        <v>1.2564</v>
      </c>
      <c r="AV53" s="5">
        <v>1.2536</v>
      </c>
      <c r="AW53" s="5">
        <v>1.2584299999999999</v>
      </c>
      <c r="AX53" s="5">
        <v>1.2514000000000001</v>
      </c>
      <c r="AY53" s="5" t="s">
        <v>198</v>
      </c>
      <c r="AZ53" s="8">
        <v>-2.0299999999999998</v>
      </c>
      <c r="BA53" s="5">
        <v>21</v>
      </c>
      <c r="BB53" s="8">
        <v>4.43</v>
      </c>
      <c r="BC53" s="8">
        <v>-1.77</v>
      </c>
      <c r="BD53" s="5">
        <v>3</v>
      </c>
      <c r="BE53" s="5" t="s">
        <v>55</v>
      </c>
      <c r="BF53" s="8">
        <v>2.8</v>
      </c>
      <c r="BG53" s="6">
        <v>45393</v>
      </c>
      <c r="BH53" s="5" t="s">
        <v>45</v>
      </c>
      <c r="BI53" s="5" t="s">
        <v>45</v>
      </c>
      <c r="BJ53" s="5" t="s">
        <v>52</v>
      </c>
      <c r="BK53" s="5" t="s">
        <v>45</v>
      </c>
      <c r="BL53" s="8" t="s">
        <v>46</v>
      </c>
      <c r="BM53" s="8">
        <v>5.39</v>
      </c>
      <c r="BN53" s="8">
        <v>-1.38</v>
      </c>
      <c r="BO53" s="8">
        <v>5</v>
      </c>
      <c r="BP53" s="10" t="s">
        <v>46</v>
      </c>
    </row>
    <row r="54" spans="1:68" ht="14.5" customHeight="1" x14ac:dyDescent="0.35">
      <c r="A54" s="5">
        <v>53</v>
      </c>
      <c r="B54" s="6">
        <v>45391</v>
      </c>
      <c r="C54" s="5" t="s">
        <v>44</v>
      </c>
      <c r="D54" s="5" t="s">
        <v>45</v>
      </c>
      <c r="E54" s="5" t="s">
        <v>46</v>
      </c>
      <c r="F54" s="5" t="s">
        <v>67</v>
      </c>
      <c r="G54" s="7">
        <v>0.39583333333333331</v>
      </c>
      <c r="H54" s="7">
        <v>0.97916666666666663</v>
      </c>
      <c r="I54" s="5">
        <v>1.2678</v>
      </c>
      <c r="J54" s="5">
        <v>1.26763</v>
      </c>
      <c r="K54" s="8">
        <v>-2.5</v>
      </c>
      <c r="L54" s="8">
        <v>5</v>
      </c>
      <c r="M54" s="5">
        <v>1.2653000000000001</v>
      </c>
      <c r="N54" s="5">
        <v>1.2727999999999999</v>
      </c>
      <c r="O54" s="5">
        <v>29</v>
      </c>
      <c r="P54" s="8">
        <v>3.1</v>
      </c>
      <c r="Q54" s="8">
        <v>-1.54</v>
      </c>
      <c r="R54" s="5">
        <v>7</v>
      </c>
      <c r="S54" s="5" t="s">
        <v>55</v>
      </c>
      <c r="T54" s="8">
        <v>-0.17</v>
      </c>
      <c r="U54" s="5">
        <v>3</v>
      </c>
      <c r="V54" s="5" t="s">
        <v>56</v>
      </c>
      <c r="W54" s="5" t="s">
        <v>199</v>
      </c>
      <c r="X54" s="5">
        <v>6</v>
      </c>
      <c r="Y54" s="5" t="s">
        <v>49</v>
      </c>
      <c r="Z54" s="5" t="s">
        <v>196</v>
      </c>
      <c r="AA54" s="6">
        <v>45392</v>
      </c>
      <c r="AB54" s="5" t="s">
        <v>45</v>
      </c>
      <c r="AC54" s="5" t="s">
        <v>52</v>
      </c>
      <c r="AD54" s="5" t="s">
        <v>45</v>
      </c>
      <c r="AE54" s="5" t="s">
        <v>52</v>
      </c>
      <c r="AF54" s="5" t="s">
        <v>52</v>
      </c>
      <c r="AG54" s="5">
        <v>1</v>
      </c>
      <c r="AH54" s="8">
        <v>2.88</v>
      </c>
      <c r="AI54" s="8">
        <v>-15.83</v>
      </c>
      <c r="AJ54" s="8">
        <v>-2.5</v>
      </c>
      <c r="AK54" s="10" t="s">
        <v>46</v>
      </c>
      <c r="AL54" s="5"/>
      <c r="AM54" s="5">
        <v>53</v>
      </c>
      <c r="AN54" s="6">
        <v>45391</v>
      </c>
      <c r="AO54" s="5" t="s">
        <v>53</v>
      </c>
      <c r="AP54" s="5" t="s">
        <v>45</v>
      </c>
      <c r="AQ54" s="5" t="s">
        <v>46</v>
      </c>
      <c r="AR54" s="5" t="s">
        <v>67</v>
      </c>
      <c r="AS54" s="7">
        <v>0.39583333333333331</v>
      </c>
      <c r="AT54" s="7">
        <v>0.97916666666666663</v>
      </c>
      <c r="AU54" s="5">
        <v>1.2678</v>
      </c>
      <c r="AV54" s="5">
        <v>1.26763</v>
      </c>
      <c r="AW54" s="5">
        <v>1.2657400000000001</v>
      </c>
      <c r="AX54" s="5">
        <v>1.2727999999999999</v>
      </c>
      <c r="AY54" s="5" t="s">
        <v>200</v>
      </c>
      <c r="AZ54" s="8">
        <v>-2.06</v>
      </c>
      <c r="BA54" s="5">
        <v>29</v>
      </c>
      <c r="BB54" s="8">
        <v>3.1</v>
      </c>
      <c r="BC54" s="8">
        <v>-1.54</v>
      </c>
      <c r="BD54" s="5">
        <v>7</v>
      </c>
      <c r="BE54" s="5" t="s">
        <v>55</v>
      </c>
      <c r="BF54" s="8">
        <v>-0.17</v>
      </c>
      <c r="BG54" s="6">
        <v>45392</v>
      </c>
      <c r="BH54" s="5" t="s">
        <v>45</v>
      </c>
      <c r="BI54" s="5" t="s">
        <v>52</v>
      </c>
      <c r="BJ54" s="5" t="s">
        <v>45</v>
      </c>
      <c r="BK54" s="5" t="s">
        <v>52</v>
      </c>
      <c r="BL54" s="5" t="s">
        <v>52</v>
      </c>
      <c r="BM54" s="8">
        <v>2.88</v>
      </c>
      <c r="BN54" s="8">
        <v>-15.83</v>
      </c>
      <c r="BO54" s="8">
        <v>-2.06</v>
      </c>
      <c r="BP54" s="10" t="s">
        <v>46</v>
      </c>
    </row>
    <row r="55" spans="1:68" ht="14.5" customHeight="1" x14ac:dyDescent="0.35">
      <c r="A55" s="5">
        <v>54</v>
      </c>
      <c r="B55" s="6">
        <v>45387</v>
      </c>
      <c r="C55" s="5" t="s">
        <v>44</v>
      </c>
      <c r="D55" s="5" t="s">
        <v>45</v>
      </c>
      <c r="E55" s="5" t="s">
        <v>46</v>
      </c>
      <c r="F55" s="5" t="s">
        <v>47</v>
      </c>
      <c r="G55" s="7">
        <v>0.52083333333333337</v>
      </c>
      <c r="H55" s="7">
        <v>0.64583333333333337</v>
      </c>
      <c r="I55" s="5">
        <v>1.2603</v>
      </c>
      <c r="J55" s="5">
        <v>1.2627999999999999</v>
      </c>
      <c r="K55" s="8">
        <v>-2.5</v>
      </c>
      <c r="L55" s="8">
        <v>5</v>
      </c>
      <c r="M55" s="5">
        <v>1.2627999999999999</v>
      </c>
      <c r="N55" s="5">
        <v>1.2553000000000001</v>
      </c>
      <c r="O55" s="5">
        <v>29</v>
      </c>
      <c r="P55" s="8">
        <v>2.92</v>
      </c>
      <c r="Q55" s="8">
        <v>-3.71</v>
      </c>
      <c r="R55" s="5">
        <v>1</v>
      </c>
      <c r="S55" s="5" t="s">
        <v>68</v>
      </c>
      <c r="T55" s="8">
        <v>-2.5</v>
      </c>
      <c r="U55" s="5">
        <v>3</v>
      </c>
      <c r="V55" s="5" t="s">
        <v>49</v>
      </c>
      <c r="W55" s="5" t="s">
        <v>201</v>
      </c>
      <c r="X55" s="5">
        <v>6</v>
      </c>
      <c r="Y55" s="5" t="s">
        <v>49</v>
      </c>
      <c r="Z55" s="5" t="s">
        <v>196</v>
      </c>
      <c r="AA55" s="6">
        <v>45390</v>
      </c>
      <c r="AB55" s="5" t="s">
        <v>52</v>
      </c>
      <c r="AC55" s="5" t="s">
        <v>52</v>
      </c>
      <c r="AD55" s="8" t="s">
        <v>46</v>
      </c>
      <c r="AE55" s="8" t="s">
        <v>46</v>
      </c>
      <c r="AF55" s="8" t="s">
        <v>46</v>
      </c>
      <c r="AG55" s="5">
        <v>0</v>
      </c>
      <c r="AH55" s="8">
        <v>0</v>
      </c>
      <c r="AI55" s="8">
        <v>0</v>
      </c>
      <c r="AJ55" s="8">
        <v>0</v>
      </c>
      <c r="AK55" s="10" t="s">
        <v>46</v>
      </c>
      <c r="AL55" s="5"/>
      <c r="AM55" s="5">
        <v>54</v>
      </c>
      <c r="AN55" s="6">
        <v>45387</v>
      </c>
      <c r="AO55" s="5" t="s">
        <v>53</v>
      </c>
      <c r="AP55" s="5" t="s">
        <v>45</v>
      </c>
      <c r="AQ55" s="5" t="s">
        <v>46</v>
      </c>
      <c r="AR55" s="5" t="s">
        <v>47</v>
      </c>
      <c r="AS55" s="7">
        <v>0.52083333333333337</v>
      </c>
      <c r="AT55" s="7">
        <v>0.64583333333333337</v>
      </c>
      <c r="AU55" s="5">
        <v>1.2603</v>
      </c>
      <c r="AV55" s="5">
        <v>1.2623599999999999</v>
      </c>
      <c r="AW55" s="5">
        <v>1.2623599999999999</v>
      </c>
      <c r="AX55" s="5">
        <v>1.2553000000000001</v>
      </c>
      <c r="AY55" s="5" t="s">
        <v>202</v>
      </c>
      <c r="AZ55" s="8">
        <v>-2.06</v>
      </c>
      <c r="BA55" s="5">
        <v>29</v>
      </c>
      <c r="BB55" s="8">
        <v>2.92</v>
      </c>
      <c r="BC55" s="8">
        <v>-3.71</v>
      </c>
      <c r="BD55" s="5">
        <v>1</v>
      </c>
      <c r="BE55" s="5" t="s">
        <v>68</v>
      </c>
      <c r="BF55" s="8">
        <v>-2.06</v>
      </c>
      <c r="BG55" s="6">
        <v>45390</v>
      </c>
      <c r="BH55" s="5" t="s">
        <v>52</v>
      </c>
      <c r="BI55" s="5" t="s">
        <v>52</v>
      </c>
      <c r="BJ55" s="8" t="s">
        <v>46</v>
      </c>
      <c r="BK55" s="8" t="s">
        <v>46</v>
      </c>
      <c r="BL55" s="8" t="s">
        <v>46</v>
      </c>
      <c r="BM55" s="8">
        <v>0</v>
      </c>
      <c r="BN55" s="8">
        <v>0</v>
      </c>
      <c r="BO55" s="8">
        <v>0</v>
      </c>
      <c r="BP55" s="10" t="s">
        <v>46</v>
      </c>
    </row>
    <row r="56" spans="1:68" ht="14.5" customHeight="1" x14ac:dyDescent="0.35">
      <c r="A56" s="5">
        <v>55</v>
      </c>
      <c r="B56" s="6">
        <v>45386</v>
      </c>
      <c r="C56" s="5" t="s">
        <v>44</v>
      </c>
      <c r="D56" s="5" t="s">
        <v>45</v>
      </c>
      <c r="E56" s="5" t="s">
        <v>46</v>
      </c>
      <c r="F56" s="5" t="s">
        <v>67</v>
      </c>
      <c r="G56" s="7">
        <v>2.0833333333333332E-2</v>
      </c>
      <c r="H56" s="7">
        <v>0.97916666666666663</v>
      </c>
      <c r="I56" s="5">
        <v>1.2653000000000001</v>
      </c>
      <c r="J56" s="5">
        <v>1.2639100000000001</v>
      </c>
      <c r="K56" s="8">
        <v>-2.5</v>
      </c>
      <c r="L56" s="8">
        <v>5</v>
      </c>
      <c r="M56" s="5">
        <v>1.2627999999999999</v>
      </c>
      <c r="N56" s="5">
        <v>1.2703</v>
      </c>
      <c r="O56" s="5">
        <v>47</v>
      </c>
      <c r="P56" s="8">
        <v>3.01</v>
      </c>
      <c r="Q56" s="8">
        <v>-1.39</v>
      </c>
      <c r="R56" s="5">
        <v>11</v>
      </c>
      <c r="S56" s="5" t="s">
        <v>55</v>
      </c>
      <c r="T56" s="8">
        <v>-1.39</v>
      </c>
      <c r="U56" s="5">
        <v>1</v>
      </c>
      <c r="V56" s="5" t="s">
        <v>49</v>
      </c>
      <c r="W56" s="5" t="s">
        <v>74</v>
      </c>
      <c r="X56" s="5">
        <v>3</v>
      </c>
      <c r="Y56" s="5" t="s">
        <v>49</v>
      </c>
      <c r="Z56" s="5" t="s">
        <v>201</v>
      </c>
      <c r="AA56" s="6">
        <v>45387</v>
      </c>
      <c r="AB56" s="5" t="s">
        <v>45</v>
      </c>
      <c r="AC56" s="5" t="s">
        <v>52</v>
      </c>
      <c r="AD56" s="5" t="s">
        <v>45</v>
      </c>
      <c r="AE56" s="5" t="s">
        <v>52</v>
      </c>
      <c r="AF56" s="5" t="s">
        <v>52</v>
      </c>
      <c r="AG56" s="5">
        <v>0</v>
      </c>
      <c r="AH56" s="8">
        <v>0</v>
      </c>
      <c r="AI56" s="8">
        <v>-7.92</v>
      </c>
      <c r="AJ56" s="8">
        <v>-2.5</v>
      </c>
      <c r="AK56" s="10" t="s">
        <v>46</v>
      </c>
      <c r="AL56" s="5"/>
      <c r="AM56" s="5">
        <v>55</v>
      </c>
      <c r="AN56" s="6">
        <v>45386</v>
      </c>
      <c r="AO56" s="5" t="s">
        <v>53</v>
      </c>
      <c r="AP56" s="5" t="s">
        <v>45</v>
      </c>
      <c r="AQ56" s="5" t="s">
        <v>46</v>
      </c>
      <c r="AR56" s="5" t="s">
        <v>67</v>
      </c>
      <c r="AS56" s="7">
        <v>2.0833333333333332E-2</v>
      </c>
      <c r="AT56" s="7">
        <v>0.97916666666666663</v>
      </c>
      <c r="AU56" s="5">
        <v>1.2653000000000001</v>
      </c>
      <c r="AV56" s="5">
        <v>1.2639100000000001</v>
      </c>
      <c r="AW56" s="5">
        <v>1.2632300000000001</v>
      </c>
      <c r="AX56" s="5">
        <v>1.2703</v>
      </c>
      <c r="AY56" s="5" t="s">
        <v>159</v>
      </c>
      <c r="AZ56" s="8">
        <v>-2.0699999999999998</v>
      </c>
      <c r="BA56" s="5">
        <v>47</v>
      </c>
      <c r="BB56" s="8">
        <v>3.01</v>
      </c>
      <c r="BC56" s="8">
        <v>-1.39</v>
      </c>
      <c r="BD56" s="5">
        <v>11</v>
      </c>
      <c r="BE56" s="5" t="s">
        <v>55</v>
      </c>
      <c r="BF56" s="8">
        <v>-1.39</v>
      </c>
      <c r="BG56" s="6">
        <v>45387</v>
      </c>
      <c r="BH56" s="5" t="s">
        <v>45</v>
      </c>
      <c r="BI56" s="5" t="s">
        <v>52</v>
      </c>
      <c r="BJ56" s="5" t="s">
        <v>45</v>
      </c>
      <c r="BK56" s="5" t="s">
        <v>52</v>
      </c>
      <c r="BL56" s="5" t="s">
        <v>52</v>
      </c>
      <c r="BM56" s="8">
        <v>0</v>
      </c>
      <c r="BN56" s="8">
        <v>-7.92</v>
      </c>
      <c r="BO56" s="8">
        <v>-1.39</v>
      </c>
      <c r="BP56" s="10" t="s">
        <v>46</v>
      </c>
    </row>
    <row r="57" spans="1:68" ht="14.5" customHeight="1" x14ac:dyDescent="0.35">
      <c r="A57" s="5">
        <v>56</v>
      </c>
      <c r="B57" s="6">
        <v>45383</v>
      </c>
      <c r="C57" s="5" t="s">
        <v>44</v>
      </c>
      <c r="D57" s="5" t="s">
        <v>45</v>
      </c>
      <c r="E57" s="5" t="s">
        <v>46</v>
      </c>
      <c r="F57" s="5" t="s">
        <v>47</v>
      </c>
      <c r="G57" s="7">
        <v>0.58333333333333337</v>
      </c>
      <c r="H57" s="7">
        <v>0.64583333333333337</v>
      </c>
      <c r="I57" s="5">
        <v>1.2590999999999999</v>
      </c>
      <c r="J57" s="5">
        <v>1.2541</v>
      </c>
      <c r="K57" s="8">
        <v>-2.5</v>
      </c>
      <c r="L57" s="8">
        <v>5</v>
      </c>
      <c r="M57" s="5">
        <f>IF(F57="Sell", INT(I57) + (ROUND(MOD(I57,1) + 0.0025, 4)), IF(F57="Buy", INT(I57) + (ROUND(MOD(I57,1) - 0.0025, 4)), "Invalid Direction"))</f>
        <v>1.2616000000000001</v>
      </c>
      <c r="N57" s="5">
        <f>IF(F57="Sell", INT(I57) + (ROUND(MOD(I57,1) - 0.005, 4)), IF(F57="Buy", INT(I57) + (ROUND(MOD(I57,1) + 0.005, 4)), "Invalid Direction"))</f>
        <v>1.2541</v>
      </c>
      <c r="O57" s="5">
        <v>4</v>
      </c>
      <c r="P57" s="14">
        <f>ABS(MOD(I57,1) - MOD(1.25384,1)) * 10000 *0.1</f>
        <v>5.2599999999998204</v>
      </c>
      <c r="Q57" s="8">
        <v>0</v>
      </c>
      <c r="R57" s="5">
        <v>0</v>
      </c>
      <c r="S57" s="5" t="s">
        <v>48</v>
      </c>
      <c r="T57" s="8">
        <v>5</v>
      </c>
      <c r="U57" s="5">
        <v>2</v>
      </c>
      <c r="V57" s="5" t="s">
        <v>49</v>
      </c>
      <c r="W57" s="5" t="s">
        <v>203</v>
      </c>
      <c r="X57" s="5">
        <v>5</v>
      </c>
      <c r="Y57" s="5" t="s">
        <v>49</v>
      </c>
      <c r="Z57" s="5" t="s">
        <v>204</v>
      </c>
      <c r="AA57" s="6">
        <v>45384</v>
      </c>
      <c r="AB57" s="5" t="s">
        <v>52</v>
      </c>
      <c r="AC57" s="5" t="s">
        <v>52</v>
      </c>
      <c r="AD57" s="8" t="s">
        <v>46</v>
      </c>
      <c r="AE57" s="8" t="s">
        <v>46</v>
      </c>
      <c r="AF57" s="8" t="s">
        <v>46</v>
      </c>
      <c r="AG57" s="5">
        <v>0</v>
      </c>
      <c r="AH57" s="8">
        <v>0</v>
      </c>
      <c r="AI57" s="8">
        <v>0</v>
      </c>
      <c r="AJ57" s="8">
        <v>0</v>
      </c>
      <c r="AK57" s="10" t="s">
        <v>46</v>
      </c>
      <c r="AL57" s="5"/>
      <c r="AM57" s="5">
        <v>56</v>
      </c>
      <c r="AN57" s="6">
        <v>45383</v>
      </c>
      <c r="AO57" s="5" t="s">
        <v>53</v>
      </c>
      <c r="AP57" s="5" t="s">
        <v>45</v>
      </c>
      <c r="AQ57" s="5" t="s">
        <v>46</v>
      </c>
      <c r="AR57" s="5" t="s">
        <v>47</v>
      </c>
      <c r="AS57" s="7">
        <v>0.58333333333333337</v>
      </c>
      <c r="AT57" s="7">
        <v>0.64583333333333337</v>
      </c>
      <c r="AU57" s="5">
        <v>1.2590999999999999</v>
      </c>
      <c r="AV57" s="5">
        <v>1.2541</v>
      </c>
      <c r="AW57" s="5">
        <f>IF(AR57="Sell", INT(AU57) + (ROUND(MOD(AU57,1) + 0.00208, 4)), IF(AR57="Buy", INT(AU57) + (ROUND(MOD(AU57,1) - 0.0025, 4)), "Invalid Direction"))</f>
        <v>1.2612000000000001</v>
      </c>
      <c r="AX57" s="5">
        <v>1.2541</v>
      </c>
      <c r="AY57" s="5" t="s">
        <v>205</v>
      </c>
      <c r="AZ57" s="8">
        <v>-2.08</v>
      </c>
      <c r="BA57" s="5">
        <v>4</v>
      </c>
      <c r="BB57" s="8">
        <v>5.2599999999998204</v>
      </c>
      <c r="BC57" s="8">
        <v>0</v>
      </c>
      <c r="BD57" s="5">
        <v>0</v>
      </c>
      <c r="BE57" s="5" t="s">
        <v>48</v>
      </c>
      <c r="BF57" s="8">
        <v>5</v>
      </c>
      <c r="BG57" s="6">
        <v>45384</v>
      </c>
      <c r="BH57" s="5" t="s">
        <v>52</v>
      </c>
      <c r="BI57" s="5" t="s">
        <v>52</v>
      </c>
      <c r="BJ57" s="8" t="s">
        <v>46</v>
      </c>
      <c r="BK57" s="8" t="s">
        <v>46</v>
      </c>
      <c r="BL57" s="8" t="s">
        <v>46</v>
      </c>
      <c r="BM57" s="8">
        <v>0</v>
      </c>
      <c r="BN57" s="8">
        <v>0</v>
      </c>
      <c r="BO57" s="8">
        <v>0</v>
      </c>
      <c r="BP57" s="10" t="s">
        <v>46</v>
      </c>
    </row>
    <row r="58" spans="1:68" ht="14.5" customHeight="1" x14ac:dyDescent="0.35">
      <c r="A58" s="5">
        <v>57</v>
      </c>
      <c r="B58" s="6">
        <v>45373</v>
      </c>
      <c r="C58" s="5" t="s">
        <v>44</v>
      </c>
      <c r="D58" s="5" t="s">
        <v>45</v>
      </c>
      <c r="E58" s="5" t="s">
        <v>46</v>
      </c>
      <c r="F58" s="5" t="s">
        <v>47</v>
      </c>
      <c r="G58" s="7">
        <v>6.25E-2</v>
      </c>
      <c r="H58" s="7">
        <v>0.3125</v>
      </c>
      <c r="I58" s="5">
        <v>1.2651000000000001</v>
      </c>
      <c r="J58" s="5">
        <v>1.2601</v>
      </c>
      <c r="K58" s="8">
        <v>-2.5</v>
      </c>
      <c r="L58" s="8">
        <v>5</v>
      </c>
      <c r="M58" s="5">
        <f>IF(F58="Sell", INT(I58) + (ROUND(MOD(I58,1) + 0.0025, 4)), IF(F58="Buy", INT(I58) + (ROUND(MOD(I58,1) - 0.0025, 4)), "Invalid Direction"))</f>
        <v>1.2676000000000001</v>
      </c>
      <c r="N58" s="5">
        <f>IF(F58="Sell", INT(I58) + (ROUND(MOD(I58,1) - 0.005, 4)), IF(F58="Buy", INT(I58) + (ROUND(MOD(I58,1) + 0.005, 4)), "Invalid Direction"))</f>
        <v>1.2601</v>
      </c>
      <c r="O58" s="5">
        <v>13</v>
      </c>
      <c r="P58" s="14">
        <f>ABS(MOD(I58,1) - MOD(1.25746,1)) * 10000 *0.1</f>
        <v>7.6400000000000921</v>
      </c>
      <c r="Q58" s="8">
        <f>(MOD(I58,1) - MOD(1.26539,1)) * 10000 *0.1</f>
        <v>-0.28999999999990145</v>
      </c>
      <c r="R58" s="5">
        <v>1</v>
      </c>
      <c r="S58" s="5" t="s">
        <v>48</v>
      </c>
      <c r="T58" s="8">
        <v>5</v>
      </c>
      <c r="U58" s="5">
        <v>1</v>
      </c>
      <c r="V58" s="5" t="s">
        <v>49</v>
      </c>
      <c r="W58" s="5" t="s">
        <v>206</v>
      </c>
      <c r="X58" s="5">
        <v>1</v>
      </c>
      <c r="Y58" s="5" t="s">
        <v>49</v>
      </c>
      <c r="Z58" s="5" t="s">
        <v>207</v>
      </c>
      <c r="AA58" s="6">
        <v>45376</v>
      </c>
      <c r="AB58" s="5" t="s">
        <v>52</v>
      </c>
      <c r="AC58" s="5" t="s">
        <v>52</v>
      </c>
      <c r="AD58" s="8" t="s">
        <v>46</v>
      </c>
      <c r="AE58" s="8" t="s">
        <v>46</v>
      </c>
      <c r="AF58" s="8" t="s">
        <v>46</v>
      </c>
      <c r="AG58" s="5">
        <v>1</v>
      </c>
      <c r="AH58" s="8">
        <v>0</v>
      </c>
      <c r="AI58" s="8">
        <v>0</v>
      </c>
      <c r="AJ58" s="8">
        <v>0</v>
      </c>
      <c r="AK58" s="10" t="s">
        <v>46</v>
      </c>
      <c r="AL58" s="5"/>
      <c r="AM58" s="5">
        <v>57</v>
      </c>
      <c r="AN58" s="6">
        <v>45373</v>
      </c>
      <c r="AO58" s="5" t="s">
        <v>53</v>
      </c>
      <c r="AP58" s="5" t="s">
        <v>45</v>
      </c>
      <c r="AQ58" s="5" t="s">
        <v>46</v>
      </c>
      <c r="AR58" s="5" t="s">
        <v>47</v>
      </c>
      <c r="AS58" s="7">
        <v>6.25E-2</v>
      </c>
      <c r="AT58" s="7">
        <v>0.3125</v>
      </c>
      <c r="AU58" s="5">
        <v>1.2651000000000001</v>
      </c>
      <c r="AV58" s="5">
        <v>1.2601</v>
      </c>
      <c r="AW58" s="5">
        <f>IF(AR58="Sell", INT(AU58) + (ROUND(MOD(AU58,1) + 0.0021, 4)), IF(AR58="Buy", INT(AU58) + (ROUND(MOD(AU58,1) - 0.0025, 4)), "Invalid Direction"))</f>
        <v>1.2671999999999999</v>
      </c>
      <c r="AX58" s="5">
        <v>1.2601</v>
      </c>
      <c r="AY58" s="5" t="s">
        <v>208</v>
      </c>
      <c r="AZ58" s="8">
        <v>-2.1</v>
      </c>
      <c r="BA58" s="5">
        <v>13</v>
      </c>
      <c r="BB58" s="14">
        <f>ABS(MOD(AU58,1) - MOD(1.25746,1)) * 10000 *0.1</f>
        <v>7.6400000000000921</v>
      </c>
      <c r="BC58" s="8">
        <f>(MOD(AU58,1) - MOD(1.26539,1)) * 10000 *0.1</f>
        <v>-0.28999999999990145</v>
      </c>
      <c r="BD58" s="5">
        <v>1</v>
      </c>
      <c r="BE58" s="5" t="s">
        <v>48</v>
      </c>
      <c r="BF58" s="8">
        <v>5</v>
      </c>
      <c r="BG58" s="6">
        <v>45376</v>
      </c>
      <c r="BH58" s="5" t="s">
        <v>52</v>
      </c>
      <c r="BI58" s="5" t="s">
        <v>52</v>
      </c>
      <c r="BJ58" s="8" t="s">
        <v>46</v>
      </c>
      <c r="BK58" s="8" t="s">
        <v>46</v>
      </c>
      <c r="BL58" s="8" t="s">
        <v>46</v>
      </c>
      <c r="BM58" s="8">
        <v>0</v>
      </c>
      <c r="BN58" s="8">
        <v>0</v>
      </c>
      <c r="BO58" s="8">
        <v>0</v>
      </c>
      <c r="BP58" s="10" t="s">
        <v>46</v>
      </c>
    </row>
    <row r="59" spans="1:68" ht="14.5" customHeight="1" x14ac:dyDescent="0.35">
      <c r="A59" s="5">
        <v>58</v>
      </c>
      <c r="B59" s="6">
        <v>45372</v>
      </c>
      <c r="C59" s="5" t="s">
        <v>44</v>
      </c>
      <c r="D59" s="5" t="s">
        <v>45</v>
      </c>
      <c r="E59" s="5" t="s">
        <v>46</v>
      </c>
      <c r="F59" s="5" t="s">
        <v>47</v>
      </c>
      <c r="G59" s="7">
        <v>0.45833333333333331</v>
      </c>
      <c r="H59" s="7">
        <v>0.5625</v>
      </c>
      <c r="I59" s="5">
        <v>1.2761000000000002</v>
      </c>
      <c r="J59" s="5">
        <v>1.2711000000000001</v>
      </c>
      <c r="K59" s="8">
        <v>-2.5</v>
      </c>
      <c r="L59" s="8">
        <v>5</v>
      </c>
      <c r="M59" s="5">
        <f>IF(F59="Sell", INT(I59) + (ROUND(MOD(I59,1) + 0.0025, 4)), IF(F59="Buy", INT(I59) + (ROUND(MOD(I59,1) - 0.0025, 4)), "Invalid Direction"))</f>
        <v>1.2786</v>
      </c>
      <c r="N59" s="5">
        <f>IF(F59="Sell", INT(I59) + (ROUND(MOD(I59,1) - 0.005, 4)), IF(F59="Buy", INT(I59) + (ROUND(MOD(I59,1) + 0.005, 4)), "Invalid Direction"))</f>
        <v>1.2711000000000001</v>
      </c>
      <c r="O59" s="5">
        <v>6</v>
      </c>
      <c r="P59" s="14">
        <f>ABS(MOD(I59,1) - MOD(1.265,1)) * 10000 *0.1</f>
        <v>11.100000000000334</v>
      </c>
      <c r="Q59" s="8">
        <v>0</v>
      </c>
      <c r="R59" s="5">
        <v>0</v>
      </c>
      <c r="S59" s="5" t="s">
        <v>48</v>
      </c>
      <c r="T59" s="8">
        <v>5</v>
      </c>
      <c r="U59" s="5">
        <v>3</v>
      </c>
      <c r="V59" s="5" t="s">
        <v>49</v>
      </c>
      <c r="W59" s="5" t="s">
        <v>209</v>
      </c>
      <c r="X59" s="5">
        <v>1</v>
      </c>
      <c r="Y59" s="5" t="s">
        <v>49</v>
      </c>
      <c r="Z59" s="5" t="s">
        <v>206</v>
      </c>
      <c r="AA59" s="6">
        <v>45373</v>
      </c>
      <c r="AB59" s="5" t="s">
        <v>52</v>
      </c>
      <c r="AC59" s="5" t="s">
        <v>45</v>
      </c>
      <c r="AD59" s="8" t="s">
        <v>46</v>
      </c>
      <c r="AE59" s="8" t="s">
        <v>46</v>
      </c>
      <c r="AF59" s="8" t="s">
        <v>46</v>
      </c>
      <c r="AG59" s="5">
        <v>1</v>
      </c>
      <c r="AH59" s="8">
        <v>0</v>
      </c>
      <c r="AI59" s="8">
        <v>0</v>
      </c>
      <c r="AJ59" s="8">
        <v>0</v>
      </c>
      <c r="AK59" s="10" t="s">
        <v>46</v>
      </c>
      <c r="AL59" s="5"/>
      <c r="AM59" s="5">
        <v>58</v>
      </c>
      <c r="AN59" s="6">
        <v>45372</v>
      </c>
      <c r="AO59" s="5" t="s">
        <v>53</v>
      </c>
      <c r="AP59" s="5" t="s">
        <v>45</v>
      </c>
      <c r="AQ59" s="5" t="s">
        <v>46</v>
      </c>
      <c r="AR59" s="5" t="s">
        <v>47</v>
      </c>
      <c r="AS59" s="7">
        <v>0.45833333333333331</v>
      </c>
      <c r="AT59" s="7">
        <v>0.5625</v>
      </c>
      <c r="AU59" s="5">
        <v>1.2761000000000002</v>
      </c>
      <c r="AV59" s="5">
        <v>1.2711000000000001</v>
      </c>
      <c r="AW59" s="5">
        <f>IF(AR59="Sell", INT(AU59) + (ROUND(MOD(AU59,1) + 0.002101, 4)), IF(AR59="Buy", INT(AU59) + (ROUND(MOD(AU59,1) - 0.0025, 4)), "Invalid Direction"))</f>
        <v>1.2782</v>
      </c>
      <c r="AX59" s="5">
        <v>1.2711000000000001</v>
      </c>
      <c r="AY59" s="5" t="s">
        <v>210</v>
      </c>
      <c r="AZ59" s="8">
        <v>-2.11</v>
      </c>
      <c r="BA59" s="5">
        <v>6</v>
      </c>
      <c r="BB59" s="8">
        <v>11.100000000000334</v>
      </c>
      <c r="BC59" s="8">
        <v>0</v>
      </c>
      <c r="BD59" s="5">
        <v>0</v>
      </c>
      <c r="BE59" s="5" t="s">
        <v>48</v>
      </c>
      <c r="BF59" s="8">
        <v>5</v>
      </c>
      <c r="BG59" s="6">
        <v>45373</v>
      </c>
      <c r="BH59" s="5" t="s">
        <v>52</v>
      </c>
      <c r="BI59" s="5" t="s">
        <v>45</v>
      </c>
      <c r="BJ59" s="8" t="s">
        <v>46</v>
      </c>
      <c r="BK59" s="8" t="s">
        <v>46</v>
      </c>
      <c r="BL59" s="8" t="s">
        <v>46</v>
      </c>
      <c r="BM59" s="8">
        <v>0</v>
      </c>
      <c r="BN59" s="8">
        <v>0</v>
      </c>
      <c r="BO59" s="8">
        <v>0</v>
      </c>
      <c r="BP59" s="10" t="s">
        <v>46</v>
      </c>
    </row>
    <row r="60" spans="1:68" ht="14.5" customHeight="1" x14ac:dyDescent="0.35">
      <c r="A60" s="5">
        <v>59</v>
      </c>
      <c r="B60" s="6">
        <v>45370</v>
      </c>
      <c r="C60" s="5" t="s">
        <v>44</v>
      </c>
      <c r="D60" s="5" t="s">
        <v>45</v>
      </c>
      <c r="E60" s="5" t="s">
        <v>46</v>
      </c>
      <c r="F60" s="5" t="s">
        <v>47</v>
      </c>
      <c r="G60" s="7">
        <v>2.0833333333333332E-2</v>
      </c>
      <c r="H60" s="7">
        <v>0.39583333333333331</v>
      </c>
      <c r="I60" s="5">
        <v>1.2719</v>
      </c>
      <c r="J60" s="5">
        <v>1.2669000000000001</v>
      </c>
      <c r="K60" s="8">
        <v>-2.5</v>
      </c>
      <c r="L60" s="8">
        <v>5</v>
      </c>
      <c r="M60" s="5">
        <f>IF(F60="Sell", INT(I60) + (ROUND(MOD(I60,1) + 0.0025, 4)), IF(F60="Buy", INT(I60) + (ROUND(MOD(I60,1) - 0.0025, 4)), "Invalid Direction"))</f>
        <v>1.2744</v>
      </c>
      <c r="N60" s="5">
        <f>IF(F60="Sell", INT(I60) + (ROUND(MOD(I60,1) - 0.005, 4)), IF(F60="Buy", INT(I60) + (ROUND(MOD(I60,1) + 0.005, 4)), "Invalid Direction"))</f>
        <v>1.2669000000000001</v>
      </c>
      <c r="O60" s="5">
        <v>17</v>
      </c>
      <c r="P60" s="14">
        <f>ABS(MOD(I60,1) - MOD(1.265,1)) * 10000 *0.1</f>
        <v>6.9000000000001283</v>
      </c>
      <c r="Q60" s="8">
        <f>(MOD(I60,1) - MOD(1.27282,1)) * 10000 *0.1</f>
        <v>-0.9200000000000319</v>
      </c>
      <c r="R60" s="5">
        <v>6</v>
      </c>
      <c r="S60" s="5" t="s">
        <v>48</v>
      </c>
      <c r="T60" s="8">
        <v>5</v>
      </c>
      <c r="U60" s="5">
        <v>7</v>
      </c>
      <c r="V60" s="5" t="s">
        <v>56</v>
      </c>
      <c r="W60" s="5" t="s">
        <v>211</v>
      </c>
      <c r="X60" s="5">
        <v>6</v>
      </c>
      <c r="Y60" s="5" t="s">
        <v>49</v>
      </c>
      <c r="Z60" s="5" t="s">
        <v>212</v>
      </c>
      <c r="AA60" s="6">
        <v>45371</v>
      </c>
      <c r="AB60" s="5" t="s">
        <v>52</v>
      </c>
      <c r="AC60" s="5" t="s">
        <v>52</v>
      </c>
      <c r="AD60" s="8" t="s">
        <v>46</v>
      </c>
      <c r="AE60" s="8" t="s">
        <v>46</v>
      </c>
      <c r="AF60" s="8" t="s">
        <v>46</v>
      </c>
      <c r="AG60" s="5">
        <v>12</v>
      </c>
      <c r="AH60" s="8">
        <v>0</v>
      </c>
      <c r="AI60" s="8">
        <v>0</v>
      </c>
      <c r="AJ60" s="8">
        <v>0</v>
      </c>
      <c r="AK60" s="10" t="s">
        <v>46</v>
      </c>
      <c r="AL60" s="5"/>
      <c r="AM60" s="5">
        <v>59</v>
      </c>
      <c r="AN60" s="6">
        <v>45370</v>
      </c>
      <c r="AO60" s="5" t="s">
        <v>53</v>
      </c>
      <c r="AP60" s="5" t="s">
        <v>45</v>
      </c>
      <c r="AQ60" s="5" t="s">
        <v>46</v>
      </c>
      <c r="AR60" s="5" t="s">
        <v>47</v>
      </c>
      <c r="AS60" s="7">
        <v>2.0833333333333332E-2</v>
      </c>
      <c r="AT60" s="7">
        <v>0.39583333333333331</v>
      </c>
      <c r="AU60" s="5">
        <v>1.2719</v>
      </c>
      <c r="AV60" s="5">
        <v>1.2669000000000001</v>
      </c>
      <c r="AW60" s="5">
        <f>IF(AR60="Sell", INT(AU60) + (ROUND(MOD(AU60,1) + 0.002102, 4)), IF(AR60="Buy", INT(AU60) + (ROUND(MOD(AU60,1) - 0.0025, 4)), "Invalid Direction"))</f>
        <v>1.274</v>
      </c>
      <c r="AX60" s="5">
        <v>1.2669000000000001</v>
      </c>
      <c r="AY60" s="5" t="s">
        <v>213</v>
      </c>
      <c r="AZ60" s="8">
        <v>-2.12</v>
      </c>
      <c r="BA60" s="5">
        <v>17</v>
      </c>
      <c r="BB60" s="8">
        <v>6.9000000000001283</v>
      </c>
      <c r="BC60" s="8">
        <v>-0.9200000000000319</v>
      </c>
      <c r="BD60" s="5">
        <v>6</v>
      </c>
      <c r="BE60" s="5" t="s">
        <v>48</v>
      </c>
      <c r="BF60" s="8">
        <v>5</v>
      </c>
      <c r="BG60" s="6">
        <v>45371</v>
      </c>
      <c r="BH60" s="5" t="s">
        <v>52</v>
      </c>
      <c r="BI60" s="5" t="s">
        <v>52</v>
      </c>
      <c r="BJ60" s="8" t="s">
        <v>46</v>
      </c>
      <c r="BK60" s="8" t="s">
        <v>46</v>
      </c>
      <c r="BL60" s="8" t="s">
        <v>46</v>
      </c>
      <c r="BM60" s="8">
        <v>0</v>
      </c>
      <c r="BN60" s="8">
        <v>0</v>
      </c>
      <c r="BO60" s="8">
        <v>0</v>
      </c>
      <c r="BP60" s="10" t="s">
        <v>46</v>
      </c>
    </row>
    <row r="61" spans="1:68" ht="14.5" customHeight="1" x14ac:dyDescent="0.35">
      <c r="A61" s="5">
        <v>60</v>
      </c>
      <c r="B61" s="6">
        <v>45366</v>
      </c>
      <c r="C61" s="5" t="s">
        <v>44</v>
      </c>
      <c r="D61" s="5" t="s">
        <v>45</v>
      </c>
      <c r="E61" s="5" t="s">
        <v>46</v>
      </c>
      <c r="F61" s="5" t="s">
        <v>47</v>
      </c>
      <c r="G61" s="7">
        <v>0.29166666666666669</v>
      </c>
      <c r="H61" s="7">
        <v>0.97916666666666663</v>
      </c>
      <c r="I61" s="5">
        <v>1.2743000000000002</v>
      </c>
      <c r="J61" s="5">
        <v>1.2730699999999999</v>
      </c>
      <c r="K61" s="8">
        <v>-2.5</v>
      </c>
      <c r="L61" s="8">
        <v>5</v>
      </c>
      <c r="M61" s="5">
        <f>IF(F61="Sell", INT(I61) + (ROUND(MOD(I61,1) + 0.0025, 4)), IF(F61="Buy", INT(I61) + (ROUND(MOD(I61,1) - 0.0025, 4)), "Invalid Direction"))</f>
        <v>1.2767999999999999</v>
      </c>
      <c r="N61" s="5">
        <f>IF(F61="Sell", INT(I61) + (ROUND(MOD(I61,1) - 0.005, 4)), IF(F61="Buy", INT(I61) + (ROUND(MOD(I61,1) + 0.005, 4)), "Invalid Direction"))</f>
        <v>1.2692999999999999</v>
      </c>
      <c r="O61" s="5">
        <v>34</v>
      </c>
      <c r="P61" s="14">
        <f>ABS(MOD(I61,1) - MOD(1.27246,1)) * 10000 *0.1</f>
        <v>1.8400000000002859</v>
      </c>
      <c r="Q61" s="8">
        <f>(MOD(I61,1) - MOD(1.2758,1)) * 10000 *0.1</f>
        <v>-1.4999999999998348</v>
      </c>
      <c r="R61" s="5">
        <v>9</v>
      </c>
      <c r="S61" s="5" t="s">
        <v>55</v>
      </c>
      <c r="T61" s="8">
        <v>1.2300000000002864</v>
      </c>
      <c r="U61" s="5">
        <v>16</v>
      </c>
      <c r="V61" s="5" t="s">
        <v>56</v>
      </c>
      <c r="W61" s="12" t="s">
        <v>46</v>
      </c>
      <c r="X61" s="5">
        <v>7</v>
      </c>
      <c r="Y61" s="5" t="s">
        <v>56</v>
      </c>
      <c r="Z61" s="5" t="s">
        <v>211</v>
      </c>
      <c r="AA61" s="6">
        <v>45369</v>
      </c>
      <c r="AB61" s="5" t="s">
        <v>45</v>
      </c>
      <c r="AC61" s="5" t="s">
        <v>45</v>
      </c>
      <c r="AD61" s="5" t="s">
        <v>52</v>
      </c>
      <c r="AE61" s="5" t="s">
        <v>52</v>
      </c>
      <c r="AF61" s="8" t="s">
        <v>46</v>
      </c>
      <c r="AG61" s="5">
        <v>6</v>
      </c>
      <c r="AH61" s="8">
        <v>2.5800000000002488</v>
      </c>
      <c r="AI61" s="8">
        <v>-0.30999999999981043</v>
      </c>
      <c r="AJ61" s="8">
        <v>1.7100000000001003</v>
      </c>
      <c r="AK61" s="10" t="s">
        <v>46</v>
      </c>
      <c r="AL61" s="5"/>
      <c r="AM61" s="5">
        <v>60</v>
      </c>
      <c r="AN61" s="6">
        <v>45366</v>
      </c>
      <c r="AO61" s="5" t="s">
        <v>53</v>
      </c>
      <c r="AP61" s="5" t="s">
        <v>45</v>
      </c>
      <c r="AQ61" s="5" t="s">
        <v>46</v>
      </c>
      <c r="AR61" s="5" t="s">
        <v>47</v>
      </c>
      <c r="AS61" s="7">
        <v>0.29166666666666669</v>
      </c>
      <c r="AT61" s="7">
        <v>0.97916666666666663</v>
      </c>
      <c r="AU61" s="5">
        <v>1.2743000000000002</v>
      </c>
      <c r="AV61" s="5">
        <v>1.2730699999999999</v>
      </c>
      <c r="AW61" s="5">
        <f>IF(AR61="Sell", INT(AU61) + (ROUND(MOD(AU61,1) + 0.002106, 4)), IF(AR61="Buy", INT(AU61) + (ROUND(MOD(AU61,1) - 0.0025, 4)), "Invalid Direction"))</f>
        <v>1.2764</v>
      </c>
      <c r="AX61" s="5">
        <v>1.2692999999999999</v>
      </c>
      <c r="AY61" s="5" t="s">
        <v>214</v>
      </c>
      <c r="AZ61" s="8">
        <v>-2.16</v>
      </c>
      <c r="BA61" s="5">
        <v>34</v>
      </c>
      <c r="BB61" s="8">
        <v>1.8400000000002859</v>
      </c>
      <c r="BC61" s="8">
        <v>-1.4999999999998348</v>
      </c>
      <c r="BD61" s="5">
        <v>9</v>
      </c>
      <c r="BE61" s="5" t="s">
        <v>55</v>
      </c>
      <c r="BF61" s="8">
        <v>1.2300000000002864</v>
      </c>
      <c r="BG61" s="6">
        <v>45369</v>
      </c>
      <c r="BH61" s="5" t="s">
        <v>45</v>
      </c>
      <c r="BI61" s="5" t="s">
        <v>45</v>
      </c>
      <c r="BJ61" s="5" t="s">
        <v>52</v>
      </c>
      <c r="BK61" s="5" t="s">
        <v>52</v>
      </c>
      <c r="BL61" s="5" t="s">
        <v>46</v>
      </c>
      <c r="BM61" s="8">
        <v>2.5800000000002488</v>
      </c>
      <c r="BN61" s="8">
        <v>-0.30999999999981043</v>
      </c>
      <c r="BO61" s="8">
        <v>1.7100000000001003</v>
      </c>
      <c r="BP61" s="10" t="s">
        <v>46</v>
      </c>
    </row>
    <row r="62" spans="1:68" ht="14.5" customHeight="1" x14ac:dyDescent="0.35">
      <c r="A62" s="5">
        <v>61</v>
      </c>
      <c r="B62" s="6">
        <v>45358</v>
      </c>
      <c r="C62" s="5" t="s">
        <v>44</v>
      </c>
      <c r="D62" s="5" t="s">
        <v>45</v>
      </c>
      <c r="E62" s="5" t="s">
        <v>46</v>
      </c>
      <c r="F62" s="5" t="s">
        <v>67</v>
      </c>
      <c r="G62" s="7">
        <v>0.4375</v>
      </c>
      <c r="H62" s="7">
        <v>0.77083333333333337</v>
      </c>
      <c r="I62" s="5">
        <v>1.2755000000000001</v>
      </c>
      <c r="J62" s="5">
        <v>1.2805</v>
      </c>
      <c r="K62" s="8">
        <v>-2.5</v>
      </c>
      <c r="L62" s="8">
        <v>5</v>
      </c>
      <c r="M62" s="5">
        <f>IF(F62="Sell", INT(I62) + (ROUND(MOD(I62,1) + 0.0025, 4)), IF(F62="Buy", INT(I62) + (ROUND(MOD(I62,1) - 0.0025, 4)), "Invalid Direction"))</f>
        <v>1.2730000000000001</v>
      </c>
      <c r="N62" s="5">
        <f>IF(F62="Sell", INT(I62) + (ROUND(MOD(I62,1) - 0.005, 4)), IF(F62="Buy", INT(I62) + (ROUND(MOD(I62,1) + 0.005, 4)), "Invalid Direction"))</f>
        <v>1.2805</v>
      </c>
      <c r="O62" s="5">
        <v>16</v>
      </c>
      <c r="P62" s="14">
        <f>ABS(MOD(I62,1) - MOD(1.28108,1)) * 10000 *0.1</f>
        <v>5.5799999999999192</v>
      </c>
      <c r="Q62" s="8">
        <f>(MOD(I62,1) - MOD(1.2758,1)) * 10000 *0.1</f>
        <v>-0.29999999999996696</v>
      </c>
      <c r="R62" s="5">
        <v>6</v>
      </c>
      <c r="S62" s="5" t="s">
        <v>48</v>
      </c>
      <c r="T62" s="8">
        <v>5</v>
      </c>
      <c r="U62" s="5">
        <v>3</v>
      </c>
      <c r="V62" s="5" t="s">
        <v>49</v>
      </c>
      <c r="W62" s="5" t="s">
        <v>215</v>
      </c>
      <c r="X62" s="5">
        <v>3</v>
      </c>
      <c r="Y62" s="5" t="s">
        <v>49</v>
      </c>
      <c r="Z62" s="5" t="s">
        <v>216</v>
      </c>
      <c r="AA62" s="6">
        <v>45359</v>
      </c>
      <c r="AB62" s="5" t="s">
        <v>52</v>
      </c>
      <c r="AC62" s="5" t="s">
        <v>45</v>
      </c>
      <c r="AD62" s="8" t="s">
        <v>46</v>
      </c>
      <c r="AE62" s="8" t="s">
        <v>46</v>
      </c>
      <c r="AF62" s="8" t="s">
        <v>46</v>
      </c>
      <c r="AG62" s="5">
        <v>0</v>
      </c>
      <c r="AH62" s="8">
        <v>0</v>
      </c>
      <c r="AI62" s="8">
        <v>0</v>
      </c>
      <c r="AJ62" s="8">
        <v>0</v>
      </c>
      <c r="AK62" s="10" t="s">
        <v>46</v>
      </c>
      <c r="AL62" s="5"/>
      <c r="AM62" s="5">
        <v>61</v>
      </c>
      <c r="AN62" s="6">
        <v>45358</v>
      </c>
      <c r="AO62" s="5" t="s">
        <v>53</v>
      </c>
      <c r="AP62" s="5" t="s">
        <v>45</v>
      </c>
      <c r="AQ62" s="5" t="s">
        <v>46</v>
      </c>
      <c r="AR62" s="5" t="s">
        <v>67</v>
      </c>
      <c r="AS62" s="7">
        <v>0.4375</v>
      </c>
      <c r="AT62" s="7">
        <v>0.77083333333333337</v>
      </c>
      <c r="AU62" s="5">
        <v>1.2755000000000001</v>
      </c>
      <c r="AV62" s="5">
        <v>1.2805</v>
      </c>
      <c r="AW62" s="5">
        <f>IF(AR62="Sell", INT(AU62) + (ROUND(MOD(AU62,1) + 0.002106, 4)), IF(AR62="Buy", INT(AU62) + (ROUND(MOD(AU62,1) - 0.0022, 4)), "Invalid Direction"))</f>
        <v>1.2732999999999999</v>
      </c>
      <c r="AX62" s="5">
        <v>1.2805</v>
      </c>
      <c r="AY62" s="5" t="s">
        <v>217</v>
      </c>
      <c r="AZ62" s="8">
        <v>-2.2000000000000002</v>
      </c>
      <c r="BA62" s="5">
        <v>16</v>
      </c>
      <c r="BB62" s="8">
        <v>5.5799999999999192</v>
      </c>
      <c r="BC62" s="8">
        <v>-0.29999999999996696</v>
      </c>
      <c r="BD62" s="5">
        <v>6</v>
      </c>
      <c r="BE62" s="5" t="s">
        <v>48</v>
      </c>
      <c r="BF62" s="8">
        <v>5</v>
      </c>
      <c r="BG62" s="6">
        <v>45359</v>
      </c>
      <c r="BH62" s="5" t="s">
        <v>52</v>
      </c>
      <c r="BI62" s="5" t="s">
        <v>45</v>
      </c>
      <c r="BJ62" s="8" t="s">
        <v>46</v>
      </c>
      <c r="BK62" s="8" t="s">
        <v>46</v>
      </c>
      <c r="BL62" s="8" t="s">
        <v>46</v>
      </c>
      <c r="BM62" s="8">
        <v>0</v>
      </c>
      <c r="BN62" s="8">
        <v>0</v>
      </c>
      <c r="BO62" s="8">
        <v>0</v>
      </c>
      <c r="BP62" s="10" t="s">
        <v>46</v>
      </c>
    </row>
    <row r="63" spans="1:68" ht="14.5" customHeight="1" x14ac:dyDescent="0.35">
      <c r="A63" s="5">
        <v>62</v>
      </c>
      <c r="B63" s="6">
        <v>45357</v>
      </c>
      <c r="C63" s="5" t="s">
        <v>44</v>
      </c>
      <c r="D63" s="5" t="s">
        <v>45</v>
      </c>
      <c r="E63" s="5" t="s">
        <v>46</v>
      </c>
      <c r="F63" s="5" t="s">
        <v>67</v>
      </c>
      <c r="G63" s="7">
        <v>0.64583333333333337</v>
      </c>
      <c r="H63" s="7">
        <v>0.97916666666666663</v>
      </c>
      <c r="I63" s="5">
        <v>1.2732000000000001</v>
      </c>
      <c r="J63" s="5">
        <v>1.2733399999999999</v>
      </c>
      <c r="K63" s="8">
        <v>-2.5</v>
      </c>
      <c r="L63" s="8">
        <v>5</v>
      </c>
      <c r="M63" s="5">
        <f>IF(F63="Sell", INT(I63) + (ROUND(MOD(I63,1) + 0.0025, 4)), IF(F63="Buy", INT(I63) + (ROUND(MOD(I63,1) - 0.0025, 4)), "Invalid Direction"))</f>
        <v>1.2706999999999999</v>
      </c>
      <c r="N63" s="5">
        <f>IF(F63="Sell", INT(I63) + (ROUND(MOD(I63,1) - 0.005, 4)), IF(F63="Buy", INT(I63) + (ROUND(MOD(I63,1) + 0.005, 4)), "Invalid Direction"))</f>
        <v>1.2782</v>
      </c>
      <c r="O63" s="5">
        <v>16</v>
      </c>
      <c r="P63" s="14">
        <f>ABS(MOD(I63,1) - MOD(1.27613,1)) * 10000 *0.1</f>
        <v>2.9299999999998771</v>
      </c>
      <c r="Q63" s="8">
        <v>-1.51</v>
      </c>
      <c r="R63" s="5">
        <v>5</v>
      </c>
      <c r="S63" s="5" t="s">
        <v>55</v>
      </c>
      <c r="T63" s="8">
        <v>0.13999999999980695</v>
      </c>
      <c r="U63" s="5">
        <v>5</v>
      </c>
      <c r="V63" s="5" t="s">
        <v>49</v>
      </c>
      <c r="W63" s="5" t="s">
        <v>218</v>
      </c>
      <c r="X63" s="5">
        <v>3</v>
      </c>
      <c r="Y63" s="5" t="s">
        <v>49</v>
      </c>
      <c r="Z63" s="5" t="s">
        <v>215</v>
      </c>
      <c r="AA63" s="6">
        <v>45358</v>
      </c>
      <c r="AB63" s="5" t="s">
        <v>45</v>
      </c>
      <c r="AC63" s="5" t="s">
        <v>45</v>
      </c>
      <c r="AD63" s="5" t="s">
        <v>52</v>
      </c>
      <c r="AE63" s="5" t="s">
        <v>45</v>
      </c>
      <c r="AF63" s="8" t="s">
        <v>46</v>
      </c>
      <c r="AG63" s="5">
        <v>9</v>
      </c>
      <c r="AH63" s="8">
        <v>8.0599999999999579</v>
      </c>
      <c r="AI63" s="8">
        <v>-0.93000000000009697</v>
      </c>
      <c r="AJ63" s="8">
        <v>5</v>
      </c>
      <c r="AK63" s="10" t="s">
        <v>46</v>
      </c>
      <c r="AL63" s="5"/>
      <c r="AM63" s="5">
        <v>62</v>
      </c>
      <c r="AN63" s="6">
        <v>45357</v>
      </c>
      <c r="AO63" s="5" t="s">
        <v>53</v>
      </c>
      <c r="AP63" s="5" t="s">
        <v>45</v>
      </c>
      <c r="AQ63" s="5" t="s">
        <v>46</v>
      </c>
      <c r="AR63" s="5" t="s">
        <v>67</v>
      </c>
      <c r="AS63" s="7">
        <v>0.64583333333333337</v>
      </c>
      <c r="AT63" s="7">
        <v>0.97916666666666663</v>
      </c>
      <c r="AU63" s="5">
        <v>1.2732000000000001</v>
      </c>
      <c r="AV63" s="5">
        <v>1.2733399999999999</v>
      </c>
      <c r="AW63" s="5">
        <f>IF(AR63="Sell", INT(AU63) + (ROUND(MOD(AU63,1) + 0.002106, 4)), IF(AR63="Buy", INT(AU63) + (ROUND(MOD(AU63,1) - 0.0022, 4)), "Invalid Direction"))</f>
        <v>1.2709999999999999</v>
      </c>
      <c r="AX63" s="5">
        <v>1.2782</v>
      </c>
      <c r="AY63" s="5" t="s">
        <v>219</v>
      </c>
      <c r="AZ63" s="8">
        <v>-2.2000000000000002</v>
      </c>
      <c r="BA63" s="5">
        <v>16</v>
      </c>
      <c r="BB63" s="14">
        <f>ABS(MOD(AU63,1) - MOD(1.27613,1)) * 10000 *0.1</f>
        <v>2.9299999999998771</v>
      </c>
      <c r="BC63" s="8">
        <v>-1.5100000000001199</v>
      </c>
      <c r="BD63" s="5">
        <v>5</v>
      </c>
      <c r="BE63" s="5" t="s">
        <v>55</v>
      </c>
      <c r="BF63" s="8">
        <v>0.13999999999980695</v>
      </c>
      <c r="BG63" s="6">
        <v>45358</v>
      </c>
      <c r="BH63" s="5" t="s">
        <v>45</v>
      </c>
      <c r="BI63" s="5" t="s">
        <v>45</v>
      </c>
      <c r="BJ63" s="5" t="s">
        <v>52</v>
      </c>
      <c r="BK63" s="5" t="s">
        <v>45</v>
      </c>
      <c r="BL63" s="8" t="s">
        <v>46</v>
      </c>
      <c r="BM63" s="8">
        <v>8.0599999999999579</v>
      </c>
      <c r="BN63" s="8">
        <v>-0.93000000000009697</v>
      </c>
      <c r="BO63" s="8">
        <v>5</v>
      </c>
      <c r="BP63" s="10" t="s">
        <v>46</v>
      </c>
    </row>
    <row r="64" spans="1:68" ht="14.5" customHeight="1" x14ac:dyDescent="0.35">
      <c r="A64" s="5">
        <v>63</v>
      </c>
      <c r="B64" s="6">
        <v>45356</v>
      </c>
      <c r="C64" s="5" t="s">
        <v>44</v>
      </c>
      <c r="D64" s="5" t="s">
        <v>45</v>
      </c>
      <c r="E64" s="5" t="s">
        <v>46</v>
      </c>
      <c r="F64" s="5" t="s">
        <v>67</v>
      </c>
      <c r="G64" s="7">
        <v>0.58333333333333337</v>
      </c>
      <c r="H64" s="7">
        <v>0.97916666666666663</v>
      </c>
      <c r="I64" s="5">
        <v>1.27</v>
      </c>
      <c r="J64" s="5">
        <v>1.2703800000000001</v>
      </c>
      <c r="K64" s="8">
        <v>-2.5</v>
      </c>
      <c r="L64" s="8">
        <v>5</v>
      </c>
      <c r="M64" s="5">
        <f>IF(F64="Sell", INT(I64) + (ROUND(MOD(I64,1) + 0.0025, 4)), IF(F64="Buy", INT(I64) + (ROUND(MOD(I64,1) - 0.0025, 4)), "Invalid Direction"))</f>
        <v>1.2675000000000001</v>
      </c>
      <c r="N64" s="5">
        <f>IF(F64="Sell", INT(I64) + (ROUND(MOD(I64,1) - 0.005, 4)), IF(F64="Buy", INT(I64) + (ROUND(MOD(I64,1) + 0.005, 4)), "Invalid Direction"))</f>
        <v>1.2749999999999999</v>
      </c>
      <c r="O64" s="5">
        <v>19</v>
      </c>
      <c r="P64" s="14">
        <f>ABS(MOD(I64,1) - MOD(1.27344,1)) * 10000 *0.1</f>
        <v>3.4399999999998876</v>
      </c>
      <c r="Q64" s="8">
        <v>-0.45</v>
      </c>
      <c r="R64" s="5">
        <v>6</v>
      </c>
      <c r="S64" s="5" t="s">
        <v>55</v>
      </c>
      <c r="T64" s="8">
        <v>0.38000000000004697</v>
      </c>
      <c r="U64" s="5">
        <v>2</v>
      </c>
      <c r="V64" s="5" t="s">
        <v>49</v>
      </c>
      <c r="W64" s="5" t="s">
        <v>220</v>
      </c>
      <c r="X64" s="5">
        <v>5</v>
      </c>
      <c r="Y64" s="5" t="s">
        <v>49</v>
      </c>
      <c r="Z64" s="5" t="s">
        <v>218</v>
      </c>
      <c r="AA64" s="6">
        <v>45357</v>
      </c>
      <c r="AB64" s="5" t="s">
        <v>45</v>
      </c>
      <c r="AC64" s="5" t="s">
        <v>45</v>
      </c>
      <c r="AD64" s="5" t="s">
        <v>52</v>
      </c>
      <c r="AE64" s="5" t="s">
        <v>45</v>
      </c>
      <c r="AF64" s="8" t="s">
        <v>46</v>
      </c>
      <c r="AG64" s="5">
        <v>6</v>
      </c>
      <c r="AH64" s="8">
        <v>6.1299999999999688</v>
      </c>
      <c r="AI64" s="8">
        <v>-1.05</v>
      </c>
      <c r="AJ64" s="8">
        <v>5</v>
      </c>
      <c r="AK64" s="10" t="s">
        <v>46</v>
      </c>
      <c r="AL64" s="5"/>
      <c r="AM64" s="5">
        <v>63</v>
      </c>
      <c r="AN64" s="6">
        <v>45356</v>
      </c>
      <c r="AO64" s="5" t="s">
        <v>53</v>
      </c>
      <c r="AP64" s="5" t="s">
        <v>45</v>
      </c>
      <c r="AQ64" s="5" t="s">
        <v>46</v>
      </c>
      <c r="AR64" s="5" t="s">
        <v>67</v>
      </c>
      <c r="AS64" s="9">
        <v>0.58333333333333337</v>
      </c>
      <c r="AT64" s="9">
        <v>0.97916666666666663</v>
      </c>
      <c r="AU64" s="5">
        <v>1.27</v>
      </c>
      <c r="AV64" s="5">
        <v>1.2703800000000001</v>
      </c>
      <c r="AW64" s="5">
        <f>IF(AR64="Sell", INT(AU64) + (ROUND(MOD(AU64,1) + 0.002106, 4)), IF(AR64="Buy", INT(AU64) + (ROUND(MOD(AU64,1) - 0.00221, 4)), "Invalid Direction"))</f>
        <v>1.2678</v>
      </c>
      <c r="AX64" s="5">
        <v>1.2749999999999999</v>
      </c>
      <c r="AY64" s="5" t="s">
        <v>221</v>
      </c>
      <c r="AZ64" s="8">
        <v>-2.21</v>
      </c>
      <c r="BA64" s="5">
        <v>19</v>
      </c>
      <c r="BB64" s="8">
        <v>3.4399999999998876</v>
      </c>
      <c r="BC64" s="8">
        <v>-0.45</v>
      </c>
      <c r="BD64" s="5">
        <v>6</v>
      </c>
      <c r="BE64" s="5" t="s">
        <v>55</v>
      </c>
      <c r="BF64" s="8">
        <v>0.38000000000004697</v>
      </c>
      <c r="BG64" s="6">
        <v>45357</v>
      </c>
      <c r="BH64" s="5" t="s">
        <v>45</v>
      </c>
      <c r="BI64" s="5" t="s">
        <v>45</v>
      </c>
      <c r="BJ64" s="5" t="s">
        <v>52</v>
      </c>
      <c r="BK64" s="5" t="s">
        <v>45</v>
      </c>
      <c r="BL64" s="8" t="s">
        <v>46</v>
      </c>
      <c r="BM64" s="8">
        <v>6.1299999999999688</v>
      </c>
      <c r="BN64" s="8">
        <v>-1.05</v>
      </c>
      <c r="BO64" s="8">
        <v>5</v>
      </c>
      <c r="BP64" s="10" t="s">
        <v>46</v>
      </c>
    </row>
    <row r="65" spans="1:68" ht="14.5" customHeight="1" x14ac:dyDescent="0.35">
      <c r="A65" s="5">
        <v>64</v>
      </c>
      <c r="B65" s="6">
        <v>45355</v>
      </c>
      <c r="C65" s="5" t="s">
        <v>44</v>
      </c>
      <c r="D65" s="5" t="s">
        <v>45</v>
      </c>
      <c r="E65" s="5" t="s">
        <v>46</v>
      </c>
      <c r="F65" s="5" t="s">
        <v>67</v>
      </c>
      <c r="G65" s="7">
        <v>0.64583333333333337</v>
      </c>
      <c r="H65" s="7">
        <v>0.97916666666666663</v>
      </c>
      <c r="I65" s="5">
        <v>1.2698</v>
      </c>
      <c r="J65" s="5">
        <v>1.2688699999999999</v>
      </c>
      <c r="K65" s="8">
        <v>-2.5</v>
      </c>
      <c r="L65" s="8">
        <v>5</v>
      </c>
      <c r="M65" s="5">
        <f>IF(F65="Sell", INT(I65) + (ROUND(MOD(I65,1) + 0.0025, 4)), IF(F65="Buy", INT(I65) + (ROUND(MOD(I65,1) - 0.0025, 4)), "Invalid Direction"))</f>
        <v>1.2673000000000001</v>
      </c>
      <c r="N65" s="5">
        <f>IF(F65="Sell", INT(I65) + (ROUND(MOD(I65,1) - 0.005, 4)), IF(F65="Buy", INT(I65) + (ROUND(MOD(I65,1) + 0.005, 4)), "Invalid Direction"))</f>
        <v>1.2747999999999999</v>
      </c>
      <c r="O65" s="5">
        <v>16</v>
      </c>
      <c r="P65" s="14">
        <f>ABS(MOD(I65,1) - MOD(1.27059,1)) * 10000 *0.1</f>
        <v>0.79000000000006843</v>
      </c>
      <c r="Q65" s="8">
        <v>-1.39</v>
      </c>
      <c r="R65" s="5">
        <v>4</v>
      </c>
      <c r="S65" s="5" t="s">
        <v>55</v>
      </c>
      <c r="T65" s="8">
        <v>-0.93</v>
      </c>
      <c r="U65" s="5">
        <v>2</v>
      </c>
      <c r="V65" s="5" t="s">
        <v>56</v>
      </c>
      <c r="W65" s="5" t="s">
        <v>222</v>
      </c>
      <c r="X65" s="5">
        <v>2</v>
      </c>
      <c r="Y65" s="5" t="s">
        <v>49</v>
      </c>
      <c r="Z65" s="5" t="s">
        <v>220</v>
      </c>
      <c r="AA65" s="6">
        <v>45356</v>
      </c>
      <c r="AB65" s="5" t="s">
        <v>45</v>
      </c>
      <c r="AC65" s="5" t="s">
        <v>45</v>
      </c>
      <c r="AD65" s="5" t="s">
        <v>45</v>
      </c>
      <c r="AE65" s="5" t="s">
        <v>52</v>
      </c>
      <c r="AF65" s="5" t="s">
        <v>45</v>
      </c>
      <c r="AG65" s="5">
        <v>5</v>
      </c>
      <c r="AH65" s="8">
        <v>3.6399999999998656</v>
      </c>
      <c r="AI65" s="8">
        <v>-2.7200000000000557</v>
      </c>
      <c r="AJ65" s="8">
        <v>-2.5</v>
      </c>
      <c r="AK65" s="10" t="s">
        <v>46</v>
      </c>
      <c r="AL65" s="5"/>
      <c r="AM65" s="5">
        <v>64</v>
      </c>
      <c r="AN65" s="6">
        <v>45355</v>
      </c>
      <c r="AO65" s="5" t="s">
        <v>53</v>
      </c>
      <c r="AP65" s="5" t="s">
        <v>45</v>
      </c>
      <c r="AQ65" s="5" t="s">
        <v>46</v>
      </c>
      <c r="AR65" s="5" t="s">
        <v>67</v>
      </c>
      <c r="AS65" s="7">
        <v>0.64583333333333337</v>
      </c>
      <c r="AT65" s="7">
        <v>0.97916666666666663</v>
      </c>
      <c r="AU65" s="5">
        <v>1.2698</v>
      </c>
      <c r="AV65" s="5">
        <v>1.2688699999999999</v>
      </c>
      <c r="AW65" s="5">
        <f>IF(AR65="Sell", INT(AU65) + (ROUND(MOD(AU65,1) + 0.002106, 4)), IF(AR65="Buy", INT(AU65) + (ROUND(MOD(AU65,1) - 0.00226, 4)), "Invalid Direction"))</f>
        <v>1.2675000000000001</v>
      </c>
      <c r="AX65" s="5">
        <v>1.2747999999999999</v>
      </c>
      <c r="AY65" s="5" t="s">
        <v>223</v>
      </c>
      <c r="AZ65" s="8">
        <v>-2.2599999999999998</v>
      </c>
      <c r="BA65" s="5">
        <v>16</v>
      </c>
      <c r="BB65" s="8">
        <v>0.79000000000006843</v>
      </c>
      <c r="BC65" s="8">
        <v>-1.39</v>
      </c>
      <c r="BD65" s="5">
        <v>4</v>
      </c>
      <c r="BE65" s="5" t="s">
        <v>55</v>
      </c>
      <c r="BF65" s="8">
        <v>-0.93</v>
      </c>
      <c r="BG65" s="6">
        <v>45356</v>
      </c>
      <c r="BH65" s="5" t="s">
        <v>45</v>
      </c>
      <c r="BI65" s="5" t="s">
        <v>45</v>
      </c>
      <c r="BJ65" s="5" t="s">
        <v>45</v>
      </c>
      <c r="BK65" s="5" t="s">
        <v>52</v>
      </c>
      <c r="BL65" s="5" t="s">
        <v>45</v>
      </c>
      <c r="BM65" s="8">
        <v>3.6399999999998656</v>
      </c>
      <c r="BN65" s="8">
        <v>-2.7200000000000557</v>
      </c>
      <c r="BO65" s="8">
        <v>-2.2599999999999998</v>
      </c>
      <c r="BP65" s="10" t="s">
        <v>46</v>
      </c>
    </row>
    <row r="66" spans="1:68" ht="14.5" customHeight="1" x14ac:dyDescent="0.35">
      <c r="A66" s="5">
        <v>65</v>
      </c>
      <c r="B66" s="6">
        <v>45352</v>
      </c>
      <c r="C66" s="5" t="s">
        <v>44</v>
      </c>
      <c r="D66" s="5" t="s">
        <v>45</v>
      </c>
      <c r="E66" s="5" t="s">
        <v>46</v>
      </c>
      <c r="F66" s="5" t="s">
        <v>47</v>
      </c>
      <c r="G66" s="7">
        <v>0.60416666666666663</v>
      </c>
      <c r="H66" s="7">
        <v>0.625</v>
      </c>
      <c r="I66" s="5">
        <v>1.2614000000000001</v>
      </c>
      <c r="J66" s="5">
        <v>1.2639</v>
      </c>
      <c r="K66" s="8">
        <v>-2.5</v>
      </c>
      <c r="L66" s="8">
        <v>5</v>
      </c>
      <c r="M66" s="5">
        <f>IF(F66="Sell", INT(I66) + (ROUND(MOD(I66,1) + 0.0025, 4)), IF(F66="Buy", INT(I66) + (ROUND(MOD(I66,1) - 0.0025, 4)), "Invalid Direction"))</f>
        <v>1.2639</v>
      </c>
      <c r="N66" s="5">
        <f>IF(F66="Sell", INT(I66) + (ROUND(MOD(I66,1) - 0.005, 4)), IF(F66="Buy", INT(I66) + (ROUND(MOD(I66,1) + 0.005, 4)), "Invalid Direction"))</f>
        <v>1.2564</v>
      </c>
      <c r="O66" s="5">
        <v>1</v>
      </c>
      <c r="P66" s="8">
        <v>1.4700000000000799</v>
      </c>
      <c r="Q66" s="8">
        <v>-4.9500000000000099</v>
      </c>
      <c r="R66" s="5">
        <v>1</v>
      </c>
      <c r="S66" s="5" t="s">
        <v>68</v>
      </c>
      <c r="T66" s="8">
        <v>-2.5</v>
      </c>
      <c r="U66" s="5">
        <v>3</v>
      </c>
      <c r="V66" s="5" t="s">
        <v>49</v>
      </c>
      <c r="W66" s="5" t="s">
        <v>224</v>
      </c>
      <c r="X66" s="5">
        <v>2</v>
      </c>
      <c r="Y66" s="5" t="s">
        <v>56</v>
      </c>
      <c r="Z66" s="5" t="s">
        <v>222</v>
      </c>
      <c r="AA66" s="6">
        <v>45355</v>
      </c>
      <c r="AB66" s="5" t="s">
        <v>52</v>
      </c>
      <c r="AC66" s="5" t="s">
        <v>52</v>
      </c>
      <c r="AD66" s="8" t="s">
        <v>46</v>
      </c>
      <c r="AE66" s="8" t="s">
        <v>46</v>
      </c>
      <c r="AF66" s="8" t="s">
        <v>46</v>
      </c>
      <c r="AG66" s="5">
        <v>0</v>
      </c>
      <c r="AH66" s="8">
        <v>0</v>
      </c>
      <c r="AI66" s="8">
        <v>0</v>
      </c>
      <c r="AJ66" s="8">
        <v>0</v>
      </c>
      <c r="AK66" s="10" t="s">
        <v>46</v>
      </c>
      <c r="AL66" s="5"/>
      <c r="AM66" s="5">
        <v>65</v>
      </c>
      <c r="AN66" s="6">
        <v>45352</v>
      </c>
      <c r="AO66" s="5" t="s">
        <v>53</v>
      </c>
      <c r="AP66" s="5" t="s">
        <v>45</v>
      </c>
      <c r="AQ66" s="5" t="s">
        <v>46</v>
      </c>
      <c r="AR66" s="5" t="s">
        <v>47</v>
      </c>
      <c r="AS66" s="7">
        <v>0.60416666666666663</v>
      </c>
      <c r="AT66" s="7">
        <v>0.625</v>
      </c>
      <c r="AU66" s="5">
        <v>1.2614000000000001</v>
      </c>
      <c r="AV66" s="5">
        <v>1.2637</v>
      </c>
      <c r="AW66" s="5">
        <f>IF(AR66="Sell", INT(AU66) + (ROUND(MOD(AU66,1) + 0.00231, 4)), IF(AR66="Buy", INT(AU66) + (ROUND(MOD(AU66,1) - 0.00226, 4)), "Invalid Direction"))</f>
        <v>1.2637</v>
      </c>
      <c r="AX66" s="5">
        <v>1.2564</v>
      </c>
      <c r="AY66" s="5" t="s">
        <v>225</v>
      </c>
      <c r="AZ66" s="8">
        <v>-2.31</v>
      </c>
      <c r="BA66" s="5">
        <v>1</v>
      </c>
      <c r="BB66" s="8">
        <v>1.4700000000000799</v>
      </c>
      <c r="BC66" s="8">
        <v>-4.9500000000000099</v>
      </c>
      <c r="BD66" s="5">
        <v>1</v>
      </c>
      <c r="BE66" s="5" t="s">
        <v>68</v>
      </c>
      <c r="BF66" s="8">
        <v>-2.31</v>
      </c>
      <c r="BG66" s="6">
        <v>45355</v>
      </c>
      <c r="BH66" s="5" t="s">
        <v>52</v>
      </c>
      <c r="BI66" s="5" t="s">
        <v>52</v>
      </c>
      <c r="BJ66" s="8" t="s">
        <v>46</v>
      </c>
      <c r="BK66" s="8" t="s">
        <v>46</v>
      </c>
      <c r="BL66" s="8" t="s">
        <v>46</v>
      </c>
      <c r="BM66" s="8">
        <v>0</v>
      </c>
      <c r="BN66" s="8">
        <v>0</v>
      </c>
      <c r="BO66" s="8">
        <v>0</v>
      </c>
      <c r="BP66" s="10" t="s">
        <v>46</v>
      </c>
    </row>
    <row r="67" spans="1:68" ht="14.5" customHeight="1" x14ac:dyDescent="0.35">
      <c r="A67" s="5">
        <v>66</v>
      </c>
      <c r="B67" s="6">
        <v>45351</v>
      </c>
      <c r="C67" s="5" t="s">
        <v>44</v>
      </c>
      <c r="D67" s="5" t="s">
        <v>45</v>
      </c>
      <c r="E67" s="5" t="s">
        <v>46</v>
      </c>
      <c r="F67" s="5" t="s">
        <v>47</v>
      </c>
      <c r="G67" s="7">
        <v>0.72916666666666663</v>
      </c>
      <c r="H67" s="7">
        <v>0.97916666666666663</v>
      </c>
      <c r="I67" s="5">
        <v>1.2615000000000001</v>
      </c>
      <c r="J67" s="5">
        <v>1.26248</v>
      </c>
      <c r="K67" s="8">
        <v>-2.5</v>
      </c>
      <c r="L67" s="8">
        <v>5</v>
      </c>
      <c r="M67" s="5">
        <f>IF(F67="Sell", INT(I67) + (ROUND(MOD(I67,1) + 0.0025, 4)), IF(F67="Buy", INT(I67) + (ROUND(MOD(I67,1) - 0.0025, 4)), "Invalid Direction"))</f>
        <v>1.264</v>
      </c>
      <c r="N67" s="5">
        <f>IF(F67="Sell", INT(I67) + (ROUND(MOD(I67,1) - 0.005, 4)), IF(F67="Buy", INT(I67) + (ROUND(MOD(I67,1) + 0.005, 4)), "Invalid Direction"))</f>
        <v>1.2565</v>
      </c>
      <c r="O67" s="5">
        <v>11</v>
      </c>
      <c r="P67" s="8">
        <v>0.28000000000005798</v>
      </c>
      <c r="Q67" s="8">
        <v>-1.20999999999993</v>
      </c>
      <c r="R67" s="5">
        <v>4</v>
      </c>
      <c r="S67" s="5" t="s">
        <v>55</v>
      </c>
      <c r="T67" s="8">
        <v>-0.97999999999998089</v>
      </c>
      <c r="U67" s="5">
        <v>4</v>
      </c>
      <c r="V67" s="5" t="s">
        <v>49</v>
      </c>
      <c r="W67" s="5" t="s">
        <v>226</v>
      </c>
      <c r="X67" s="5">
        <v>3</v>
      </c>
      <c r="Y67" s="5" t="s">
        <v>49</v>
      </c>
      <c r="Z67" s="5" t="s">
        <v>224</v>
      </c>
      <c r="AA67" s="6">
        <v>45352</v>
      </c>
      <c r="AB67" s="5" t="s">
        <v>45</v>
      </c>
      <c r="AC67" s="5" t="s">
        <v>52</v>
      </c>
      <c r="AD67" s="5" t="s">
        <v>45</v>
      </c>
      <c r="AE67" s="5" t="s">
        <v>52</v>
      </c>
      <c r="AF67" s="5" t="s">
        <v>52</v>
      </c>
      <c r="AG67" s="5">
        <v>2</v>
      </c>
      <c r="AH67" s="8">
        <v>0</v>
      </c>
      <c r="AI67" s="8">
        <v>-4.8500000000000218</v>
      </c>
      <c r="AJ67" s="8">
        <v>-2.5</v>
      </c>
      <c r="AK67" s="10" t="s">
        <v>46</v>
      </c>
      <c r="AL67" s="5"/>
      <c r="AM67" s="5">
        <v>66</v>
      </c>
      <c r="AN67" s="6">
        <v>45351</v>
      </c>
      <c r="AO67" s="5" t="s">
        <v>53</v>
      </c>
      <c r="AP67" s="5" t="s">
        <v>45</v>
      </c>
      <c r="AQ67" s="5" t="s">
        <v>46</v>
      </c>
      <c r="AR67" s="5" t="s">
        <v>47</v>
      </c>
      <c r="AS67" s="7">
        <v>0.72916666666666663</v>
      </c>
      <c r="AT67" s="7">
        <v>0.97916666666666663</v>
      </c>
      <c r="AU67" s="5">
        <v>1.2615000000000001</v>
      </c>
      <c r="AV67" s="5">
        <v>1.26248</v>
      </c>
      <c r="AW67" s="5">
        <f>IF(AR67="Sell", INT(AU67) + (ROUND(MOD(AU67,1) + 0.00235, 4)), IF(AR67="Buy", INT(AU67) + (ROUND(MOD(AU67,1) - 0.00226, 4)), "Invalid Direction"))</f>
        <v>1.2639</v>
      </c>
      <c r="AX67" s="5">
        <v>1.2565</v>
      </c>
      <c r="AY67" s="5" t="s">
        <v>227</v>
      </c>
      <c r="AZ67" s="8">
        <v>-2.35</v>
      </c>
      <c r="BA67" s="5">
        <v>11</v>
      </c>
      <c r="BB67" s="8">
        <v>0.28000000000005798</v>
      </c>
      <c r="BC67" s="8">
        <v>-1.20999999999993</v>
      </c>
      <c r="BD67" s="5">
        <v>4</v>
      </c>
      <c r="BE67" s="5" t="s">
        <v>55</v>
      </c>
      <c r="BF67" s="8">
        <v>-0.97999999999998089</v>
      </c>
      <c r="BG67" s="6">
        <v>45352</v>
      </c>
      <c r="BH67" s="5" t="s">
        <v>45</v>
      </c>
      <c r="BI67" s="5" t="s">
        <v>52</v>
      </c>
      <c r="BJ67" s="5" t="s">
        <v>45</v>
      </c>
      <c r="BK67" s="5" t="s">
        <v>52</v>
      </c>
      <c r="BL67" s="5" t="s">
        <v>52</v>
      </c>
      <c r="BM67" s="8">
        <v>0</v>
      </c>
      <c r="BN67" s="8">
        <v>-4.8500000000000218</v>
      </c>
      <c r="BO67" s="8">
        <v>-2.35</v>
      </c>
      <c r="BP67" s="10" t="s">
        <v>46</v>
      </c>
    </row>
    <row r="68" spans="1:68" ht="14.5" customHeight="1" x14ac:dyDescent="0.35">
      <c r="A68" s="5">
        <v>67</v>
      </c>
      <c r="B68" s="6">
        <v>45345</v>
      </c>
      <c r="C68" s="5" t="s">
        <v>44</v>
      </c>
      <c r="D68" s="5" t="s">
        <v>45</v>
      </c>
      <c r="E68" s="5" t="s">
        <v>46</v>
      </c>
      <c r="F68" s="5" t="s">
        <v>67</v>
      </c>
      <c r="G68" s="7">
        <v>0.52083333333333337</v>
      </c>
      <c r="H68" s="7">
        <v>0.64583333333333337</v>
      </c>
      <c r="I68" s="5">
        <v>1.2701</v>
      </c>
      <c r="J68" s="5">
        <v>1.2676000000000001</v>
      </c>
      <c r="K68" s="8">
        <v>-2.5</v>
      </c>
      <c r="L68" s="8">
        <v>5</v>
      </c>
      <c r="M68" s="5">
        <f>IF(F68="Sell", INT(I68) + (ROUND(MOD(I68,1) + 0.0025, 4)), IF(F68="Buy", INT(I68) + (ROUND(MOD(I68,1) - 0.0025, 4)), "Invalid Direction"))</f>
        <v>1.2676000000000001</v>
      </c>
      <c r="N68" s="5">
        <f>IF(F68="Sell", INT(I68) + (ROUND(MOD(I68,1) - 0.005, 4)), IF(F68="Buy", INT(I68) + (ROUND(MOD(I68,1) + 0.005, 4)), "Invalid Direction"))</f>
        <v>1.2751000000000001</v>
      </c>
      <c r="O68" s="5">
        <v>6</v>
      </c>
      <c r="P68" s="8">
        <v>1.00000000000655E-2</v>
      </c>
      <c r="Q68" s="8">
        <v>-4.809999999999981</v>
      </c>
      <c r="R68" s="5">
        <v>0</v>
      </c>
      <c r="S68" s="5" t="s">
        <v>68</v>
      </c>
      <c r="T68" s="8">
        <v>-2.5</v>
      </c>
      <c r="U68" s="5">
        <v>7</v>
      </c>
      <c r="V68" s="5" t="s">
        <v>56</v>
      </c>
      <c r="W68" s="5" t="s">
        <v>228</v>
      </c>
      <c r="X68" s="5">
        <v>1</v>
      </c>
      <c r="Y68" s="5" t="s">
        <v>49</v>
      </c>
      <c r="Z68" s="5" t="s">
        <v>229</v>
      </c>
      <c r="AA68" s="6">
        <v>45346</v>
      </c>
      <c r="AB68" s="5" t="s">
        <v>52</v>
      </c>
      <c r="AC68" s="5" t="s">
        <v>52</v>
      </c>
      <c r="AD68" s="8" t="s">
        <v>46</v>
      </c>
      <c r="AE68" s="8" t="s">
        <v>46</v>
      </c>
      <c r="AF68" s="8" t="s">
        <v>46</v>
      </c>
      <c r="AG68" s="5">
        <v>0</v>
      </c>
      <c r="AH68" s="8">
        <v>0</v>
      </c>
      <c r="AI68" s="8">
        <v>0</v>
      </c>
      <c r="AJ68" s="8">
        <v>0</v>
      </c>
      <c r="AK68" s="10" t="s">
        <v>46</v>
      </c>
      <c r="AL68" s="5"/>
      <c r="AM68" s="5">
        <v>67</v>
      </c>
      <c r="AN68" s="6">
        <v>45345</v>
      </c>
      <c r="AO68" s="5" t="s">
        <v>53</v>
      </c>
      <c r="AP68" s="5" t="s">
        <v>45</v>
      </c>
      <c r="AQ68" s="5" t="s">
        <v>46</v>
      </c>
      <c r="AR68" s="5" t="s">
        <v>67</v>
      </c>
      <c r="AS68" s="7">
        <v>0.52083333333333337</v>
      </c>
      <c r="AT68" s="7">
        <v>0.64583333333333337</v>
      </c>
      <c r="AU68" s="5">
        <v>1.2701</v>
      </c>
      <c r="AV68" s="5">
        <v>1.2676000000000001</v>
      </c>
      <c r="AW68" s="5">
        <f>IF(AR68="Sell", INT(AU68) + (ROUND(MOD(AU68,1) + 0.00246, 4)), IF(AR68="Buy", INT(AU68) + (ROUND(MOD(AU68,1) - 0.00226, 4)), "Invalid Direction"))</f>
        <v>1.2678</v>
      </c>
      <c r="AX68" s="5">
        <v>1.2751000000000001</v>
      </c>
      <c r="AY68" s="5" t="s">
        <v>230</v>
      </c>
      <c r="AZ68" s="8">
        <v>-2.46</v>
      </c>
      <c r="BA68" s="5">
        <v>6</v>
      </c>
      <c r="BB68" s="8">
        <v>1.00000000000655E-2</v>
      </c>
      <c r="BC68" s="8">
        <v>-4.809999999999981</v>
      </c>
      <c r="BD68" s="5">
        <v>0</v>
      </c>
      <c r="BE68" s="5" t="s">
        <v>68</v>
      </c>
      <c r="BF68" s="8">
        <v>-2.46</v>
      </c>
      <c r="BG68" s="6">
        <v>45346</v>
      </c>
      <c r="BH68" s="5" t="s">
        <v>52</v>
      </c>
      <c r="BI68" s="5" t="s">
        <v>52</v>
      </c>
      <c r="BJ68" s="8" t="s">
        <v>46</v>
      </c>
      <c r="BK68" s="8" t="s">
        <v>46</v>
      </c>
      <c r="BL68" s="8" t="s">
        <v>46</v>
      </c>
      <c r="BM68" s="8">
        <v>0</v>
      </c>
      <c r="BN68" s="8">
        <v>0</v>
      </c>
      <c r="BO68" s="8">
        <v>0</v>
      </c>
      <c r="BP68" s="10" t="s">
        <v>46</v>
      </c>
    </row>
    <row r="69" spans="1:68" ht="14.5" customHeight="1" x14ac:dyDescent="0.35">
      <c r="A69" s="5">
        <v>68</v>
      </c>
      <c r="B69" s="6">
        <v>45344</v>
      </c>
      <c r="C69" s="5" t="s">
        <v>44</v>
      </c>
      <c r="D69" s="5" t="s">
        <v>45</v>
      </c>
      <c r="E69" s="5" t="s">
        <v>46</v>
      </c>
      <c r="F69" s="5" t="s">
        <v>67</v>
      </c>
      <c r="G69" s="7">
        <v>0.29166666666666669</v>
      </c>
      <c r="H69" s="7">
        <v>0.54166666666666663</v>
      </c>
      <c r="I69" s="5">
        <v>1.2663</v>
      </c>
      <c r="J69" s="5">
        <v>1.2638</v>
      </c>
      <c r="K69" s="8">
        <v>-2.5</v>
      </c>
      <c r="L69" s="8">
        <v>5</v>
      </c>
      <c r="M69" s="5">
        <f>IF(F69="Sell", INT(I69) + (ROUND(MOD(I69,1) + 0.0025, 4)), IF(F69="Buy", INT(I69) + (ROUND(MOD(I69,1) - 0.0025, 4)), "Invalid Direction"))</f>
        <v>1.2638</v>
      </c>
      <c r="N69" s="5">
        <f>IF(F69="Sell", INT(I69) + (ROUND(MOD(I69,1) - 0.005, 4)), IF(F69="Buy", INT(I69) + (ROUND(MOD(I69,1) + 0.005, 4)), "Invalid Direction"))</f>
        <v>1.2713000000000001</v>
      </c>
      <c r="O69" s="5">
        <v>13</v>
      </c>
      <c r="P69" s="8">
        <v>4.610000000000003</v>
      </c>
      <c r="Q69" s="8">
        <v>-5.2200000000000024</v>
      </c>
      <c r="R69" s="5">
        <v>2</v>
      </c>
      <c r="S69" s="5" t="s">
        <v>68</v>
      </c>
      <c r="T69" s="8">
        <v>-2.5</v>
      </c>
      <c r="U69" s="5">
        <v>3</v>
      </c>
      <c r="V69" s="5" t="s">
        <v>49</v>
      </c>
      <c r="W69" s="5" t="s">
        <v>231</v>
      </c>
      <c r="X69" s="5">
        <v>7</v>
      </c>
      <c r="Y69" s="5" t="s">
        <v>56</v>
      </c>
      <c r="Z69" s="5" t="s">
        <v>228</v>
      </c>
      <c r="AA69" s="6">
        <v>45345</v>
      </c>
      <c r="AB69" s="5" t="s">
        <v>52</v>
      </c>
      <c r="AC69" s="5" t="s">
        <v>52</v>
      </c>
      <c r="AD69" s="8" t="s">
        <v>46</v>
      </c>
      <c r="AE69" s="8" t="s">
        <v>46</v>
      </c>
      <c r="AF69" s="8" t="s">
        <v>46</v>
      </c>
      <c r="AG69" s="5">
        <v>19</v>
      </c>
      <c r="AH69" s="8">
        <v>0</v>
      </c>
      <c r="AI69" s="8">
        <v>0</v>
      </c>
      <c r="AJ69" s="8">
        <v>0</v>
      </c>
      <c r="AK69" s="10" t="s">
        <v>46</v>
      </c>
      <c r="AL69" s="5"/>
      <c r="AM69" s="5">
        <v>68</v>
      </c>
      <c r="AN69" s="6">
        <v>45344</v>
      </c>
      <c r="AO69" s="5" t="s">
        <v>53</v>
      </c>
      <c r="AP69" s="5" t="s">
        <v>45</v>
      </c>
      <c r="AQ69" s="5" t="s">
        <v>46</v>
      </c>
      <c r="AR69" s="5" t="s">
        <v>67</v>
      </c>
      <c r="AS69" s="7">
        <v>0.29166666666666669</v>
      </c>
      <c r="AT69" s="7">
        <v>0.54166666666666663</v>
      </c>
      <c r="AU69" s="5">
        <v>1.2663</v>
      </c>
      <c r="AV69" s="5">
        <v>1.2638</v>
      </c>
      <c r="AW69" s="5">
        <f>IF(AR69="Sell", INT(AU69) + (ROUND(MOD(AU69,1) + 0.00246, 4)), IF(AR69="Buy", INT(AU69) + (ROUND(MOD(AU69,1) - 0.00246, 4)), "Invalid Direction"))</f>
        <v>1.2638</v>
      </c>
      <c r="AX69" s="5">
        <v>1.2713000000000001</v>
      </c>
      <c r="AY69" s="5" t="s">
        <v>114</v>
      </c>
      <c r="AZ69" s="8">
        <v>-2.46</v>
      </c>
      <c r="BA69" s="5">
        <v>13</v>
      </c>
      <c r="BB69" s="8">
        <v>4.610000000000003</v>
      </c>
      <c r="BC69" s="8">
        <v>-5.2200000000000024</v>
      </c>
      <c r="BD69" s="5">
        <v>2</v>
      </c>
      <c r="BE69" s="5" t="s">
        <v>68</v>
      </c>
      <c r="BF69" s="8">
        <v>-2.5</v>
      </c>
      <c r="BG69" s="6">
        <v>45345</v>
      </c>
      <c r="BH69" s="5" t="s">
        <v>52</v>
      </c>
      <c r="BI69" s="5" t="s">
        <v>52</v>
      </c>
      <c r="BJ69" s="8" t="s">
        <v>46</v>
      </c>
      <c r="BK69" s="8" t="s">
        <v>46</v>
      </c>
      <c r="BL69" s="8" t="s">
        <v>46</v>
      </c>
      <c r="BM69" s="8">
        <v>0</v>
      </c>
      <c r="BN69" s="8">
        <v>0</v>
      </c>
      <c r="BO69" s="8">
        <v>0</v>
      </c>
      <c r="BP69" s="10" t="s">
        <v>46</v>
      </c>
    </row>
    <row r="70" spans="1:68" ht="14.5" customHeight="1" x14ac:dyDescent="0.35">
      <c r="A70" s="5">
        <v>69</v>
      </c>
      <c r="B70" s="6">
        <v>45342</v>
      </c>
      <c r="C70" s="5" t="s">
        <v>44</v>
      </c>
      <c r="D70" s="5" t="s">
        <v>45</v>
      </c>
      <c r="E70" s="5" t="s">
        <v>46</v>
      </c>
      <c r="F70" s="5" t="s">
        <v>67</v>
      </c>
      <c r="G70" s="7">
        <v>0.5625</v>
      </c>
      <c r="H70" s="7">
        <v>0.97916666666666663</v>
      </c>
      <c r="I70" s="5">
        <v>1.2629000000000001</v>
      </c>
      <c r="J70" s="5">
        <v>1.2625599999999999</v>
      </c>
      <c r="K70" s="8">
        <v>-2.5</v>
      </c>
      <c r="L70" s="8">
        <v>5</v>
      </c>
      <c r="M70" s="5">
        <f>IF(F70="Sell", INT(I70) + (ROUND(MOD(I70,1) + 0.0025, 4)), IF(F70="Buy", INT(I70) + (ROUND(MOD(I70,1) - 0.0025, 4)), "Invalid Direction"))</f>
        <v>1.2604</v>
      </c>
      <c r="N70" s="5">
        <f>IF(F70="Sell", INT(I70) + (ROUND(MOD(I70,1) - 0.005, 4)), IF(F70="Buy", INT(I70) + (ROUND(MOD(I70,1) + 0.005, 4)), "Invalid Direction"))</f>
        <v>1.2679</v>
      </c>
      <c r="O70" s="5">
        <v>20</v>
      </c>
      <c r="P70" s="8">
        <v>3.929999999999767</v>
      </c>
      <c r="Q70" s="8">
        <v>-1.5400000000000968</v>
      </c>
      <c r="R70" s="5">
        <v>2</v>
      </c>
      <c r="S70" s="5" t="s">
        <v>55</v>
      </c>
      <c r="T70" s="8">
        <v>-0.34000000000022901</v>
      </c>
      <c r="U70" s="5">
        <v>4</v>
      </c>
      <c r="V70" s="5" t="s">
        <v>56</v>
      </c>
      <c r="W70" s="5" t="s">
        <v>232</v>
      </c>
      <c r="X70" s="5">
        <v>1</v>
      </c>
      <c r="Y70" s="5" t="s">
        <v>49</v>
      </c>
      <c r="Z70" s="5" t="s">
        <v>233</v>
      </c>
      <c r="AA70" s="6">
        <v>45343</v>
      </c>
      <c r="AB70" s="5" t="s">
        <v>45</v>
      </c>
      <c r="AC70" s="5" t="s">
        <v>52</v>
      </c>
      <c r="AD70" s="5" t="s">
        <v>45</v>
      </c>
      <c r="AE70" s="5" t="s">
        <v>52</v>
      </c>
      <c r="AF70" s="5" t="s">
        <v>52</v>
      </c>
      <c r="AG70" s="5">
        <v>2</v>
      </c>
      <c r="AH70" s="8">
        <v>0.78999999999984638</v>
      </c>
      <c r="AI70" s="8">
        <v>-2.7000000000001467</v>
      </c>
      <c r="AJ70" s="8">
        <v>-2.5</v>
      </c>
      <c r="AK70" s="10" t="s">
        <v>46</v>
      </c>
      <c r="AL70" s="5"/>
      <c r="AM70" s="5">
        <v>69</v>
      </c>
      <c r="AN70" s="6">
        <v>45342</v>
      </c>
      <c r="AO70" s="5" t="s">
        <v>53</v>
      </c>
      <c r="AP70" s="5" t="s">
        <v>45</v>
      </c>
      <c r="AQ70" s="5" t="s">
        <v>46</v>
      </c>
      <c r="AR70" s="5" t="s">
        <v>67</v>
      </c>
      <c r="AS70" s="7">
        <v>0.5625</v>
      </c>
      <c r="AT70" s="7">
        <v>0.97916666666666663</v>
      </c>
      <c r="AU70" s="5">
        <v>1.2629000000000001</v>
      </c>
      <c r="AV70" s="5">
        <v>1.2625599999999999</v>
      </c>
      <c r="AW70" s="5">
        <f>IF(AR70="Sell", INT(AU70) + (ROUND(MOD(AU70,1) + 0.00246, 4)), IF(AR70="Buy", INT(AU70) + (ROUND(MOD(AU70,1) - 0.0025, 4)), "Invalid Direction"))</f>
        <v>1.2604</v>
      </c>
      <c r="AX70" s="5">
        <v>1.2679</v>
      </c>
      <c r="AY70" s="5" t="s">
        <v>87</v>
      </c>
      <c r="AZ70" s="8">
        <v>-2.5</v>
      </c>
      <c r="BA70" s="5">
        <v>20</v>
      </c>
      <c r="BB70" s="8">
        <v>3.929999999999767</v>
      </c>
      <c r="BC70" s="8">
        <v>-1.5400000000000968</v>
      </c>
      <c r="BD70" s="5">
        <v>2</v>
      </c>
      <c r="BE70" s="5" t="s">
        <v>55</v>
      </c>
      <c r="BF70" s="8">
        <v>-0.34000000000022901</v>
      </c>
      <c r="BG70" s="6">
        <v>45343</v>
      </c>
      <c r="BH70" s="5" t="s">
        <v>45</v>
      </c>
      <c r="BI70" s="5" t="s">
        <v>52</v>
      </c>
      <c r="BJ70" s="5" t="s">
        <v>45</v>
      </c>
      <c r="BK70" s="5" t="s">
        <v>52</v>
      </c>
      <c r="BL70" s="5" t="s">
        <v>52</v>
      </c>
      <c r="BM70" s="8">
        <v>0.78999999999984638</v>
      </c>
      <c r="BN70" s="8">
        <v>-2.7000000000001467</v>
      </c>
      <c r="BO70" s="8">
        <v>-2.5</v>
      </c>
      <c r="BP70" s="10" t="s">
        <v>46</v>
      </c>
    </row>
    <row r="71" spans="1:68" ht="14.5" customHeight="1" x14ac:dyDescent="0.35">
      <c r="A71" s="5">
        <v>70</v>
      </c>
      <c r="B71" s="6">
        <v>45336</v>
      </c>
      <c r="C71" s="5" t="s">
        <v>44</v>
      </c>
      <c r="D71" s="5" t="s">
        <v>45</v>
      </c>
      <c r="E71" s="5" t="s">
        <v>46</v>
      </c>
      <c r="F71" s="5" t="s">
        <v>47</v>
      </c>
      <c r="G71" s="7">
        <v>0.29166666666666669</v>
      </c>
      <c r="H71" s="7">
        <v>0.97916666666666663</v>
      </c>
      <c r="I71" s="5">
        <v>1.2574000000000001</v>
      </c>
      <c r="J71" s="5">
        <v>1.25661</v>
      </c>
      <c r="K71" s="8">
        <v>-2.5</v>
      </c>
      <c r="L71" s="8">
        <v>5</v>
      </c>
      <c r="M71" s="5">
        <f>IF(F71="Sell", INT(I71) + (ROUND(MOD(I71,1) + 0.0025, 4)), IF(F71="Buy", INT(I71) + (ROUND(MOD(I71,1) - 0.0025, 4)), "Invalid Direction"))</f>
        <v>1.2599</v>
      </c>
      <c r="N71" s="5">
        <f>IF(F71="Sell", INT(I71) + (ROUND(MOD(I71,1) - 0.005, 4)), IF(F71="Buy", INT(I71) + (ROUND(MOD(I71,1) + 0.005, 4)), "Invalid Direction"))</f>
        <v>1.2524</v>
      </c>
      <c r="O71" s="5">
        <v>33</v>
      </c>
      <c r="P71" s="8">
        <v>3.9400000000000546</v>
      </c>
      <c r="Q71" s="8">
        <v>-0.34000000000000696</v>
      </c>
      <c r="R71" s="5">
        <v>1</v>
      </c>
      <c r="S71" s="5" t="s">
        <v>55</v>
      </c>
      <c r="T71" s="8">
        <v>0.79000000000006843</v>
      </c>
      <c r="U71" s="5">
        <v>2</v>
      </c>
      <c r="V71" s="5" t="s">
        <v>49</v>
      </c>
      <c r="W71" s="5" t="s">
        <v>234</v>
      </c>
      <c r="X71" s="5">
        <v>7</v>
      </c>
      <c r="Y71" s="5" t="s">
        <v>49</v>
      </c>
      <c r="Z71" s="5" t="s">
        <v>235</v>
      </c>
      <c r="AA71" s="6">
        <v>45337</v>
      </c>
      <c r="AB71" s="5" t="s">
        <v>45</v>
      </c>
      <c r="AC71" s="5" t="s">
        <v>52</v>
      </c>
      <c r="AD71" s="5" t="s">
        <v>45</v>
      </c>
      <c r="AE71" s="5" t="s">
        <v>52</v>
      </c>
      <c r="AF71" s="5" t="s">
        <v>52</v>
      </c>
      <c r="AG71" s="5">
        <v>3</v>
      </c>
      <c r="AH71" s="8">
        <v>2.8200000000000447</v>
      </c>
      <c r="AI71" s="8">
        <v>-2.7500000000000302</v>
      </c>
      <c r="AJ71" s="8">
        <v>-2.5</v>
      </c>
      <c r="AK71" s="10" t="s">
        <v>46</v>
      </c>
      <c r="AL71" s="5"/>
      <c r="AM71" s="5">
        <v>70</v>
      </c>
      <c r="AN71" s="6">
        <v>45336</v>
      </c>
      <c r="AO71" s="5" t="s">
        <v>53</v>
      </c>
      <c r="AP71" s="5" t="s">
        <v>45</v>
      </c>
      <c r="AQ71" s="5" t="s">
        <v>46</v>
      </c>
      <c r="AR71" s="5" t="s">
        <v>47</v>
      </c>
      <c r="AS71" s="7">
        <v>0.29166666666666669</v>
      </c>
      <c r="AT71" s="7">
        <v>0.97916666666666663</v>
      </c>
      <c r="AU71" s="5">
        <v>1.2574000000000001</v>
      </c>
      <c r="AV71" s="5">
        <v>1.25661</v>
      </c>
      <c r="AW71" s="5">
        <f>IF(AR71="Sell", INT(AU71) + (ROUND(MOD(AU71,1) + 0.00262, 4)), IF(AR71="Buy", INT(AU71) + (ROUND(MOD(AU71,1) - 0.0025, 4)), "Invalid Direction"))</f>
        <v>1.26</v>
      </c>
      <c r="AX71" s="5">
        <v>1.2524</v>
      </c>
      <c r="AY71" s="5" t="s">
        <v>236</v>
      </c>
      <c r="AZ71" s="8">
        <v>-2.62</v>
      </c>
      <c r="BA71" s="5">
        <v>33</v>
      </c>
      <c r="BB71" s="8">
        <v>3.9400000000000546</v>
      </c>
      <c r="BC71" s="8">
        <v>-0.34000000000000696</v>
      </c>
      <c r="BD71" s="5">
        <v>1</v>
      </c>
      <c r="BE71" s="5" t="s">
        <v>55</v>
      </c>
      <c r="BF71" s="8">
        <v>0.79000000000006843</v>
      </c>
      <c r="BG71" s="6">
        <v>45337</v>
      </c>
      <c r="BH71" s="5" t="s">
        <v>45</v>
      </c>
      <c r="BI71" s="5" t="s">
        <v>52</v>
      </c>
      <c r="BJ71" s="5" t="s">
        <v>45</v>
      </c>
      <c r="BK71" s="5" t="s">
        <v>52</v>
      </c>
      <c r="BL71" s="5" t="s">
        <v>52</v>
      </c>
      <c r="BM71" s="8">
        <v>2.8200000000000447</v>
      </c>
      <c r="BN71" s="8">
        <v>-2.7500000000000302</v>
      </c>
      <c r="BO71" s="8">
        <v>-2.62</v>
      </c>
      <c r="BP71" s="10" t="s">
        <v>46</v>
      </c>
    </row>
    <row r="72" spans="1:68" ht="14.5" customHeight="1" x14ac:dyDescent="0.35">
      <c r="A72" s="5">
        <v>71</v>
      </c>
      <c r="B72" s="6">
        <v>45335</v>
      </c>
      <c r="C72" s="5" t="s">
        <v>44</v>
      </c>
      <c r="D72" s="5" t="s">
        <v>45</v>
      </c>
      <c r="E72" s="5" t="s">
        <v>46</v>
      </c>
      <c r="F72" s="5" t="s">
        <v>67</v>
      </c>
      <c r="G72" s="7">
        <v>0.29166666666666669</v>
      </c>
      <c r="H72" s="7">
        <v>0.5625</v>
      </c>
      <c r="I72" s="5">
        <v>1.2643</v>
      </c>
      <c r="J72" s="5">
        <v>1.2618</v>
      </c>
      <c r="K72" s="8">
        <v>-2.5</v>
      </c>
      <c r="L72" s="8">
        <v>5</v>
      </c>
      <c r="M72" s="5">
        <f>IF(F72="Sell", INT(I72) + (ROUND(MOD(I72,1) + 0.0025, 4)), IF(F72="Buy", INT(I72) + (ROUND(MOD(I72,1) - 0.0025, 4)), "Invalid Direction"))</f>
        <v>1.2618</v>
      </c>
      <c r="N72" s="5">
        <f>IF(F72="Sell", INT(I72) + (ROUND(MOD(I72,1) - 0.005, 4)), IF(F72="Buy", INT(I72) + (ROUND(MOD(I72,1) + 0.005, 4)), "Invalid Direction"))</f>
        <v>1.2692999999999999</v>
      </c>
      <c r="O72" s="5">
        <v>13</v>
      </c>
      <c r="P72" s="8">
        <v>4.9600000000000755</v>
      </c>
      <c r="Q72" s="8">
        <v>-7.0299999999998706</v>
      </c>
      <c r="R72" s="5">
        <v>5</v>
      </c>
      <c r="S72" s="5" t="s">
        <v>68</v>
      </c>
      <c r="T72" s="8">
        <v>-2.5</v>
      </c>
      <c r="U72" s="5">
        <v>3</v>
      </c>
      <c r="V72" s="5" t="s">
        <v>49</v>
      </c>
      <c r="W72" s="5" t="s">
        <v>237</v>
      </c>
      <c r="X72" s="5">
        <v>2</v>
      </c>
      <c r="Y72" s="5" t="s">
        <v>49</v>
      </c>
      <c r="Z72" s="5" t="s">
        <v>234</v>
      </c>
      <c r="AA72" s="6">
        <v>45336</v>
      </c>
      <c r="AB72" s="5" t="s">
        <v>52</v>
      </c>
      <c r="AC72" s="5" t="s">
        <v>52</v>
      </c>
      <c r="AD72" s="8" t="s">
        <v>46</v>
      </c>
      <c r="AE72" s="8" t="s">
        <v>46</v>
      </c>
      <c r="AF72" s="8" t="s">
        <v>46</v>
      </c>
      <c r="AG72" s="5">
        <v>0</v>
      </c>
      <c r="AH72" s="8">
        <v>0</v>
      </c>
      <c r="AI72" s="8">
        <v>0</v>
      </c>
      <c r="AJ72" s="8">
        <v>0</v>
      </c>
      <c r="AK72" s="10" t="s">
        <v>46</v>
      </c>
      <c r="AL72" s="5"/>
      <c r="AM72" s="5">
        <v>71</v>
      </c>
      <c r="AN72" s="6">
        <v>45335</v>
      </c>
      <c r="AO72" s="5" t="s">
        <v>53</v>
      </c>
      <c r="AP72" s="5" t="s">
        <v>45</v>
      </c>
      <c r="AQ72" s="5" t="s">
        <v>46</v>
      </c>
      <c r="AR72" s="5" t="s">
        <v>67</v>
      </c>
      <c r="AS72" s="9">
        <v>0.29166666666666669</v>
      </c>
      <c r="AT72" s="9">
        <v>0.5625</v>
      </c>
      <c r="AU72" s="5">
        <v>1.2643</v>
      </c>
      <c r="AV72" s="5">
        <v>1.2618</v>
      </c>
      <c r="AW72" s="5">
        <f>IF(AR72="Sell", INT(AU72) + (ROUND(MOD(AU72,1) + 0.00262, 4)), IF(AR72="Buy", INT(AU72) + (ROUND(MOD(AU72,1) - 0.002604, 4)), "Invalid Direction"))</f>
        <v>1.2617</v>
      </c>
      <c r="AX72" s="5">
        <v>1.2692999999999999</v>
      </c>
      <c r="AY72" s="5" t="s">
        <v>238</v>
      </c>
      <c r="AZ72" s="8">
        <v>-2.64</v>
      </c>
      <c r="BA72" s="5">
        <v>13</v>
      </c>
      <c r="BB72" s="8">
        <v>4.9600000000000755</v>
      </c>
      <c r="BC72" s="8">
        <v>-7.0299999999998706</v>
      </c>
      <c r="BD72" s="5">
        <v>5</v>
      </c>
      <c r="BE72" s="5" t="s">
        <v>68</v>
      </c>
      <c r="BF72" s="8">
        <v>-2.5</v>
      </c>
      <c r="BG72" s="6">
        <v>45336</v>
      </c>
      <c r="BH72" s="5" t="s">
        <v>52</v>
      </c>
      <c r="BI72" s="5" t="s">
        <v>52</v>
      </c>
      <c r="BJ72" s="8" t="s">
        <v>46</v>
      </c>
      <c r="BK72" s="8" t="s">
        <v>46</v>
      </c>
      <c r="BL72" s="8" t="s">
        <v>46</v>
      </c>
      <c r="BM72" s="8">
        <v>0</v>
      </c>
      <c r="BN72" s="8">
        <v>0</v>
      </c>
      <c r="BO72" s="8">
        <v>0</v>
      </c>
      <c r="BP72" s="10" t="s">
        <v>46</v>
      </c>
    </row>
    <row r="73" spans="1:68" ht="14.5" customHeight="1" x14ac:dyDescent="0.35">
      <c r="A73" s="5">
        <v>72</v>
      </c>
      <c r="B73" s="6">
        <v>45334</v>
      </c>
      <c r="C73" s="5" t="s">
        <v>44</v>
      </c>
      <c r="D73" s="5" t="s">
        <v>45</v>
      </c>
      <c r="E73" s="5" t="s">
        <v>46</v>
      </c>
      <c r="F73" s="5" t="s">
        <v>67</v>
      </c>
      <c r="G73" s="7">
        <v>2.0833333333333332E-2</v>
      </c>
      <c r="H73" s="7">
        <v>0.45833333333333331</v>
      </c>
      <c r="I73" s="5">
        <v>1.264</v>
      </c>
      <c r="J73" s="5">
        <v>1.2615000000000001</v>
      </c>
      <c r="K73" s="8">
        <v>-2.5</v>
      </c>
      <c r="L73" s="8">
        <v>5</v>
      </c>
      <c r="M73" s="5">
        <f>IF(F73="Sell", INT(I73) + (ROUND(MOD(I73,1) + 0.0025, 4)), IF(F73="Buy", INT(I73) + (ROUND(MOD(I73,1) - 0.0025, 4)), "Invalid Direction"))</f>
        <v>1.2615000000000001</v>
      </c>
      <c r="N73" s="5">
        <f>IF(F73="Sell", INT(I73) + (ROUND(MOD(I73,1) - 0.005, 4)), IF(F73="Buy", INT(I73) + (ROUND(MOD(I73,1) + 0.005, 4)), "Invalid Direction"))</f>
        <v>1.2690000000000001</v>
      </c>
      <c r="O73" s="5">
        <v>21</v>
      </c>
      <c r="P73" s="8">
        <v>1.4199999999999768</v>
      </c>
      <c r="Q73" s="8">
        <v>-3.4300000000000441</v>
      </c>
      <c r="R73" s="5">
        <v>4</v>
      </c>
      <c r="S73" s="5" t="s">
        <v>68</v>
      </c>
      <c r="T73" s="8">
        <v>-2.5</v>
      </c>
      <c r="U73" s="5">
        <v>5</v>
      </c>
      <c r="V73" s="5" t="s">
        <v>56</v>
      </c>
      <c r="W73" s="5" t="s">
        <v>239</v>
      </c>
      <c r="X73" s="5">
        <v>3</v>
      </c>
      <c r="Y73" s="5" t="s">
        <v>49</v>
      </c>
      <c r="Z73" s="5" t="s">
        <v>237</v>
      </c>
      <c r="AA73" s="6">
        <v>45335</v>
      </c>
      <c r="AB73" s="5" t="s">
        <v>52</v>
      </c>
      <c r="AC73" s="5" t="s">
        <v>52</v>
      </c>
      <c r="AD73" s="8" t="s">
        <v>46</v>
      </c>
      <c r="AE73" s="8" t="s">
        <v>46</v>
      </c>
      <c r="AF73" s="5" t="s">
        <v>45</v>
      </c>
      <c r="AG73" s="5">
        <v>0</v>
      </c>
      <c r="AH73" s="8">
        <v>0</v>
      </c>
      <c r="AI73" s="8">
        <v>0</v>
      </c>
      <c r="AJ73" s="8">
        <v>0</v>
      </c>
      <c r="AK73" s="10" t="s">
        <v>46</v>
      </c>
      <c r="AL73" s="5"/>
      <c r="AM73" s="5">
        <v>72</v>
      </c>
      <c r="AN73" s="6">
        <v>45334</v>
      </c>
      <c r="AO73" s="5" t="s">
        <v>53</v>
      </c>
      <c r="AP73" s="5" t="s">
        <v>45</v>
      </c>
      <c r="AQ73" s="5" t="s">
        <v>46</v>
      </c>
      <c r="AR73" s="5" t="s">
        <v>67</v>
      </c>
      <c r="AS73" s="7">
        <v>2.0833333333333332E-2</v>
      </c>
      <c r="AT73" s="7">
        <v>0.45833333333333331</v>
      </c>
      <c r="AU73" s="5">
        <v>1.264</v>
      </c>
      <c r="AV73" s="5">
        <v>1.2615000000000001</v>
      </c>
      <c r="AW73" s="5">
        <f>IF(AR73="Sell", INT(AU73) + (ROUND(MOD(AU73,1) + 0.00262, 4)), IF(AR73="Buy", INT(AU73) + (ROUND(MOD(AU73,1) - 0.002605, 4)), "Invalid Direction"))</f>
        <v>1.2614000000000001</v>
      </c>
      <c r="AX73" s="5">
        <v>1.2690000000000001</v>
      </c>
      <c r="AY73" s="5" t="s">
        <v>240</v>
      </c>
      <c r="AZ73" s="8">
        <v>-2.65</v>
      </c>
      <c r="BA73" s="5">
        <v>21</v>
      </c>
      <c r="BB73" s="8">
        <v>1.4199999999999768</v>
      </c>
      <c r="BC73" s="8">
        <v>-3.4300000000000441</v>
      </c>
      <c r="BD73" s="5">
        <v>4</v>
      </c>
      <c r="BE73" s="5" t="s">
        <v>68</v>
      </c>
      <c r="BF73" s="8">
        <v>-2.65</v>
      </c>
      <c r="BG73" s="6">
        <v>45335</v>
      </c>
      <c r="BH73" s="5" t="s">
        <v>52</v>
      </c>
      <c r="BI73" s="5" t="s">
        <v>52</v>
      </c>
      <c r="BJ73" s="8" t="s">
        <v>46</v>
      </c>
      <c r="BK73" s="8" t="s">
        <v>46</v>
      </c>
      <c r="BL73" s="5" t="s">
        <v>45</v>
      </c>
      <c r="BM73" s="8">
        <v>0</v>
      </c>
      <c r="BN73" s="8">
        <v>0</v>
      </c>
      <c r="BO73" s="8">
        <v>0</v>
      </c>
      <c r="BP73" s="10" t="s">
        <v>46</v>
      </c>
    </row>
    <row r="74" spans="1:68" ht="14.5" customHeight="1" x14ac:dyDescent="0.35">
      <c r="A74" s="5">
        <v>73</v>
      </c>
      <c r="B74" s="6">
        <v>45327</v>
      </c>
      <c r="C74" s="5" t="s">
        <v>44</v>
      </c>
      <c r="D74" s="5" t="s">
        <v>45</v>
      </c>
      <c r="E74" s="5" t="s">
        <v>46</v>
      </c>
      <c r="F74" s="5" t="s">
        <v>47</v>
      </c>
      <c r="G74" s="7">
        <v>0.25</v>
      </c>
      <c r="H74" s="7">
        <v>0.52083333333333337</v>
      </c>
      <c r="I74" s="5">
        <v>1.2613999999999999</v>
      </c>
      <c r="J74" s="5">
        <v>1.2564</v>
      </c>
      <c r="K74" s="8">
        <v>-2.5</v>
      </c>
      <c r="L74" s="8">
        <v>5</v>
      </c>
      <c r="M74" s="5">
        <f>IF(F74="Sell", INT(I74) + (ROUND(MOD(I74,1) + 0.0025, 4)), IF(F74="Buy", INT(I74) + (ROUND(MOD(I74,1) - 0.0025, 4)), "Invalid Direction"))</f>
        <v>1.2639</v>
      </c>
      <c r="N74" s="5">
        <f>IF(F74="Sell", INT(I74) + (ROUND(MOD(I74,1) - 0.005, 4)), IF(F74="Buy", INT(I74) + (ROUND(MOD(I74,1) + 0.005, 4)), "Invalid Direction"))</f>
        <v>1.2564</v>
      </c>
      <c r="O74" s="5">
        <v>31</v>
      </c>
      <c r="P74" s="8">
        <v>9.6599999999997817</v>
      </c>
      <c r="Q74" s="8">
        <v>-1.4900000000002134</v>
      </c>
      <c r="R74" s="5">
        <v>6</v>
      </c>
      <c r="S74" s="5" t="s">
        <v>48</v>
      </c>
      <c r="T74" s="8">
        <v>5</v>
      </c>
      <c r="U74" s="5">
        <v>2</v>
      </c>
      <c r="V74" s="5" t="s">
        <v>49</v>
      </c>
      <c r="W74" s="5" t="s">
        <v>241</v>
      </c>
      <c r="X74" s="5">
        <v>5</v>
      </c>
      <c r="Y74" s="5" t="s">
        <v>56</v>
      </c>
      <c r="Z74" s="5" t="s">
        <v>242</v>
      </c>
      <c r="AA74" s="6">
        <v>45328</v>
      </c>
      <c r="AB74" s="5" t="s">
        <v>52</v>
      </c>
      <c r="AC74" s="5" t="s">
        <v>52</v>
      </c>
      <c r="AD74" s="8" t="s">
        <v>46</v>
      </c>
      <c r="AE74" s="8" t="s">
        <v>46</v>
      </c>
      <c r="AF74" s="8" t="s">
        <v>46</v>
      </c>
      <c r="AG74" s="5">
        <v>0</v>
      </c>
      <c r="AH74" s="8">
        <v>0</v>
      </c>
      <c r="AI74" s="8">
        <v>0</v>
      </c>
      <c r="AJ74" s="8">
        <v>0</v>
      </c>
      <c r="AK74" s="10" t="s">
        <v>46</v>
      </c>
      <c r="AL74" s="5"/>
      <c r="AM74" s="5">
        <v>73</v>
      </c>
      <c r="AN74" s="6">
        <v>45327</v>
      </c>
      <c r="AO74" s="5" t="s">
        <v>53</v>
      </c>
      <c r="AP74" s="5" t="s">
        <v>45</v>
      </c>
      <c r="AQ74" s="5" t="s">
        <v>46</v>
      </c>
      <c r="AR74" s="5" t="s">
        <v>47</v>
      </c>
      <c r="AS74" s="7">
        <v>0.25</v>
      </c>
      <c r="AT74" s="7">
        <v>0.52083333333333337</v>
      </c>
      <c r="AU74" s="5">
        <v>1.2613999999999999</v>
      </c>
      <c r="AV74" s="5">
        <v>1.2564</v>
      </c>
      <c r="AW74" s="5">
        <f>IF(AR74="Sell", INT(AU74) + (ROUND(MOD(AU74,1) + 0.002708, 4)), IF(AR74="Buy", INT(AU74) + (ROUND(MOD(AU74,1) - 0.002605, 4)), "Invalid Direction"))</f>
        <v>1.2641</v>
      </c>
      <c r="AX74" s="5">
        <v>1.2564</v>
      </c>
      <c r="AY74" s="5" t="s">
        <v>243</v>
      </c>
      <c r="AZ74" s="8">
        <v>-2.78</v>
      </c>
      <c r="BA74" s="5">
        <v>31</v>
      </c>
      <c r="BB74" s="8">
        <v>9.6599999999997817</v>
      </c>
      <c r="BC74" s="8">
        <v>-1.4900000000002134</v>
      </c>
      <c r="BD74" s="5">
        <v>6</v>
      </c>
      <c r="BE74" s="5" t="s">
        <v>48</v>
      </c>
      <c r="BF74" s="8">
        <v>5</v>
      </c>
      <c r="BG74" s="6">
        <v>45328</v>
      </c>
      <c r="BH74" s="5" t="s">
        <v>52</v>
      </c>
      <c r="BI74" s="5" t="s">
        <v>52</v>
      </c>
      <c r="BJ74" s="8" t="s">
        <v>46</v>
      </c>
      <c r="BK74" s="8" t="s">
        <v>46</v>
      </c>
      <c r="BL74" s="8" t="s">
        <v>46</v>
      </c>
      <c r="BM74" s="8">
        <v>0</v>
      </c>
      <c r="BN74" s="8">
        <v>0</v>
      </c>
      <c r="BO74" s="8">
        <v>0</v>
      </c>
      <c r="BP74" s="10" t="s">
        <v>46</v>
      </c>
    </row>
    <row r="75" spans="1:68" ht="14.5" customHeight="1" x14ac:dyDescent="0.35">
      <c r="A75" s="5">
        <v>74</v>
      </c>
      <c r="B75" s="6">
        <v>45324</v>
      </c>
      <c r="C75" s="5" t="s">
        <v>44</v>
      </c>
      <c r="D75" s="5" t="s">
        <v>45</v>
      </c>
      <c r="E75" s="5" t="s">
        <v>46</v>
      </c>
      <c r="F75" s="5" t="s">
        <v>67</v>
      </c>
      <c r="G75" s="7">
        <v>0.29166666666666669</v>
      </c>
      <c r="H75" s="7">
        <v>0.5625</v>
      </c>
      <c r="I75" s="5">
        <v>1.2753999999999999</v>
      </c>
      <c r="J75" s="5">
        <v>1.2728999999999999</v>
      </c>
      <c r="K75" s="8">
        <v>-2.5</v>
      </c>
      <c r="L75" s="8">
        <v>5</v>
      </c>
      <c r="M75" s="5">
        <f>IF(F75="Sell", INT(I75) + (ROUND(MOD(I75,1) + 0.0025, 4)), IF(F75="Buy", INT(I75) + (ROUND(MOD(I75,1) - 0.0025, 4)), "Invalid Direction"))</f>
        <v>1.2728999999999999</v>
      </c>
      <c r="N75" s="5">
        <f>IF(F75="Sell", INT(I75) + (ROUND(MOD(I75,1) - 0.005, 4)), IF(F75="Buy", INT(I75) + (ROUND(MOD(I75,1) + 0.005, 4)), "Invalid Direction"))</f>
        <v>1.2804</v>
      </c>
      <c r="O75" s="5">
        <v>13</v>
      </c>
      <c r="P75" s="8">
        <v>1.7700000000000493</v>
      </c>
      <c r="Q75" s="8">
        <v>-14.069999999999807</v>
      </c>
      <c r="R75" s="5">
        <v>10</v>
      </c>
      <c r="S75" s="5" t="s">
        <v>68</v>
      </c>
      <c r="T75" s="8">
        <v>-2.5</v>
      </c>
      <c r="U75" s="5">
        <v>3</v>
      </c>
      <c r="V75" s="5" t="s">
        <v>49</v>
      </c>
      <c r="W75" s="5" t="s">
        <v>244</v>
      </c>
      <c r="X75" s="5">
        <v>1</v>
      </c>
      <c r="Y75" s="5" t="s">
        <v>49</v>
      </c>
      <c r="Z75" s="5" t="s">
        <v>206</v>
      </c>
      <c r="AA75" s="6">
        <v>45327</v>
      </c>
      <c r="AB75" s="5" t="s">
        <v>52</v>
      </c>
      <c r="AC75" s="5" t="s">
        <v>52</v>
      </c>
      <c r="AD75" s="8" t="s">
        <v>46</v>
      </c>
      <c r="AE75" s="8" t="s">
        <v>46</v>
      </c>
      <c r="AF75" s="8" t="s">
        <v>46</v>
      </c>
      <c r="AG75" s="5">
        <v>0</v>
      </c>
      <c r="AH75" s="8">
        <v>0</v>
      </c>
      <c r="AI75" s="8">
        <v>0</v>
      </c>
      <c r="AJ75" s="8">
        <v>0</v>
      </c>
      <c r="AK75" s="10" t="s">
        <v>46</v>
      </c>
      <c r="AL75" s="5"/>
      <c r="AM75" s="5">
        <v>74</v>
      </c>
      <c r="AN75" s="6">
        <v>45324</v>
      </c>
      <c r="AO75" s="5" t="s">
        <v>53</v>
      </c>
      <c r="AP75" s="5" t="s">
        <v>45</v>
      </c>
      <c r="AQ75" s="5" t="s">
        <v>46</v>
      </c>
      <c r="AR75" s="5" t="s">
        <v>67</v>
      </c>
      <c r="AS75" s="7">
        <v>0.29166666666666669</v>
      </c>
      <c r="AT75" s="7">
        <v>0.5625</v>
      </c>
      <c r="AU75" s="5">
        <v>1.2753999999999999</v>
      </c>
      <c r="AV75" s="5">
        <v>1.2728999999999999</v>
      </c>
      <c r="AW75" s="5">
        <f>IF(AR75="Sell", INT(AU75) + (ROUND(MOD(AU75,1) + 0.002708, 4)), IF(AR75="Buy", INT(AU75) + (ROUND(MOD(AU75,1) - 0.002707, 4)), "Invalid Direction"))</f>
        <v>1.2726999999999999</v>
      </c>
      <c r="AX75" s="5">
        <v>1.2804</v>
      </c>
      <c r="AY75" s="5" t="s">
        <v>245</v>
      </c>
      <c r="AZ75" s="8">
        <v>-2.77</v>
      </c>
      <c r="BA75" s="5">
        <v>13</v>
      </c>
      <c r="BB75" s="8">
        <v>1.7700000000000493</v>
      </c>
      <c r="BC75" s="8">
        <v>-14.069999999999807</v>
      </c>
      <c r="BD75" s="5">
        <v>10</v>
      </c>
      <c r="BE75" s="5" t="s">
        <v>68</v>
      </c>
      <c r="BF75" s="8">
        <v>-2.77</v>
      </c>
      <c r="BG75" s="6">
        <v>45327</v>
      </c>
      <c r="BH75" s="5" t="s">
        <v>52</v>
      </c>
      <c r="BI75" s="5" t="s">
        <v>52</v>
      </c>
      <c r="BJ75" s="8" t="s">
        <v>46</v>
      </c>
      <c r="BK75" s="8" t="s">
        <v>46</v>
      </c>
      <c r="BL75" s="8" t="s">
        <v>46</v>
      </c>
      <c r="BM75" s="8">
        <v>0</v>
      </c>
      <c r="BN75" s="8">
        <v>0</v>
      </c>
      <c r="BO75" s="8">
        <v>0</v>
      </c>
      <c r="BP75" s="10" t="s">
        <v>46</v>
      </c>
    </row>
    <row r="76" spans="1:68" ht="14.5" customHeight="1" x14ac:dyDescent="0.35">
      <c r="A76" s="5">
        <v>75</v>
      </c>
      <c r="B76" s="6">
        <v>45324</v>
      </c>
      <c r="C76" s="5" t="s">
        <v>44</v>
      </c>
      <c r="D76" s="5" t="s">
        <v>45</v>
      </c>
      <c r="E76" s="5" t="s">
        <v>46</v>
      </c>
      <c r="F76" s="5" t="s">
        <v>47</v>
      </c>
      <c r="G76" s="7">
        <v>0.625</v>
      </c>
      <c r="H76" s="7">
        <v>0.64583333333333337</v>
      </c>
      <c r="I76" s="5">
        <v>1.2635000000000001</v>
      </c>
      <c r="J76" s="5">
        <v>1.266</v>
      </c>
      <c r="K76" s="8">
        <v>-2.5</v>
      </c>
      <c r="L76" s="8">
        <v>5</v>
      </c>
      <c r="M76" s="5">
        <f>IF(F76="Sell", INT(I76) + (ROUND(MOD(I76,1) + 0.0025, 4)), IF(F76="Buy", INT(I76) + (ROUND(MOD(I76,1) - 0.0025, 4)), "Invalid Direction"))</f>
        <v>1.266</v>
      </c>
      <c r="N76" s="5">
        <f>IF(F76="Sell", INT(I76) + (ROUND(MOD(I76,1) - 0.005, 4)), IF(F76="Buy", INT(I76) + (ROUND(MOD(I76,1) + 0.005, 4)), "Invalid Direction"))</f>
        <v>1.2585</v>
      </c>
      <c r="O76" s="5">
        <v>1</v>
      </c>
      <c r="P76" s="8">
        <v>2.1700000000000053</v>
      </c>
      <c r="Q76" s="8">
        <v>-3.2999999999998586</v>
      </c>
      <c r="R76" s="5">
        <v>6</v>
      </c>
      <c r="S76" s="5" t="s">
        <v>68</v>
      </c>
      <c r="T76" s="8">
        <v>-2.5</v>
      </c>
      <c r="U76" s="5">
        <v>3</v>
      </c>
      <c r="V76" s="5" t="s">
        <v>49</v>
      </c>
      <c r="W76" s="5" t="s">
        <v>244</v>
      </c>
      <c r="X76" s="5">
        <v>1</v>
      </c>
      <c r="Y76" s="5" t="s">
        <v>49</v>
      </c>
      <c r="Z76" s="5" t="s">
        <v>206</v>
      </c>
      <c r="AA76" s="6">
        <v>45327</v>
      </c>
      <c r="AB76" s="5" t="s">
        <v>52</v>
      </c>
      <c r="AC76" s="5" t="s">
        <v>45</v>
      </c>
      <c r="AD76" s="8" t="s">
        <v>46</v>
      </c>
      <c r="AE76" s="8" t="s">
        <v>46</v>
      </c>
      <c r="AF76" s="5" t="s">
        <v>45</v>
      </c>
      <c r="AG76" s="5">
        <v>0</v>
      </c>
      <c r="AH76" s="8">
        <v>0</v>
      </c>
      <c r="AI76" s="8">
        <v>0</v>
      </c>
      <c r="AJ76" s="8">
        <v>0</v>
      </c>
      <c r="AK76" s="10" t="s">
        <v>46</v>
      </c>
      <c r="AL76" s="5"/>
      <c r="AM76" s="5">
        <v>75</v>
      </c>
      <c r="AN76" s="6">
        <v>45324</v>
      </c>
      <c r="AO76" s="5" t="s">
        <v>53</v>
      </c>
      <c r="AP76" s="5" t="s">
        <v>45</v>
      </c>
      <c r="AQ76" s="5" t="s">
        <v>46</v>
      </c>
      <c r="AR76" s="5" t="s">
        <v>47</v>
      </c>
      <c r="AS76" s="7">
        <v>0.625</v>
      </c>
      <c r="AT76" s="7">
        <v>0.64583333333333337</v>
      </c>
      <c r="AU76" s="5">
        <v>1.2635000000000001</v>
      </c>
      <c r="AV76" s="5">
        <v>1.266</v>
      </c>
      <c r="AW76" s="5">
        <f>IF(AR76="Sell", INT(AU76) + (ROUND(MOD(AU76,1) + 0.002708, 4)), IF(AR76="Buy", INT(AU76) + (ROUND(MOD(AU76,1) - 0.002708, 4)), "Invalid Direction"))</f>
        <v>1.2662</v>
      </c>
      <c r="AX76" s="5">
        <v>1.2585</v>
      </c>
      <c r="AY76" s="5" t="s">
        <v>245</v>
      </c>
      <c r="AZ76" s="8">
        <v>-2.77</v>
      </c>
      <c r="BA76" s="5">
        <v>1</v>
      </c>
      <c r="BB76" s="8">
        <v>2.1700000000000053</v>
      </c>
      <c r="BC76" s="8">
        <v>-3.2999999999998586</v>
      </c>
      <c r="BD76" s="5">
        <v>6</v>
      </c>
      <c r="BE76" s="5" t="s">
        <v>68</v>
      </c>
      <c r="BF76" s="8">
        <v>-2.77</v>
      </c>
      <c r="BG76" s="6">
        <v>45327</v>
      </c>
      <c r="BH76" s="5" t="s">
        <v>52</v>
      </c>
      <c r="BI76" s="5" t="s">
        <v>45</v>
      </c>
      <c r="BJ76" s="8" t="s">
        <v>46</v>
      </c>
      <c r="BK76" s="8" t="s">
        <v>46</v>
      </c>
      <c r="BL76" s="5" t="s">
        <v>45</v>
      </c>
      <c r="BM76" s="8">
        <v>0</v>
      </c>
      <c r="BN76" s="8">
        <v>0</v>
      </c>
      <c r="BO76" s="8">
        <v>0</v>
      </c>
      <c r="BP76" s="10" t="s">
        <v>46</v>
      </c>
    </row>
    <row r="77" spans="1:68" ht="14.5" customHeight="1" x14ac:dyDescent="0.35">
      <c r="A77" s="5">
        <v>76</v>
      </c>
      <c r="B77" s="6">
        <v>45323</v>
      </c>
      <c r="C77" s="5" t="s">
        <v>44</v>
      </c>
      <c r="D77" s="5" t="s">
        <v>45</v>
      </c>
      <c r="E77" s="5" t="s">
        <v>46</v>
      </c>
      <c r="F77" s="5" t="s">
        <v>47</v>
      </c>
      <c r="G77" s="7">
        <v>0.29166666666666669</v>
      </c>
      <c r="H77" s="7">
        <v>0.52083333333333337</v>
      </c>
      <c r="I77" s="5">
        <v>1.2658</v>
      </c>
      <c r="J77" s="5">
        <v>1.2683</v>
      </c>
      <c r="K77" s="8">
        <v>-2.5</v>
      </c>
      <c r="L77" s="8">
        <v>5</v>
      </c>
      <c r="M77" s="5">
        <f>IF(F77="Sell", INT(I77) + (ROUND(MOD(I77,1) + 0.0025, 4)), IF(F77="Buy", INT(I77) + (ROUND(MOD(I77,1) - 0.0025, 4)), "Invalid Direction"))</f>
        <v>1.2683</v>
      </c>
      <c r="N77" s="5">
        <f>IF(F77="Sell", INT(I77) + (ROUND(MOD(I77,1) - 0.005, 4)), IF(F77="Buy", INT(I77) + (ROUND(MOD(I77,1) + 0.005, 4)), "Invalid Direction"))</f>
        <v>1.2607999999999999</v>
      </c>
      <c r="O77" s="5">
        <v>11</v>
      </c>
      <c r="P77" s="8">
        <v>3.3300000000000551</v>
      </c>
      <c r="Q77" s="8">
        <v>-9.7199999999999509</v>
      </c>
      <c r="R77" s="5">
        <v>6</v>
      </c>
      <c r="S77" s="5" t="s">
        <v>68</v>
      </c>
      <c r="T77" s="8">
        <v>-2.5</v>
      </c>
      <c r="U77" s="5">
        <v>4</v>
      </c>
      <c r="V77" s="5" t="s">
        <v>49</v>
      </c>
      <c r="W77" s="5" t="s">
        <v>246</v>
      </c>
      <c r="X77" s="5">
        <v>3</v>
      </c>
      <c r="Y77" s="5" t="s">
        <v>49</v>
      </c>
      <c r="Z77" s="5" t="s">
        <v>244</v>
      </c>
      <c r="AA77" s="6">
        <v>45324</v>
      </c>
      <c r="AB77" s="5" t="s">
        <v>52</v>
      </c>
      <c r="AC77" s="5" t="s">
        <v>45</v>
      </c>
      <c r="AD77" s="8" t="s">
        <v>46</v>
      </c>
      <c r="AE77" s="8" t="s">
        <v>46</v>
      </c>
      <c r="AF77" s="5" t="s">
        <v>45</v>
      </c>
      <c r="AG77" s="5">
        <v>5</v>
      </c>
      <c r="AH77" s="8">
        <v>0</v>
      </c>
      <c r="AI77" s="8">
        <v>0</v>
      </c>
      <c r="AJ77" s="8">
        <v>0</v>
      </c>
      <c r="AK77" s="10" t="s">
        <v>46</v>
      </c>
      <c r="AL77" s="5"/>
      <c r="AM77" s="5">
        <v>76</v>
      </c>
      <c r="AN77" s="6">
        <v>45323</v>
      </c>
      <c r="AO77" s="5" t="s">
        <v>53</v>
      </c>
      <c r="AP77" s="5" t="s">
        <v>45</v>
      </c>
      <c r="AQ77" s="5" t="s">
        <v>46</v>
      </c>
      <c r="AR77" s="5" t="s">
        <v>47</v>
      </c>
      <c r="AS77" s="9">
        <v>0.29166666666666669</v>
      </c>
      <c r="AT77" s="9">
        <v>0.52083333333333337</v>
      </c>
      <c r="AU77" s="5">
        <v>1.2658</v>
      </c>
      <c r="AV77" s="5">
        <v>1.2685</v>
      </c>
      <c r="AW77" s="5">
        <f>IF(AR77="Sell", INT(AU77) + (ROUND(MOD(AU77,1) + 0.002706, 4)), IF(AR77="Buy", INT(AU77) + (ROUND(MOD(AU77,1) - 0.002708, 4)), "Invalid Direction"))</f>
        <v>1.2685</v>
      </c>
      <c r="AX77" s="5">
        <v>1.2607999999999999</v>
      </c>
      <c r="AY77" s="5" t="s">
        <v>247</v>
      </c>
      <c r="AZ77" s="8">
        <v>-2.76</v>
      </c>
      <c r="BA77" s="5">
        <v>11</v>
      </c>
      <c r="BB77" s="8">
        <v>3.3300000000000551</v>
      </c>
      <c r="BC77" s="8">
        <v>-9.7199999999999509</v>
      </c>
      <c r="BD77" s="5">
        <v>6</v>
      </c>
      <c r="BE77" s="5" t="s">
        <v>68</v>
      </c>
      <c r="BF77" s="8">
        <v>-2.76</v>
      </c>
      <c r="BG77" s="6">
        <v>45324</v>
      </c>
      <c r="BH77" s="5" t="s">
        <v>52</v>
      </c>
      <c r="BI77" s="5" t="s">
        <v>45</v>
      </c>
      <c r="BJ77" s="8" t="s">
        <v>46</v>
      </c>
      <c r="BK77" s="8" t="s">
        <v>46</v>
      </c>
      <c r="BL77" s="5" t="s">
        <v>45</v>
      </c>
      <c r="BM77" s="8">
        <v>0</v>
      </c>
      <c r="BN77" s="8">
        <v>0</v>
      </c>
      <c r="BO77" s="8">
        <v>0</v>
      </c>
      <c r="BP77" s="10" t="s">
        <v>46</v>
      </c>
    </row>
    <row r="78" spans="1:68" ht="14.5" customHeight="1" x14ac:dyDescent="0.35">
      <c r="A78" s="5">
        <v>77</v>
      </c>
      <c r="B78" s="6">
        <v>45322</v>
      </c>
      <c r="C78" s="5" t="s">
        <v>44</v>
      </c>
      <c r="D78" s="5" t="s">
        <v>45</v>
      </c>
      <c r="E78" s="5" t="s">
        <v>46</v>
      </c>
      <c r="F78" s="5" t="s">
        <v>47</v>
      </c>
      <c r="G78" s="7">
        <v>0.85416666666666663</v>
      </c>
      <c r="H78" s="7">
        <v>0.875</v>
      </c>
      <c r="I78" s="5">
        <v>1.2659</v>
      </c>
      <c r="J78" s="5">
        <v>1.2684</v>
      </c>
      <c r="K78" s="8">
        <v>-2.5</v>
      </c>
      <c r="L78" s="8">
        <v>5</v>
      </c>
      <c r="M78" s="5">
        <f>IF(F78="Sell", INT(I78) + (ROUND(MOD(I78,1) + 0.0025, 4)), IF(F78="Buy", INT(I78) + (ROUND(MOD(I78,1) - 0.0025, 4)), "Invalid Direction"))</f>
        <v>1.2684</v>
      </c>
      <c r="N78" s="5">
        <f>IF(F78="Sell", INT(I78) + (ROUND(MOD(I78,1) - 0.005, 4)), IF(F78="Buy", INT(I78) + (ROUND(MOD(I78,1) + 0.005, 4)), "Invalid Direction"))</f>
        <v>1.2608999999999999</v>
      </c>
      <c r="O78" s="5">
        <v>2</v>
      </c>
      <c r="P78" s="8">
        <v>0.12999999999996301</v>
      </c>
      <c r="Q78" s="8">
        <v>-2.97999999999998</v>
      </c>
      <c r="R78" s="5">
        <v>0</v>
      </c>
      <c r="S78" s="5" t="s">
        <v>68</v>
      </c>
      <c r="T78" s="8">
        <v>-2.5</v>
      </c>
      <c r="U78" s="5">
        <v>6</v>
      </c>
      <c r="V78" s="5" t="s">
        <v>49</v>
      </c>
      <c r="W78" s="5" t="s">
        <v>248</v>
      </c>
      <c r="X78" s="5">
        <v>4</v>
      </c>
      <c r="Y78" s="5" t="s">
        <v>49</v>
      </c>
      <c r="Z78" s="5" t="s">
        <v>246</v>
      </c>
      <c r="AA78" s="6">
        <v>45323</v>
      </c>
      <c r="AB78" s="5" t="s">
        <v>52</v>
      </c>
      <c r="AC78" s="5" t="s">
        <v>45</v>
      </c>
      <c r="AD78" s="8" t="s">
        <v>46</v>
      </c>
      <c r="AE78" s="8" t="s">
        <v>46</v>
      </c>
      <c r="AF78" s="8" t="s">
        <v>46</v>
      </c>
      <c r="AG78" s="5">
        <v>6</v>
      </c>
      <c r="AH78" s="8">
        <v>0</v>
      </c>
      <c r="AI78" s="8">
        <v>0</v>
      </c>
      <c r="AJ78" s="8">
        <v>0</v>
      </c>
      <c r="AK78" s="10" t="s">
        <v>46</v>
      </c>
      <c r="AL78" s="5"/>
      <c r="AM78" s="5">
        <v>77</v>
      </c>
      <c r="AN78" s="6">
        <v>45322</v>
      </c>
      <c r="AO78" s="5" t="s">
        <v>53</v>
      </c>
      <c r="AP78" s="5" t="s">
        <v>45</v>
      </c>
      <c r="AQ78" s="5" t="s">
        <v>46</v>
      </c>
      <c r="AR78" s="5" t="s">
        <v>47</v>
      </c>
      <c r="AS78" s="9">
        <v>0.85416666666666663</v>
      </c>
      <c r="AT78" s="9">
        <v>0.875</v>
      </c>
      <c r="AU78" s="5">
        <v>1.2659</v>
      </c>
      <c r="AV78" s="5">
        <v>1.2685999999999999</v>
      </c>
      <c r="AW78" s="5">
        <f>IF(AR78="Sell", INT(AU78) + (ROUND(MOD(AU78,1) + 0.002704, 4)), IF(AR78="Buy", INT(AU78) + (ROUND(MOD(AU78,1) - 0.002708, 4)), "Invalid Direction"))</f>
        <v>1.2685999999999999</v>
      </c>
      <c r="AX78" s="5">
        <v>1.2608999999999999</v>
      </c>
      <c r="AY78" s="5" t="s">
        <v>249</v>
      </c>
      <c r="AZ78" s="8">
        <v>-2.74</v>
      </c>
      <c r="BA78" s="5">
        <v>2</v>
      </c>
      <c r="BB78" s="8">
        <v>0.12999999999996301</v>
      </c>
      <c r="BC78" s="8">
        <v>-2.97999999999998</v>
      </c>
      <c r="BD78" s="5">
        <v>0</v>
      </c>
      <c r="BE78" s="5" t="s">
        <v>68</v>
      </c>
      <c r="BF78" s="8">
        <v>-2.74</v>
      </c>
      <c r="BG78" s="6">
        <v>45323</v>
      </c>
      <c r="BH78" s="5" t="s">
        <v>52</v>
      </c>
      <c r="BI78" s="5" t="s">
        <v>45</v>
      </c>
      <c r="BJ78" s="8" t="s">
        <v>46</v>
      </c>
      <c r="BK78" s="8" t="s">
        <v>46</v>
      </c>
      <c r="BL78" s="8" t="s">
        <v>46</v>
      </c>
      <c r="BM78" s="8">
        <v>0</v>
      </c>
      <c r="BN78" s="8">
        <v>0</v>
      </c>
      <c r="BO78" s="8">
        <v>0</v>
      </c>
      <c r="BP78" s="10" t="s">
        <v>46</v>
      </c>
    </row>
    <row r="79" spans="1:68" ht="14.5" customHeight="1" x14ac:dyDescent="0.35">
      <c r="A79" s="5">
        <v>78</v>
      </c>
      <c r="B79" s="6">
        <v>45321</v>
      </c>
      <c r="C79" s="5" t="s">
        <v>44</v>
      </c>
      <c r="D79" s="5" t="s">
        <v>45</v>
      </c>
      <c r="E79" s="5" t="s">
        <v>46</v>
      </c>
      <c r="F79" s="5" t="s">
        <v>47</v>
      </c>
      <c r="G79" s="7">
        <v>0.625</v>
      </c>
      <c r="H79" s="7">
        <v>0.6875</v>
      </c>
      <c r="I79" s="5">
        <v>1.2653000000000001</v>
      </c>
      <c r="J79" s="5">
        <v>1.2678</v>
      </c>
      <c r="K79" s="8">
        <v>-2.5</v>
      </c>
      <c r="L79" s="8">
        <v>5</v>
      </c>
      <c r="M79" s="5">
        <f>IF(F79="Sell", INT(I79) + (ROUND(MOD(I79,1) + 0.0025, 4)), IF(F79="Buy", INT(I79) + (ROUND(MOD(I79,1) - 0.0025, 4)), "Invalid Direction"))</f>
        <v>1.2678</v>
      </c>
      <c r="N79" s="5">
        <f>IF(F79="Sell", INT(I79) + (ROUND(MOD(I79,1) - 0.005, 4)), IF(F79="Buy", INT(I79) + (ROUND(MOD(I79,1) + 0.005, 4)), "Invalid Direction"))</f>
        <v>1.2603</v>
      </c>
      <c r="O79" s="5">
        <v>4</v>
      </c>
      <c r="P79" s="8">
        <v>1.3500000000001844</v>
      </c>
      <c r="Q79" s="8">
        <v>-4.6999999999999265</v>
      </c>
      <c r="R79" s="5">
        <v>0</v>
      </c>
      <c r="S79" s="5" t="s">
        <v>68</v>
      </c>
      <c r="T79" s="8">
        <v>-2.5</v>
      </c>
      <c r="U79" s="5">
        <v>2</v>
      </c>
      <c r="V79" s="5" t="s">
        <v>49</v>
      </c>
      <c r="W79" s="5" t="s">
        <v>250</v>
      </c>
      <c r="X79" s="5">
        <v>6</v>
      </c>
      <c r="Y79" s="5" t="s">
        <v>49</v>
      </c>
      <c r="Z79" s="5" t="s">
        <v>248</v>
      </c>
      <c r="AA79" s="6">
        <v>45322</v>
      </c>
      <c r="AB79" s="5" t="s">
        <v>52</v>
      </c>
      <c r="AC79" s="5" t="s">
        <v>52</v>
      </c>
      <c r="AD79" s="8" t="s">
        <v>46</v>
      </c>
      <c r="AE79" s="8" t="s">
        <v>46</v>
      </c>
      <c r="AF79" s="8" t="s">
        <v>46</v>
      </c>
      <c r="AG79" s="5">
        <v>0</v>
      </c>
      <c r="AH79" s="8">
        <v>0</v>
      </c>
      <c r="AI79" s="8">
        <v>0</v>
      </c>
      <c r="AJ79" s="8">
        <v>0</v>
      </c>
      <c r="AK79" s="10" t="s">
        <v>46</v>
      </c>
      <c r="AL79" s="5"/>
      <c r="AM79" s="5">
        <v>78</v>
      </c>
      <c r="AN79" s="6">
        <v>45321</v>
      </c>
      <c r="AO79" s="5" t="s">
        <v>53</v>
      </c>
      <c r="AP79" s="5" t="s">
        <v>45</v>
      </c>
      <c r="AQ79" s="5" t="s">
        <v>46</v>
      </c>
      <c r="AR79" s="5" t="s">
        <v>47</v>
      </c>
      <c r="AS79" s="9">
        <v>0.625</v>
      </c>
      <c r="AT79" s="9">
        <v>0.6875</v>
      </c>
      <c r="AU79" s="5">
        <v>1.2653000000000001</v>
      </c>
      <c r="AV79" s="5">
        <v>1.26807</v>
      </c>
      <c r="AW79" s="5">
        <v>1.26807</v>
      </c>
      <c r="AX79" s="5">
        <v>1.2603</v>
      </c>
      <c r="AY79" s="5" t="s">
        <v>251</v>
      </c>
      <c r="AZ79" s="8">
        <v>-2.77</v>
      </c>
      <c r="BA79" s="5">
        <v>4</v>
      </c>
      <c r="BB79" s="8">
        <v>1.3500000000001844</v>
      </c>
      <c r="BC79" s="8">
        <v>-4.6999999999999265</v>
      </c>
      <c r="BD79" s="5">
        <v>0</v>
      </c>
      <c r="BE79" s="5" t="s">
        <v>68</v>
      </c>
      <c r="BF79" s="8">
        <v>-2.77</v>
      </c>
      <c r="BG79" s="6">
        <v>45322</v>
      </c>
      <c r="BH79" s="5" t="s">
        <v>52</v>
      </c>
      <c r="BI79" s="5" t="s">
        <v>52</v>
      </c>
      <c r="BJ79" s="8" t="s">
        <v>46</v>
      </c>
      <c r="BK79" s="8" t="s">
        <v>46</v>
      </c>
      <c r="BL79" s="8" t="s">
        <v>46</v>
      </c>
      <c r="BM79" s="8">
        <v>0</v>
      </c>
      <c r="BN79" s="8">
        <v>0</v>
      </c>
      <c r="BO79" s="8">
        <v>0</v>
      </c>
      <c r="BP79" s="10" t="s">
        <v>46</v>
      </c>
    </row>
    <row r="80" spans="1:68" ht="14.5" customHeight="1" x14ac:dyDescent="0.35">
      <c r="A80" s="5">
        <v>79</v>
      </c>
      <c r="B80" s="6">
        <v>45320</v>
      </c>
      <c r="C80" s="5" t="s">
        <v>44</v>
      </c>
      <c r="D80" s="5" t="s">
        <v>45</v>
      </c>
      <c r="E80" s="5" t="s">
        <v>46</v>
      </c>
      <c r="F80" s="5" t="s">
        <v>47</v>
      </c>
      <c r="G80" s="7">
        <v>0.60416666666666663</v>
      </c>
      <c r="H80" s="7">
        <v>0.83333333333333337</v>
      </c>
      <c r="I80" s="5">
        <v>1.2676000000000001</v>
      </c>
      <c r="J80" s="5">
        <v>1.2701</v>
      </c>
      <c r="K80" s="8">
        <v>-2.5</v>
      </c>
      <c r="L80" s="8">
        <v>5</v>
      </c>
      <c r="M80" s="5">
        <f>IF(F80="Sell", INT(I80) + (ROUND(MOD(I80,1) + 0.0025, 4)), IF(F80="Buy", INT(I80) + (ROUND(MOD(I80,1) - 0.0025, 4)), "Invalid Direction"))</f>
        <v>1.2701</v>
      </c>
      <c r="N80" s="5">
        <f>IF(F80="Sell", INT(I80) + (ROUND(MOD(I80,1) - 0.005, 4)), IF(F80="Buy", INT(I80) + (ROUND(MOD(I80,1) + 0.005, 4)), "Invalid Direction"))</f>
        <v>1.2625999999999999</v>
      </c>
      <c r="O80" s="5">
        <v>12</v>
      </c>
      <c r="P80" s="8">
        <v>1.44</v>
      </c>
      <c r="Q80" s="8">
        <v>-4.07</v>
      </c>
      <c r="R80" s="5">
        <v>5</v>
      </c>
      <c r="S80" s="5" t="s">
        <v>68</v>
      </c>
      <c r="T80" s="8">
        <v>-2.5</v>
      </c>
      <c r="U80" s="5">
        <v>2</v>
      </c>
      <c r="V80" s="5" t="s">
        <v>49</v>
      </c>
      <c r="W80" s="5" t="s">
        <v>252</v>
      </c>
      <c r="X80" s="5">
        <v>2</v>
      </c>
      <c r="Y80" s="5" t="s">
        <v>49</v>
      </c>
      <c r="Z80" s="5" t="s">
        <v>250</v>
      </c>
      <c r="AA80" s="6">
        <v>45321</v>
      </c>
      <c r="AB80" s="5" t="s">
        <v>52</v>
      </c>
      <c r="AC80" s="5" t="s">
        <v>52</v>
      </c>
      <c r="AD80" s="8" t="s">
        <v>46</v>
      </c>
      <c r="AE80" s="8" t="s">
        <v>46</v>
      </c>
      <c r="AF80" s="8" t="s">
        <v>46</v>
      </c>
      <c r="AG80" s="5">
        <v>0</v>
      </c>
      <c r="AH80" s="8">
        <v>0</v>
      </c>
      <c r="AI80" s="8">
        <v>0</v>
      </c>
      <c r="AJ80" s="8">
        <v>0</v>
      </c>
      <c r="AK80" s="10" t="s">
        <v>46</v>
      </c>
      <c r="AL80" s="5"/>
      <c r="AM80" s="5">
        <v>79</v>
      </c>
      <c r="AN80" s="6">
        <v>45320</v>
      </c>
      <c r="AO80" s="5" t="s">
        <v>53</v>
      </c>
      <c r="AP80" s="5" t="s">
        <v>45</v>
      </c>
      <c r="AQ80" s="5" t="s">
        <v>46</v>
      </c>
      <c r="AR80" s="5" t="s">
        <v>47</v>
      </c>
      <c r="AS80" s="7">
        <v>0.60416666666666663</v>
      </c>
      <c r="AT80" s="7">
        <v>0.83333333333333337</v>
      </c>
      <c r="AU80" s="5">
        <v>1.2676000000000001</v>
      </c>
      <c r="AV80" s="5">
        <v>1.2704200000000001</v>
      </c>
      <c r="AW80" s="5">
        <v>1.2704200000000001</v>
      </c>
      <c r="AX80" s="5">
        <v>1.2625999999999999</v>
      </c>
      <c r="AY80" s="5" t="s">
        <v>253</v>
      </c>
      <c r="AZ80" s="8">
        <v>-2.82</v>
      </c>
      <c r="BA80" s="5">
        <v>12</v>
      </c>
      <c r="BB80" s="8">
        <v>1.44</v>
      </c>
      <c r="BC80" s="8">
        <v>-4.07</v>
      </c>
      <c r="BD80" s="5">
        <v>5</v>
      </c>
      <c r="BE80" s="5" t="s">
        <v>68</v>
      </c>
      <c r="BF80" s="8">
        <v>-2.82</v>
      </c>
      <c r="BG80" s="6">
        <v>45321</v>
      </c>
      <c r="BH80" s="5" t="s">
        <v>52</v>
      </c>
      <c r="BI80" s="5" t="s">
        <v>52</v>
      </c>
      <c r="BJ80" s="8" t="s">
        <v>46</v>
      </c>
      <c r="BK80" s="8" t="s">
        <v>46</v>
      </c>
      <c r="BL80" s="8" t="s">
        <v>46</v>
      </c>
      <c r="BM80" s="8">
        <v>0</v>
      </c>
      <c r="BN80" s="8">
        <v>0</v>
      </c>
      <c r="BO80" s="8">
        <v>0</v>
      </c>
      <c r="BP80" s="10" t="s">
        <v>46</v>
      </c>
    </row>
    <row r="81" spans="1:68" ht="14.5" customHeight="1" x14ac:dyDescent="0.35">
      <c r="A81" s="5">
        <v>80</v>
      </c>
      <c r="B81" s="6">
        <v>45315</v>
      </c>
      <c r="C81" s="5" t="s">
        <v>44</v>
      </c>
      <c r="D81" s="5" t="s">
        <v>45</v>
      </c>
      <c r="E81" s="5" t="s">
        <v>46</v>
      </c>
      <c r="F81" s="5" t="s">
        <v>67</v>
      </c>
      <c r="G81" s="7">
        <v>0.39583333333333331</v>
      </c>
      <c r="H81" s="7">
        <v>0.79166666666666663</v>
      </c>
      <c r="I81" s="5">
        <v>1.2743</v>
      </c>
      <c r="J81" s="5">
        <v>1.2718</v>
      </c>
      <c r="K81" s="8">
        <v>-2.5</v>
      </c>
      <c r="L81" s="8">
        <v>5</v>
      </c>
      <c r="M81" s="5">
        <f>IF(F81="Sell", INT(I81) + (ROUND(MOD(I81,1) + 0.0025, 4)), IF(F81="Buy", INT(I81) + (ROUND(MOD(I81,1) - 0.0025, 4)), "Invalid Direction"))</f>
        <v>1.2718</v>
      </c>
      <c r="N81" s="5">
        <f>IF(F81="Sell", INT(I81) + (ROUND(MOD(I81,1) - 0.005, 4)), IF(F81="Buy", INT(I81) + (ROUND(MOD(I81,1) + 0.005, 4)), "Invalid Direction"))</f>
        <v>1.2793000000000001</v>
      </c>
      <c r="O81" s="5">
        <v>20</v>
      </c>
      <c r="P81" s="8">
        <v>3.11</v>
      </c>
      <c r="Q81" s="8">
        <v>-3</v>
      </c>
      <c r="R81" s="5">
        <v>11</v>
      </c>
      <c r="S81" s="5" t="s">
        <v>68</v>
      </c>
      <c r="T81" s="8">
        <v>-2.5</v>
      </c>
      <c r="U81" s="5">
        <v>1</v>
      </c>
      <c r="V81" s="5" t="s">
        <v>49</v>
      </c>
      <c r="W81" s="5" t="s">
        <v>254</v>
      </c>
      <c r="X81" s="5">
        <v>4</v>
      </c>
      <c r="Y81" s="5" t="s">
        <v>49</v>
      </c>
      <c r="Z81" s="5" t="s">
        <v>255</v>
      </c>
      <c r="AA81" s="6">
        <v>45316</v>
      </c>
      <c r="AB81" s="5" t="s">
        <v>52</v>
      </c>
      <c r="AC81" s="5" t="s">
        <v>52</v>
      </c>
      <c r="AD81" s="8" t="s">
        <v>46</v>
      </c>
      <c r="AE81" s="8" t="s">
        <v>46</v>
      </c>
      <c r="AF81" s="8" t="s">
        <v>46</v>
      </c>
      <c r="AG81" s="5">
        <v>0</v>
      </c>
      <c r="AH81" s="8">
        <v>0</v>
      </c>
      <c r="AI81" s="8">
        <v>0</v>
      </c>
      <c r="AJ81" s="8">
        <v>0</v>
      </c>
      <c r="AK81" s="10" t="s">
        <v>46</v>
      </c>
      <c r="AL81" s="5"/>
      <c r="AM81" s="5">
        <v>80</v>
      </c>
      <c r="AN81" s="6">
        <v>45315</v>
      </c>
      <c r="AO81" s="5" t="s">
        <v>53</v>
      </c>
      <c r="AP81" s="5" t="s">
        <v>45</v>
      </c>
      <c r="AQ81" s="5" t="s">
        <v>46</v>
      </c>
      <c r="AR81" s="5" t="s">
        <v>67</v>
      </c>
      <c r="AS81" s="9">
        <v>0.39583333333333331</v>
      </c>
      <c r="AT81" s="9">
        <v>0.79166666666666663</v>
      </c>
      <c r="AU81" s="5">
        <v>1.2743</v>
      </c>
      <c r="AV81" s="5">
        <v>1.27146</v>
      </c>
      <c r="AW81" s="5">
        <v>1.27146</v>
      </c>
      <c r="AX81" s="5">
        <v>1.2793000000000001</v>
      </c>
      <c r="AY81" s="5" t="s">
        <v>256</v>
      </c>
      <c r="AZ81" s="8">
        <v>-2.84</v>
      </c>
      <c r="BA81" s="5">
        <v>20</v>
      </c>
      <c r="BB81" s="8">
        <v>3.11</v>
      </c>
      <c r="BC81" s="8">
        <v>-3</v>
      </c>
      <c r="BD81" s="5">
        <v>11</v>
      </c>
      <c r="BE81" s="5" t="s">
        <v>68</v>
      </c>
      <c r="BF81" s="8">
        <v>-2.84</v>
      </c>
      <c r="BG81" s="6">
        <v>45316</v>
      </c>
      <c r="BH81" s="5" t="s">
        <v>52</v>
      </c>
      <c r="BI81" s="5" t="s">
        <v>52</v>
      </c>
      <c r="BJ81" s="8" t="s">
        <v>46</v>
      </c>
      <c r="BK81" s="8" t="s">
        <v>46</v>
      </c>
      <c r="BL81" s="8" t="s">
        <v>46</v>
      </c>
      <c r="BM81" s="8">
        <v>0</v>
      </c>
      <c r="BN81" s="8">
        <v>0</v>
      </c>
      <c r="BO81" s="8">
        <v>0</v>
      </c>
      <c r="BP81" s="10" t="s">
        <v>46</v>
      </c>
    </row>
    <row r="82" spans="1:68" ht="14.5" customHeight="1" x14ac:dyDescent="0.35">
      <c r="A82" s="5">
        <v>81</v>
      </c>
      <c r="B82" s="6">
        <v>45314</v>
      </c>
      <c r="C82" s="5" t="s">
        <v>44</v>
      </c>
      <c r="D82" s="5" t="s">
        <v>45</v>
      </c>
      <c r="E82" s="5" t="s">
        <v>46</v>
      </c>
      <c r="F82" s="5" t="s">
        <v>67</v>
      </c>
      <c r="G82" s="7">
        <v>0.22916666666666666</v>
      </c>
      <c r="H82" s="7">
        <v>0.45833333333333331</v>
      </c>
      <c r="I82" s="5">
        <v>1.2731000000000001</v>
      </c>
      <c r="J82" s="5">
        <v>1.2706</v>
      </c>
      <c r="K82" s="8">
        <v>-2.5</v>
      </c>
      <c r="L82" s="8">
        <v>5</v>
      </c>
      <c r="M82" s="5">
        <f>IF(F82="Sell", INT(I82) + (ROUND(MOD(I82,1) + 0.0025, 4)), IF(F82="Buy", INT(I82) + (ROUND(MOD(I82,1) - 0.0025, 4)), "Invalid Direction"))</f>
        <v>1.2706</v>
      </c>
      <c r="N82" s="5">
        <f>IF(F82="Sell", INT(I82) + (ROUND(MOD(I82,1) - 0.005, 4)), IF(F82="Buy", INT(I82) + (ROUND(MOD(I82,1) + 0.005, 4)), "Invalid Direction"))</f>
        <v>1.2781</v>
      </c>
      <c r="O82" s="5">
        <v>12</v>
      </c>
      <c r="P82" s="8">
        <v>1.58</v>
      </c>
      <c r="Q82" s="8">
        <v>-8.25</v>
      </c>
      <c r="R82" s="5">
        <v>3</v>
      </c>
      <c r="S82" s="5" t="s">
        <v>68</v>
      </c>
      <c r="T82" s="8">
        <v>-2.5</v>
      </c>
      <c r="U82" s="5">
        <v>2</v>
      </c>
      <c r="V82" s="5" t="s">
        <v>56</v>
      </c>
      <c r="W82" s="5" t="s">
        <v>257</v>
      </c>
      <c r="X82" s="5">
        <v>1</v>
      </c>
      <c r="Y82" s="5" t="s">
        <v>49</v>
      </c>
      <c r="Z82" s="5" t="s">
        <v>254</v>
      </c>
      <c r="AA82" s="6">
        <v>45315</v>
      </c>
      <c r="AB82" s="5" t="s">
        <v>52</v>
      </c>
      <c r="AC82" s="5" t="s">
        <v>52</v>
      </c>
      <c r="AD82" s="8" t="s">
        <v>46</v>
      </c>
      <c r="AE82" s="8" t="s">
        <v>46</v>
      </c>
      <c r="AF82" s="8" t="s">
        <v>46</v>
      </c>
      <c r="AG82" s="5">
        <v>4</v>
      </c>
      <c r="AH82" s="8">
        <v>0</v>
      </c>
      <c r="AI82" s="8">
        <v>0</v>
      </c>
      <c r="AJ82" s="8">
        <v>0</v>
      </c>
      <c r="AK82" s="10" t="s">
        <v>46</v>
      </c>
      <c r="AL82" s="5"/>
      <c r="AM82" s="5">
        <v>81</v>
      </c>
      <c r="AN82" s="6">
        <v>45314</v>
      </c>
      <c r="AO82" s="5" t="s">
        <v>53</v>
      </c>
      <c r="AP82" s="5" t="s">
        <v>45</v>
      </c>
      <c r="AQ82" s="5" t="s">
        <v>46</v>
      </c>
      <c r="AR82" s="5" t="s">
        <v>67</v>
      </c>
      <c r="AS82" s="9">
        <v>0.22916666666666666</v>
      </c>
      <c r="AT82" s="9">
        <v>0.45833333333333331</v>
      </c>
      <c r="AU82" s="5">
        <v>1.2731000000000001</v>
      </c>
      <c r="AV82" s="5">
        <v>1.2702</v>
      </c>
      <c r="AW82" s="5">
        <v>1.2702</v>
      </c>
      <c r="AX82" s="5">
        <v>1.2781</v>
      </c>
      <c r="AY82" s="5" t="s">
        <v>258</v>
      </c>
      <c r="AZ82" s="8">
        <v>-2.9</v>
      </c>
      <c r="BA82" s="5">
        <v>12</v>
      </c>
      <c r="BB82" s="8">
        <v>1.58</v>
      </c>
      <c r="BC82" s="8">
        <v>-8.25</v>
      </c>
      <c r="BD82" s="5">
        <v>3</v>
      </c>
      <c r="BE82" s="5" t="s">
        <v>68</v>
      </c>
      <c r="BF82" s="8">
        <v>-2.9</v>
      </c>
      <c r="BG82" s="6">
        <v>45315</v>
      </c>
      <c r="BH82" s="5" t="s">
        <v>52</v>
      </c>
      <c r="BI82" s="5" t="s">
        <v>52</v>
      </c>
      <c r="BJ82" s="8" t="s">
        <v>46</v>
      </c>
      <c r="BK82" s="8" t="s">
        <v>46</v>
      </c>
      <c r="BL82" s="8" t="s">
        <v>46</v>
      </c>
      <c r="BM82" s="8">
        <v>0</v>
      </c>
      <c r="BN82" s="8">
        <v>0</v>
      </c>
      <c r="BO82" s="8">
        <v>0</v>
      </c>
      <c r="BP82" s="10" t="s">
        <v>46</v>
      </c>
    </row>
    <row r="83" spans="1:68" ht="14.5" customHeight="1" x14ac:dyDescent="0.35">
      <c r="A83" s="5">
        <v>82</v>
      </c>
      <c r="B83" s="6">
        <v>45308</v>
      </c>
      <c r="C83" s="5" t="s">
        <v>44</v>
      </c>
      <c r="D83" s="5" t="s">
        <v>45</v>
      </c>
      <c r="E83" s="5" t="s">
        <v>46</v>
      </c>
      <c r="F83" s="5" t="s">
        <v>47</v>
      </c>
      <c r="G83" s="7">
        <v>0.125</v>
      </c>
      <c r="H83" s="7">
        <v>0.29166666666666669</v>
      </c>
      <c r="I83" s="5">
        <v>1.2621</v>
      </c>
      <c r="J83" s="5">
        <v>1.2645999999999999</v>
      </c>
      <c r="K83" s="8">
        <v>-2.5</v>
      </c>
      <c r="L83" s="8">
        <v>5</v>
      </c>
      <c r="M83" s="5">
        <f>IF(F83="Sell", INT(I83) + (ROUND(MOD(I83,1) + 0.0025, 4)), IF(F83="Buy", INT(I83) + (ROUND(MOD(I83,1) - 0.0025, 4)), "Invalid Direction"))</f>
        <v>1.2645999999999999</v>
      </c>
      <c r="N83" s="5">
        <f>IF(F83="Sell", INT(I83) + (ROUND(MOD(I83,1) - 0.005, 4)), IF(F83="Buy", INT(I83) + (ROUND(MOD(I83,1) + 0.005, 4)), "Invalid Direction"))</f>
        <v>1.2570999999999999</v>
      </c>
      <c r="O83" s="5">
        <v>8</v>
      </c>
      <c r="P83" s="8">
        <v>2.4900000000000002</v>
      </c>
      <c r="Q83" s="8">
        <v>-7.47</v>
      </c>
      <c r="R83" s="5">
        <v>5</v>
      </c>
      <c r="S83" s="5" t="s">
        <v>68</v>
      </c>
      <c r="T83" s="8">
        <v>-2.5</v>
      </c>
      <c r="U83" s="5">
        <v>3</v>
      </c>
      <c r="V83" s="5" t="s">
        <v>49</v>
      </c>
      <c r="W83" s="5" t="s">
        <v>259</v>
      </c>
      <c r="X83" s="5">
        <v>3</v>
      </c>
      <c r="Y83" s="5" t="s">
        <v>49</v>
      </c>
      <c r="Z83" s="5" t="s">
        <v>260</v>
      </c>
      <c r="AA83" s="6">
        <v>45309</v>
      </c>
      <c r="AB83" s="5" t="s">
        <v>52</v>
      </c>
      <c r="AC83" s="5" t="s">
        <v>52</v>
      </c>
      <c r="AD83" s="8" t="s">
        <v>46</v>
      </c>
      <c r="AE83" s="8" t="s">
        <v>46</v>
      </c>
      <c r="AF83" s="8" t="s">
        <v>46</v>
      </c>
      <c r="AG83" s="5">
        <v>0</v>
      </c>
      <c r="AH83" s="8">
        <v>0</v>
      </c>
      <c r="AI83" s="8">
        <v>0</v>
      </c>
      <c r="AJ83" s="8">
        <v>0</v>
      </c>
      <c r="AK83" s="10" t="s">
        <v>46</v>
      </c>
      <c r="AL83" s="5"/>
      <c r="AM83" s="5">
        <v>82</v>
      </c>
      <c r="AN83" s="6">
        <v>45308</v>
      </c>
      <c r="AO83" s="5" t="s">
        <v>53</v>
      </c>
      <c r="AP83" s="5" t="s">
        <v>45</v>
      </c>
      <c r="AQ83" s="5" t="s">
        <v>46</v>
      </c>
      <c r="AR83" s="5" t="s">
        <v>47</v>
      </c>
      <c r="AS83" s="9">
        <v>0.125</v>
      </c>
      <c r="AT83" s="9">
        <v>0.29166666666666669</v>
      </c>
      <c r="AU83" s="5">
        <v>1.2621</v>
      </c>
      <c r="AV83" s="5">
        <v>1.2650399999999999</v>
      </c>
      <c r="AW83" s="5">
        <v>1.2650399999999999</v>
      </c>
      <c r="AX83" s="5">
        <v>1.2570999999999999</v>
      </c>
      <c r="AY83" s="5" t="s">
        <v>261</v>
      </c>
      <c r="AZ83" s="8">
        <v>-2.94</v>
      </c>
      <c r="BA83" s="5">
        <v>8</v>
      </c>
      <c r="BB83" s="8">
        <v>2.4900000000000002</v>
      </c>
      <c r="BC83" s="8">
        <v>-7.47</v>
      </c>
      <c r="BD83" s="5">
        <v>5</v>
      </c>
      <c r="BE83" s="5" t="s">
        <v>68</v>
      </c>
      <c r="BF83" s="8">
        <v>-2.94</v>
      </c>
      <c r="BG83" s="6">
        <v>45309</v>
      </c>
      <c r="BH83" s="5" t="s">
        <v>52</v>
      </c>
      <c r="BI83" s="5" t="s">
        <v>52</v>
      </c>
      <c r="BJ83" s="8" t="s">
        <v>46</v>
      </c>
      <c r="BK83" s="8" t="s">
        <v>46</v>
      </c>
      <c r="BL83" s="8" t="s">
        <v>46</v>
      </c>
      <c r="BM83" s="8">
        <v>0</v>
      </c>
      <c r="BN83" s="8">
        <v>0</v>
      </c>
      <c r="BO83" s="8">
        <v>0</v>
      </c>
      <c r="BP83" s="10" t="s">
        <v>46</v>
      </c>
    </row>
    <row r="84" spans="1:68" ht="14.5" customHeight="1" x14ac:dyDescent="0.35">
      <c r="A84" s="5">
        <v>83</v>
      </c>
      <c r="B84" s="6">
        <v>45306</v>
      </c>
      <c r="C84" s="5" t="s">
        <v>44</v>
      </c>
      <c r="D84" s="5" t="s">
        <v>45</v>
      </c>
      <c r="E84" s="5" t="s">
        <v>46</v>
      </c>
      <c r="F84" s="5" t="s">
        <v>47</v>
      </c>
      <c r="G84" s="7">
        <v>4.1666666666666664E-2</v>
      </c>
      <c r="H84" s="7">
        <v>0.39583333333333331</v>
      </c>
      <c r="I84" s="5">
        <v>1.2688999999999999</v>
      </c>
      <c r="J84" s="5">
        <v>1.2639</v>
      </c>
      <c r="K84" s="8">
        <v>-2.5</v>
      </c>
      <c r="L84" s="8">
        <v>5</v>
      </c>
      <c r="M84" s="5">
        <f>IF(F84="Sell", INT(I84) + (ROUND(MOD(I84,1) + 0.0025, 4)), IF(F84="Buy", INT(I84) + (ROUND(MOD(I84,1) - 0.0025, 4)), "Invalid Direction"))</f>
        <v>1.2713999999999999</v>
      </c>
      <c r="N84" s="5">
        <f>IF(F84="Sell", INT(I84) + (ROUND(MOD(I84,1) - 0.005, 4)), IF(F84="Buy", INT(I84) + (ROUND(MOD(I84,1) + 0.005, 4)), "Invalid Direction"))</f>
        <v>1.2639</v>
      </c>
      <c r="O84" s="5">
        <v>18</v>
      </c>
      <c r="P84" s="8">
        <v>6.95</v>
      </c>
      <c r="Q84" s="8">
        <v>-0.92</v>
      </c>
      <c r="R84" s="5">
        <v>2</v>
      </c>
      <c r="S84" s="5" t="s">
        <v>48</v>
      </c>
      <c r="T84" s="8">
        <v>5</v>
      </c>
      <c r="U84" s="5">
        <v>0</v>
      </c>
      <c r="V84" s="5" t="s">
        <v>46</v>
      </c>
      <c r="W84" s="5" t="s">
        <v>46</v>
      </c>
      <c r="X84" s="5">
        <v>3</v>
      </c>
      <c r="Y84" s="5" t="s">
        <v>49</v>
      </c>
      <c r="Z84" s="5" t="s">
        <v>259</v>
      </c>
      <c r="AA84" s="6">
        <v>45307</v>
      </c>
      <c r="AB84" s="5" t="s">
        <v>52</v>
      </c>
      <c r="AC84" s="5" t="s">
        <v>52</v>
      </c>
      <c r="AD84" s="8" t="s">
        <v>46</v>
      </c>
      <c r="AE84" s="8" t="s">
        <v>46</v>
      </c>
      <c r="AF84" s="8" t="s">
        <v>46</v>
      </c>
      <c r="AG84" s="5">
        <v>0</v>
      </c>
      <c r="AH84" s="8">
        <v>0</v>
      </c>
      <c r="AI84" s="8">
        <v>0</v>
      </c>
      <c r="AJ84" s="8">
        <v>0</v>
      </c>
      <c r="AK84" s="10" t="s">
        <v>46</v>
      </c>
      <c r="AL84" s="5"/>
      <c r="AM84" s="5">
        <v>83</v>
      </c>
      <c r="AN84" s="6">
        <v>45306</v>
      </c>
      <c r="AO84" s="5" t="s">
        <v>53</v>
      </c>
      <c r="AP84" s="5" t="s">
        <v>45</v>
      </c>
      <c r="AQ84" s="5" t="s">
        <v>46</v>
      </c>
      <c r="AR84" s="5" t="s">
        <v>47</v>
      </c>
      <c r="AS84" s="7">
        <v>4.1666666666666664E-2</v>
      </c>
      <c r="AT84" s="7">
        <v>0.39583333333333331</v>
      </c>
      <c r="AU84" s="5">
        <v>1.2688999999999999</v>
      </c>
      <c r="AV84" s="5">
        <v>1.2639</v>
      </c>
      <c r="AW84" s="5">
        <v>1.2718499999999999</v>
      </c>
      <c r="AX84" s="5">
        <v>1.2639</v>
      </c>
      <c r="AY84" s="5" t="s">
        <v>262</v>
      </c>
      <c r="AZ84" s="8">
        <v>-2.95</v>
      </c>
      <c r="BA84" s="5">
        <v>18</v>
      </c>
      <c r="BB84" s="8">
        <v>6.95</v>
      </c>
      <c r="BC84" s="8">
        <v>-0.92</v>
      </c>
      <c r="BD84" s="5">
        <v>2</v>
      </c>
      <c r="BE84" s="5" t="s">
        <v>48</v>
      </c>
      <c r="BF84" s="8">
        <v>5</v>
      </c>
      <c r="BG84" s="6">
        <v>45307</v>
      </c>
      <c r="BH84" s="5" t="s">
        <v>52</v>
      </c>
      <c r="BI84" s="5" t="s">
        <v>52</v>
      </c>
      <c r="BJ84" s="8" t="s">
        <v>46</v>
      </c>
      <c r="BK84" s="8" t="s">
        <v>46</v>
      </c>
      <c r="BL84" s="8" t="s">
        <v>46</v>
      </c>
      <c r="BM84" s="8">
        <v>0</v>
      </c>
      <c r="BN84" s="8">
        <v>0</v>
      </c>
      <c r="BO84" s="8">
        <v>0</v>
      </c>
      <c r="BP84" s="10" t="s">
        <v>46</v>
      </c>
    </row>
    <row r="85" spans="1:68" ht="14.5" customHeight="1" x14ac:dyDescent="0.35">
      <c r="A85" s="5">
        <v>84</v>
      </c>
      <c r="B85" s="6">
        <v>45302</v>
      </c>
      <c r="C85" s="5" t="s">
        <v>44</v>
      </c>
      <c r="D85" s="5" t="s">
        <v>45</v>
      </c>
      <c r="E85" s="5" t="s">
        <v>46</v>
      </c>
      <c r="F85" s="5" t="s">
        <v>67</v>
      </c>
      <c r="G85" s="7">
        <v>8.3333333333333329E-2</v>
      </c>
      <c r="H85" s="7">
        <v>0.39583333333333331</v>
      </c>
      <c r="I85" s="5">
        <v>1.2766000000000002</v>
      </c>
      <c r="J85" s="5">
        <v>1.2741</v>
      </c>
      <c r="K85" s="8">
        <v>-2.5</v>
      </c>
      <c r="L85" s="8">
        <v>5</v>
      </c>
      <c r="M85" s="5">
        <f>IF(F85="Sell", INT(I85) + (ROUND(MOD(I85,1) + 0.0025, 4)), IF(F85="Buy", INT(I85) + (ROUND(MOD(I85,1) - 0.0025, 4)), "Invalid Direction"))</f>
        <v>1.2741</v>
      </c>
      <c r="N85" s="5">
        <f>IF(F85="Sell", INT(I85) + (ROUND(MOD(I85,1) - 0.005, 4)), IF(F85="Buy", INT(I85) + (ROUND(MOD(I85,1) + 0.005, 4)), "Invalid Direction"))</f>
        <v>1.2816000000000001</v>
      </c>
      <c r="O85" s="5">
        <v>16</v>
      </c>
      <c r="P85" s="8">
        <v>0.78</v>
      </c>
      <c r="Q85" s="8">
        <v>-7.64</v>
      </c>
      <c r="R85" s="5">
        <v>14</v>
      </c>
      <c r="S85" s="5" t="s">
        <v>68</v>
      </c>
      <c r="T85" s="8">
        <v>-2.5</v>
      </c>
      <c r="U85" s="5">
        <v>5</v>
      </c>
      <c r="V85" s="5" t="s">
        <v>49</v>
      </c>
      <c r="W85" s="5" t="s">
        <v>263</v>
      </c>
      <c r="X85" s="5">
        <v>2</v>
      </c>
      <c r="Y85" s="5" t="s">
        <v>49</v>
      </c>
      <c r="Z85" s="5" t="s">
        <v>264</v>
      </c>
      <c r="AA85" s="6">
        <v>45303</v>
      </c>
      <c r="AB85" s="5" t="s">
        <v>52</v>
      </c>
      <c r="AC85" s="5" t="s">
        <v>52</v>
      </c>
      <c r="AD85" s="8" t="s">
        <v>46</v>
      </c>
      <c r="AE85" s="8" t="s">
        <v>46</v>
      </c>
      <c r="AF85" s="8" t="s">
        <v>46</v>
      </c>
      <c r="AG85" s="5">
        <v>13</v>
      </c>
      <c r="AH85" s="8">
        <v>0</v>
      </c>
      <c r="AI85" s="8">
        <v>0</v>
      </c>
      <c r="AJ85" s="8">
        <v>0</v>
      </c>
      <c r="AK85" s="10" t="s">
        <v>46</v>
      </c>
      <c r="AL85" s="5"/>
      <c r="AM85" s="5">
        <v>84</v>
      </c>
      <c r="AN85" s="6">
        <v>45302</v>
      </c>
      <c r="AO85" s="5" t="s">
        <v>53</v>
      </c>
      <c r="AP85" s="5" t="s">
        <v>45</v>
      </c>
      <c r="AQ85" s="5" t="s">
        <v>46</v>
      </c>
      <c r="AR85" s="5" t="s">
        <v>67</v>
      </c>
      <c r="AS85" s="7">
        <v>8.3333333333333329E-2</v>
      </c>
      <c r="AT85" s="7">
        <v>0.39583333333333331</v>
      </c>
      <c r="AU85" s="5">
        <v>1.2766000000000002</v>
      </c>
      <c r="AV85" s="5">
        <v>1.2735300000000001</v>
      </c>
      <c r="AW85" s="5">
        <v>1.2735300000000001</v>
      </c>
      <c r="AX85" s="5">
        <v>1.2816000000000001</v>
      </c>
      <c r="AY85" s="5" t="s">
        <v>265</v>
      </c>
      <c r="AZ85" s="8">
        <v>-3.07</v>
      </c>
      <c r="BA85" s="5">
        <v>16</v>
      </c>
      <c r="BB85" s="8">
        <v>0.78</v>
      </c>
      <c r="BC85" s="8">
        <v>-7.64</v>
      </c>
      <c r="BD85" s="5">
        <v>14</v>
      </c>
      <c r="BE85" s="5" t="s">
        <v>68</v>
      </c>
      <c r="BF85" s="8">
        <v>-3.07</v>
      </c>
      <c r="BG85" s="6">
        <v>45303</v>
      </c>
      <c r="BH85" s="5" t="s">
        <v>52</v>
      </c>
      <c r="BI85" s="5" t="s">
        <v>52</v>
      </c>
      <c r="BJ85" s="8" t="s">
        <v>46</v>
      </c>
      <c r="BK85" s="8" t="s">
        <v>46</v>
      </c>
      <c r="BL85" s="8" t="s">
        <v>46</v>
      </c>
      <c r="BM85" s="8">
        <v>0</v>
      </c>
      <c r="BN85" s="8">
        <v>0</v>
      </c>
      <c r="BO85" s="8">
        <v>0</v>
      </c>
      <c r="BP85" s="10" t="s">
        <v>46</v>
      </c>
    </row>
  </sheetData>
  <pageMargins left="0.7" right="0.7" top="0.75" bottom="0.75" header="0.3" footer="0.3"/>
  <pageSetup orientation="portrait" r:id="rId1"/>
  <tableParts count="2">
    <tablePart r:id="rId2"/>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0430DF-FA41-4D43-923A-95EBBD14F532}">
  <sheetPr>
    <pageSetUpPr autoPageBreaks="0"/>
  </sheetPr>
  <dimension ref="A1:BP110"/>
  <sheetViews>
    <sheetView zoomScale="75" zoomScaleNormal="75" workbookViewId="0">
      <pane ySplit="1" topLeftCell="A2" activePane="bottomLeft" state="frozen"/>
      <selection pane="bottomLeft" activeCell="A2" sqref="A2"/>
    </sheetView>
  </sheetViews>
  <sheetFormatPr defaultRowHeight="14.5" customHeight="1" x14ac:dyDescent="0.35"/>
  <cols>
    <col min="1" max="1" width="8.7265625" bestFit="1" customWidth="1"/>
    <col min="2" max="2" width="12" bestFit="1" customWidth="1"/>
    <col min="3" max="3" width="12.453125" bestFit="1" customWidth="1"/>
    <col min="4" max="4" width="11.81640625" bestFit="1" customWidth="1"/>
    <col min="5" max="5" width="13.81640625" bestFit="1" customWidth="1"/>
    <col min="6" max="6" width="11.26953125" bestFit="1" customWidth="1"/>
    <col min="7" max="7" width="10.90625" bestFit="1" customWidth="1"/>
    <col min="8" max="8" width="9.26953125" customWidth="1"/>
    <col min="9" max="9" width="10.90625" bestFit="1" customWidth="1"/>
    <col min="10" max="10" width="9.26953125" bestFit="1" customWidth="1"/>
    <col min="11" max="11" width="6.54296875" bestFit="1" customWidth="1"/>
    <col min="12" max="12" width="5.90625" bestFit="1" customWidth="1"/>
    <col min="13" max="13" width="8.08984375" bestFit="1" customWidth="1"/>
    <col min="14" max="14" width="8.36328125" bestFit="1" customWidth="1"/>
    <col min="15" max="15" width="11.7265625" bestFit="1" customWidth="1"/>
    <col min="16" max="16" width="7" bestFit="1" customWidth="1"/>
    <col min="17" max="17" width="7.6328125" bestFit="1" customWidth="1"/>
    <col min="18" max="18" width="10.36328125" bestFit="1" customWidth="1"/>
    <col min="19" max="19" width="13.08984375" bestFit="1" customWidth="1"/>
    <col min="20" max="20" width="8.08984375" bestFit="1" customWidth="1"/>
    <col min="21" max="21" width="7" bestFit="1" customWidth="1"/>
    <col min="22" max="22" width="13.453125" bestFit="1" customWidth="1"/>
    <col min="23" max="23" width="46.26953125" customWidth="1"/>
    <col min="24" max="24" width="16.36328125" bestFit="1" customWidth="1"/>
    <col min="25" max="25" width="13.90625" bestFit="1" customWidth="1"/>
    <col min="26" max="26" width="43.1796875" customWidth="1"/>
    <col min="27" max="27" width="12.54296875" customWidth="1"/>
    <col min="28" max="28" width="12.08984375" bestFit="1" customWidth="1"/>
    <col min="29" max="29" width="12.1796875" bestFit="1" customWidth="1"/>
    <col min="30" max="30" width="7.6328125" bestFit="1" customWidth="1"/>
    <col min="31" max="31" width="7.81640625" bestFit="1" customWidth="1"/>
    <col min="32" max="32" width="17.1796875" bestFit="1" customWidth="1"/>
    <col min="33" max="33" width="9.1796875" bestFit="1" customWidth="1"/>
    <col min="34" max="34" width="7" bestFit="1" customWidth="1"/>
    <col min="35" max="35" width="7.6328125" bestFit="1" customWidth="1"/>
    <col min="36" max="36" width="6.54296875" bestFit="1" customWidth="1"/>
    <col min="37" max="37" width="3.26953125" bestFit="1" customWidth="1"/>
    <col min="38" max="39" width="8.7265625" bestFit="1" customWidth="1"/>
    <col min="40" max="40" width="11.453125" bestFit="1" customWidth="1"/>
    <col min="41" max="41" width="15.36328125" customWidth="1"/>
    <col min="42" max="42" width="11.81640625" bestFit="1" customWidth="1"/>
    <col min="43" max="43" width="13.81640625" bestFit="1" customWidth="1"/>
    <col min="44" max="44" width="11.26953125" bestFit="1" customWidth="1"/>
    <col min="45" max="45" width="10.90625" bestFit="1" customWidth="1"/>
    <col min="46" max="46" width="9.26953125" bestFit="1" customWidth="1"/>
    <col min="47" max="47" width="10.90625" bestFit="1" customWidth="1"/>
    <col min="48" max="48" width="9.26953125" bestFit="1" customWidth="1"/>
    <col min="49" max="49" width="9.54296875" customWidth="1"/>
    <col min="50" max="50" width="8.36328125" bestFit="1" customWidth="1"/>
    <col min="51" max="51" width="10.54296875" bestFit="1" customWidth="1"/>
    <col min="52" max="52" width="8.36328125" bestFit="1" customWidth="1"/>
    <col min="53" max="53" width="6.26953125" bestFit="1" customWidth="1"/>
    <col min="54" max="54" width="7" bestFit="1" customWidth="1"/>
    <col min="55" max="55" width="7.6328125" bestFit="1" customWidth="1"/>
    <col min="56" max="56" width="10.36328125" bestFit="1" customWidth="1"/>
    <col min="57" max="57" width="13.08984375" bestFit="1" customWidth="1"/>
    <col min="58" max="58" width="6.54296875" bestFit="1" customWidth="1"/>
    <col min="59" max="59" width="11.453125" bestFit="1" customWidth="1"/>
    <col min="60" max="60" width="12.08984375" bestFit="1" customWidth="1"/>
    <col min="61" max="61" width="12.1796875" bestFit="1" customWidth="1"/>
    <col min="62" max="62" width="7.08984375" bestFit="1" customWidth="1"/>
    <col min="63" max="63" width="7.36328125" bestFit="1" customWidth="1"/>
    <col min="64" max="64" width="18.1796875" bestFit="1" customWidth="1"/>
    <col min="65" max="65" width="7" bestFit="1" customWidth="1"/>
    <col min="66" max="66" width="7.6328125" bestFit="1" customWidth="1"/>
    <col min="67" max="68" width="6.54296875" bestFit="1" customWidth="1"/>
    <col min="69" max="70" width="8.7265625" bestFit="1" customWidth="1"/>
    <col min="71" max="71" width="11.453125" bestFit="1" customWidth="1"/>
    <col min="72" max="72" width="14.90625" bestFit="1" customWidth="1"/>
    <col min="73" max="73" width="11.81640625" bestFit="1" customWidth="1"/>
    <col min="74" max="74" width="13.81640625" bestFit="1" customWidth="1"/>
    <col min="75" max="75" width="11.26953125" bestFit="1" customWidth="1"/>
    <col min="76" max="76" width="10.90625" bestFit="1" customWidth="1"/>
    <col min="77" max="77" width="9.26953125" bestFit="1" customWidth="1"/>
    <col min="78" max="78" width="10.90625" bestFit="1" customWidth="1"/>
    <col min="79" max="79" width="9.26953125" customWidth="1"/>
    <col min="80" max="81" width="8.7265625" bestFit="1" customWidth="1"/>
    <col min="82" max="82" width="10.54296875" bestFit="1" customWidth="1"/>
    <col min="83" max="83" width="8.36328125" bestFit="1" customWidth="1"/>
    <col min="84" max="84" width="6.7265625" bestFit="1" customWidth="1"/>
    <col min="85" max="85" width="10.54296875" bestFit="1" customWidth="1"/>
    <col min="86" max="86" width="6.26953125" bestFit="1" customWidth="1"/>
    <col min="87" max="87" width="7" bestFit="1" customWidth="1"/>
    <col min="88" max="88" width="7.6328125" bestFit="1" customWidth="1"/>
    <col min="89" max="89" width="10.36328125" bestFit="1" customWidth="1"/>
    <col min="90" max="90" width="13.08984375" bestFit="1" customWidth="1"/>
    <col min="91" max="91" width="9.90625" bestFit="1" customWidth="1"/>
    <col min="92" max="92" width="11.453125" bestFit="1" customWidth="1"/>
    <col min="93" max="93" width="20" bestFit="1" customWidth="1"/>
    <col min="94" max="94" width="19.08984375" bestFit="1" customWidth="1"/>
    <col min="95" max="95" width="7.08984375" bestFit="1" customWidth="1"/>
    <col min="96" max="96" width="7.36328125" bestFit="1" customWidth="1"/>
    <col min="97" max="97" width="18.1796875" bestFit="1" customWidth="1"/>
    <col min="98" max="98" width="7" bestFit="1" customWidth="1"/>
    <col min="99" max="99" width="7.6328125" bestFit="1" customWidth="1"/>
    <col min="100" max="100" width="7" bestFit="1" customWidth="1"/>
    <col min="101" max="101" width="8.7265625" bestFit="1" customWidth="1"/>
    <col min="102" max="102" width="5.26953125" bestFit="1" customWidth="1"/>
    <col min="103" max="103" width="14.7265625" bestFit="1" customWidth="1"/>
    <col min="104" max="104" width="11.81640625" bestFit="1" customWidth="1"/>
    <col min="105" max="105" width="13.81640625" bestFit="1" customWidth="1"/>
    <col min="106" max="106" width="11.26953125" bestFit="1" customWidth="1"/>
    <col min="107" max="107" width="10.90625" bestFit="1" customWidth="1"/>
    <col min="108" max="108" width="9.26953125" bestFit="1" customWidth="1"/>
    <col min="109" max="109" width="10.90625" bestFit="1" customWidth="1"/>
    <col min="110" max="110" width="9.26953125" bestFit="1" customWidth="1"/>
    <col min="111" max="111" width="8.08984375" bestFit="1" customWidth="1"/>
    <col min="112" max="112" width="8.36328125" bestFit="1" customWidth="1"/>
    <col min="113" max="113" width="5.81640625" bestFit="1" customWidth="1"/>
    <col min="114" max="114" width="5.90625" bestFit="1" customWidth="1"/>
    <col min="115" max="115" width="5.08984375" bestFit="1" customWidth="1"/>
    <col min="116" max="116" width="5.453125" bestFit="1" customWidth="1"/>
    <col min="117" max="117" width="10.36328125" bestFit="1" customWidth="1"/>
    <col min="118" max="118" width="13.08984375" bestFit="1" customWidth="1"/>
    <col min="119" max="119" width="4.1796875" bestFit="1" customWidth="1"/>
    <col min="120" max="120" width="9.26953125" bestFit="1" customWidth="1"/>
    <col min="121" max="121" width="20" bestFit="1" customWidth="1"/>
    <col min="122" max="122" width="19.08984375" bestFit="1" customWidth="1"/>
    <col min="123" max="123" width="7.08984375" bestFit="1" customWidth="1"/>
    <col min="124" max="124" width="7.36328125" bestFit="1" customWidth="1"/>
    <col min="125" max="125" width="18.1796875" bestFit="1" customWidth="1"/>
    <col min="126" max="126" width="5.26953125" bestFit="1" customWidth="1"/>
    <col min="127" max="127" width="3.26953125" bestFit="1" customWidth="1"/>
    <col min="128" max="129" width="8.7265625" bestFit="1" customWidth="1"/>
    <col min="130" max="130" width="5.26953125" bestFit="1" customWidth="1"/>
    <col min="131" max="131" width="12.453125" bestFit="1" customWidth="1"/>
    <col min="132" max="132" width="11.81640625" bestFit="1" customWidth="1"/>
    <col min="133" max="133" width="13.81640625" bestFit="1" customWidth="1"/>
    <col min="134" max="134" width="11.26953125" bestFit="1" customWidth="1"/>
    <col min="135" max="135" width="10.90625" bestFit="1" customWidth="1"/>
    <col min="136" max="136" width="9.26953125" bestFit="1" customWidth="1"/>
    <col min="137" max="137" width="10.90625" bestFit="1" customWidth="1"/>
    <col min="138" max="138" width="9.26953125" bestFit="1" customWidth="1"/>
    <col min="139" max="139" width="8.08984375" bestFit="1" customWidth="1"/>
    <col min="140" max="140" width="8.36328125" bestFit="1" customWidth="1"/>
    <col min="141" max="141" width="5.90625" bestFit="1" customWidth="1"/>
    <col min="142" max="142" width="5.08984375" bestFit="1" customWidth="1"/>
    <col min="143" max="143" width="5.453125" bestFit="1" customWidth="1"/>
    <col min="144" max="144" width="10.36328125" bestFit="1" customWidth="1"/>
    <col min="145" max="145" width="13.08984375" bestFit="1" customWidth="1"/>
    <col min="146" max="146" width="4.1796875" bestFit="1" customWidth="1"/>
    <col min="147" max="147" width="7" bestFit="1" customWidth="1"/>
    <col min="148" max="148" width="16.36328125" bestFit="1" customWidth="1"/>
    <col min="149" max="149" width="9.26953125" bestFit="1" customWidth="1"/>
    <col min="150" max="150" width="20" bestFit="1" customWidth="1"/>
    <col min="151" max="151" width="19.08984375" bestFit="1" customWidth="1"/>
    <col min="152" max="152" width="5.26953125" bestFit="1" customWidth="1"/>
    <col min="153" max="153" width="3.26953125" bestFit="1" customWidth="1"/>
    <col min="154" max="155" width="8.7265625" bestFit="1" customWidth="1"/>
    <col min="156" max="156" width="5.26953125" bestFit="1" customWidth="1"/>
    <col min="157" max="157" width="9.90625" bestFit="1" customWidth="1"/>
    <col min="158" max="158" width="11.81640625" bestFit="1" customWidth="1"/>
    <col min="159" max="159" width="13.81640625" bestFit="1" customWidth="1"/>
    <col min="160" max="160" width="11.26953125" bestFit="1" customWidth="1"/>
    <col min="161" max="161" width="10.90625" bestFit="1" customWidth="1"/>
    <col min="162" max="162" width="9.26953125" bestFit="1" customWidth="1"/>
    <col min="163" max="163" width="10.90625" bestFit="1" customWidth="1"/>
    <col min="164" max="164" width="9.26953125" bestFit="1" customWidth="1"/>
    <col min="165" max="165" width="8.08984375" bestFit="1" customWidth="1"/>
    <col min="166" max="166" width="8.36328125" bestFit="1" customWidth="1"/>
    <col min="167" max="167" width="4.54296875" bestFit="1" customWidth="1"/>
    <col min="168" max="168" width="5.81640625" bestFit="1" customWidth="1"/>
    <col min="169" max="169" width="5.90625" bestFit="1" customWidth="1"/>
    <col min="170" max="170" width="5.08984375" bestFit="1" customWidth="1"/>
    <col min="171" max="171" width="5.453125" bestFit="1" customWidth="1"/>
    <col min="172" max="172" width="10.36328125" bestFit="1" customWidth="1"/>
    <col min="173" max="173" width="13.08984375" bestFit="1" customWidth="1"/>
    <col min="174" max="174" width="4.1796875" bestFit="1" customWidth="1"/>
    <col min="175" max="175" width="7" bestFit="1" customWidth="1"/>
    <col min="176" max="176" width="16.36328125" bestFit="1" customWidth="1"/>
    <col min="177" max="177" width="9.26953125" bestFit="1" customWidth="1"/>
    <col min="178" max="178" width="20" bestFit="1" customWidth="1"/>
    <col min="179" max="179" width="19.08984375" bestFit="1" customWidth="1"/>
    <col min="180" max="180" width="5.26953125" bestFit="1" customWidth="1"/>
    <col min="181" max="181" width="3.26953125" bestFit="1" customWidth="1"/>
    <col min="182" max="183" width="8.7265625" bestFit="1" customWidth="1"/>
    <col min="184" max="184" width="5.26953125" bestFit="1" customWidth="1"/>
    <col min="185" max="185" width="13.90625" bestFit="1" customWidth="1"/>
    <col min="186" max="186" width="11.81640625" bestFit="1" customWidth="1"/>
    <col min="187" max="187" width="13.81640625" bestFit="1" customWidth="1"/>
    <col min="188" max="188" width="11.26953125" bestFit="1" customWidth="1"/>
    <col min="189" max="189" width="10.90625" bestFit="1" customWidth="1"/>
    <col min="190" max="190" width="9.26953125" bestFit="1" customWidth="1"/>
    <col min="191" max="191" width="10.90625" bestFit="1" customWidth="1"/>
    <col min="192" max="192" width="9.26953125" bestFit="1" customWidth="1"/>
    <col min="193" max="193" width="8.08984375" bestFit="1" customWidth="1"/>
    <col min="194" max="194" width="8.36328125" bestFit="1" customWidth="1"/>
    <col min="195" max="195" width="4.90625" bestFit="1" customWidth="1"/>
    <col min="196" max="196" width="5.90625" bestFit="1" customWidth="1"/>
    <col min="197" max="197" width="5.08984375" bestFit="1" customWidth="1"/>
    <col min="198" max="198" width="5.453125" bestFit="1" customWidth="1"/>
    <col min="199" max="199" width="10.36328125" bestFit="1" customWidth="1"/>
    <col min="200" max="200" width="13.08984375" bestFit="1" customWidth="1"/>
    <col min="201" max="201" width="4.1796875" bestFit="1" customWidth="1"/>
    <col min="202" max="202" width="7" bestFit="1" customWidth="1"/>
    <col min="203" max="203" width="16.36328125" bestFit="1" customWidth="1"/>
    <col min="204" max="204" width="9.26953125" bestFit="1" customWidth="1"/>
    <col min="205" max="205" width="20" bestFit="1" customWidth="1"/>
    <col min="206" max="206" width="19.08984375" bestFit="1" customWidth="1"/>
    <col min="207" max="207" width="5.26953125" bestFit="1" customWidth="1"/>
    <col min="208" max="208" width="3.26953125" bestFit="1" customWidth="1"/>
    <col min="209" max="210" width="8.7265625" bestFit="1" customWidth="1"/>
    <col min="211" max="211" width="5.26953125" bestFit="1" customWidth="1"/>
    <col min="212" max="212" width="13.453125" bestFit="1" customWidth="1"/>
    <col min="213" max="213" width="11.81640625" bestFit="1" customWidth="1"/>
    <col min="214" max="214" width="13.81640625" bestFit="1" customWidth="1"/>
    <col min="215" max="215" width="11.26953125" bestFit="1" customWidth="1"/>
    <col min="216" max="216" width="10.90625" bestFit="1" customWidth="1"/>
    <col min="217" max="217" width="9.26953125" bestFit="1" customWidth="1"/>
    <col min="218" max="218" width="10.90625" bestFit="1" customWidth="1"/>
    <col min="219" max="219" width="9.26953125" bestFit="1" customWidth="1"/>
    <col min="220" max="220" width="8.08984375" bestFit="1" customWidth="1"/>
    <col min="221" max="221" width="8.36328125" bestFit="1" customWidth="1"/>
    <col min="222" max="222" width="4.90625" bestFit="1" customWidth="1"/>
    <col min="223" max="223" width="5.90625" bestFit="1" customWidth="1"/>
    <col min="224" max="224" width="5.08984375" bestFit="1" customWidth="1"/>
    <col min="225" max="225" width="5.453125" bestFit="1" customWidth="1"/>
    <col min="226" max="226" width="10.36328125" bestFit="1" customWidth="1"/>
    <col min="227" max="227" width="13.08984375" bestFit="1" customWidth="1"/>
    <col min="228" max="228" width="4.1796875" bestFit="1" customWidth="1"/>
    <col min="229" max="229" width="7" bestFit="1" customWidth="1"/>
    <col min="230" max="230" width="16.36328125" bestFit="1" customWidth="1"/>
    <col min="231" max="231" width="9.26953125" bestFit="1" customWidth="1"/>
    <col min="232" max="232" width="20" bestFit="1" customWidth="1"/>
    <col min="233" max="233" width="19.08984375" bestFit="1" customWidth="1"/>
    <col min="234" max="234" width="5.26953125" bestFit="1" customWidth="1"/>
    <col min="235" max="235" width="3.26953125" bestFit="1" customWidth="1"/>
  </cols>
  <sheetData>
    <row r="1" spans="1:68" ht="23.5" customHeight="1" x14ac:dyDescent="0.35">
      <c r="A1" s="1" t="s">
        <v>0</v>
      </c>
      <c r="B1" s="2" t="s">
        <v>1</v>
      </c>
      <c r="C1" s="1" t="s">
        <v>2</v>
      </c>
      <c r="D1" s="1" t="s">
        <v>3</v>
      </c>
      <c r="E1" s="1" t="s">
        <v>4</v>
      </c>
      <c r="F1" s="1" t="s">
        <v>5</v>
      </c>
      <c r="G1" s="3" t="s">
        <v>6</v>
      </c>
      <c r="H1" s="3" t="s">
        <v>7</v>
      </c>
      <c r="I1" s="1" t="s">
        <v>8</v>
      </c>
      <c r="J1" s="1" t="s">
        <v>9</v>
      </c>
      <c r="K1" s="4" t="s">
        <v>10</v>
      </c>
      <c r="L1" s="4" t="s">
        <v>11</v>
      </c>
      <c r="M1" s="1" t="s">
        <v>12</v>
      </c>
      <c r="N1" s="1" t="s">
        <v>13</v>
      </c>
      <c r="O1" s="1" t="s">
        <v>14</v>
      </c>
      <c r="P1" s="4" t="s">
        <v>15</v>
      </c>
      <c r="Q1" s="4" t="s">
        <v>16</v>
      </c>
      <c r="R1" s="1" t="s">
        <v>17</v>
      </c>
      <c r="S1" s="1" t="s">
        <v>18</v>
      </c>
      <c r="T1" s="4" t="s">
        <v>19</v>
      </c>
      <c r="U1" s="1" t="s">
        <v>20</v>
      </c>
      <c r="V1" s="1" t="s">
        <v>21</v>
      </c>
      <c r="W1" s="1" t="s">
        <v>22</v>
      </c>
      <c r="X1" s="1" t="s">
        <v>23</v>
      </c>
      <c r="Y1" s="1" t="s">
        <v>24</v>
      </c>
      <c r="Z1" s="1" t="s">
        <v>25</v>
      </c>
      <c r="AA1" s="1" t="s">
        <v>26</v>
      </c>
      <c r="AB1" s="1" t="s">
        <v>27</v>
      </c>
      <c r="AC1" s="1" t="s">
        <v>28</v>
      </c>
      <c r="AD1" s="1" t="s">
        <v>29</v>
      </c>
      <c r="AE1" s="1" t="s">
        <v>30</v>
      </c>
      <c r="AF1" s="1" t="s">
        <v>31</v>
      </c>
      <c r="AG1" s="1" t="s">
        <v>32</v>
      </c>
      <c r="AH1" s="4" t="s">
        <v>33</v>
      </c>
      <c r="AI1" s="4" t="s">
        <v>34</v>
      </c>
      <c r="AJ1" s="4" t="s">
        <v>35</v>
      </c>
      <c r="AK1" s="1" t="s">
        <v>36</v>
      </c>
      <c r="AL1" s="5"/>
      <c r="AM1" s="1" t="s">
        <v>0</v>
      </c>
      <c r="AN1" s="1" t="s">
        <v>1</v>
      </c>
      <c r="AO1" s="1" t="s">
        <v>37</v>
      </c>
      <c r="AP1" s="1" t="s">
        <v>3</v>
      </c>
      <c r="AQ1" s="1" t="s">
        <v>4</v>
      </c>
      <c r="AR1" s="1" t="s">
        <v>5</v>
      </c>
      <c r="AS1" s="1" t="s">
        <v>6</v>
      </c>
      <c r="AT1" s="1" t="s">
        <v>7</v>
      </c>
      <c r="AU1" s="1" t="s">
        <v>8</v>
      </c>
      <c r="AV1" s="1" t="s">
        <v>9</v>
      </c>
      <c r="AW1" s="1" t="s">
        <v>12</v>
      </c>
      <c r="AX1" s="1" t="s">
        <v>13</v>
      </c>
      <c r="AY1" s="1" t="s">
        <v>38</v>
      </c>
      <c r="AZ1" s="4" t="s">
        <v>39</v>
      </c>
      <c r="BA1" s="1" t="s">
        <v>40</v>
      </c>
      <c r="BB1" s="1" t="s">
        <v>15</v>
      </c>
      <c r="BC1" s="1" t="s">
        <v>16</v>
      </c>
      <c r="BD1" s="1" t="s">
        <v>17</v>
      </c>
      <c r="BE1" s="1" t="s">
        <v>18</v>
      </c>
      <c r="BF1" s="1" t="s">
        <v>19</v>
      </c>
      <c r="BG1" s="1" t="s">
        <v>26</v>
      </c>
      <c r="BH1" s="1" t="s">
        <v>27</v>
      </c>
      <c r="BI1" s="1" t="s">
        <v>28</v>
      </c>
      <c r="BJ1" s="1" t="s">
        <v>41</v>
      </c>
      <c r="BK1" s="1" t="s">
        <v>42</v>
      </c>
      <c r="BL1" s="1" t="s">
        <v>43</v>
      </c>
      <c r="BM1" s="1" t="s">
        <v>33</v>
      </c>
      <c r="BN1" s="1" t="s">
        <v>34</v>
      </c>
      <c r="BO1" s="1" t="s">
        <v>35</v>
      </c>
      <c r="BP1" s="1" t="s">
        <v>36</v>
      </c>
    </row>
    <row r="2" spans="1:68" ht="14.5" customHeight="1" x14ac:dyDescent="0.35">
      <c r="A2" s="5">
        <v>1</v>
      </c>
      <c r="B2" s="6">
        <v>45293</v>
      </c>
      <c r="C2" s="5" t="s">
        <v>44</v>
      </c>
      <c r="D2" s="5" t="s">
        <v>45</v>
      </c>
      <c r="E2" s="5" t="s">
        <v>46</v>
      </c>
      <c r="F2" s="5" t="s">
        <v>47</v>
      </c>
      <c r="G2" s="7">
        <v>0.45833333333333331</v>
      </c>
      <c r="H2" s="7">
        <v>0.5625</v>
      </c>
      <c r="I2" s="5">
        <v>1.2672000000000001</v>
      </c>
      <c r="J2" s="5">
        <v>1.2622</v>
      </c>
      <c r="K2" s="8">
        <v>-2.5</v>
      </c>
      <c r="L2" s="8">
        <v>5</v>
      </c>
      <c r="M2" s="5">
        <f t="shared" ref="M2:M65" si="0">IF(F2="Sell", INT(I2) + (ROUND(MOD(I2,1) + 0.0025, 4)), IF(F2="Buy", INT(I2) + (ROUND(MOD(I2,1) - 0.0025, 4)), "Invalid Direction"))</f>
        <v>1.2697000000000001</v>
      </c>
      <c r="N2" s="5">
        <f t="shared" ref="N2:N65" si="1">IF(F2="Sell", INT(I2) + (ROUND(MOD(I2,1) - 0.005, 4)), IF(F2="Buy", INT(I2) + (ROUND(MOD(I2,1) + 0.005, 4)), "Invalid Direction"))</f>
        <v>1.2622</v>
      </c>
      <c r="O2" s="5">
        <v>6</v>
      </c>
      <c r="P2" s="8">
        <v>6.18</v>
      </c>
      <c r="Q2" s="8">
        <v>-0.18</v>
      </c>
      <c r="R2" s="5">
        <v>1</v>
      </c>
      <c r="S2" s="5" t="s">
        <v>48</v>
      </c>
      <c r="T2" s="8">
        <v>5</v>
      </c>
      <c r="U2" s="5"/>
      <c r="V2" s="5"/>
      <c r="W2" s="5"/>
      <c r="X2" s="5"/>
      <c r="Y2" s="5"/>
      <c r="Z2" s="5"/>
      <c r="AA2" s="6">
        <v>45294</v>
      </c>
      <c r="AB2" s="5" t="s">
        <v>52</v>
      </c>
      <c r="AC2" s="5" t="s">
        <v>52</v>
      </c>
      <c r="AD2" s="8" t="s">
        <v>46</v>
      </c>
      <c r="AE2" s="8" t="s">
        <v>46</v>
      </c>
      <c r="AF2" s="8" t="s">
        <v>46</v>
      </c>
      <c r="AG2" s="5">
        <v>3</v>
      </c>
      <c r="AH2" s="8">
        <v>0</v>
      </c>
      <c r="AI2" s="8">
        <v>0</v>
      </c>
      <c r="AJ2" s="8">
        <v>0</v>
      </c>
      <c r="AK2" s="10" t="s">
        <v>46</v>
      </c>
      <c r="AL2" s="5"/>
      <c r="AM2" s="5">
        <v>1</v>
      </c>
      <c r="AN2" s="6">
        <v>45293</v>
      </c>
      <c r="AO2" s="5" t="s">
        <v>53</v>
      </c>
      <c r="AP2" s="5" t="s">
        <v>45</v>
      </c>
      <c r="AQ2" s="5" t="s">
        <v>46</v>
      </c>
      <c r="AR2" s="5" t="s">
        <v>47</v>
      </c>
      <c r="AS2" s="7">
        <v>0.45833333333333331</v>
      </c>
      <c r="AT2" s="7">
        <v>0.5625</v>
      </c>
      <c r="AU2" s="5">
        <v>1.2672000000000001</v>
      </c>
      <c r="AV2" s="5">
        <v>1.2622</v>
      </c>
      <c r="AW2" s="5">
        <f t="shared" ref="AW2:AW65" si="2">IF(AR2="Sell",
   INT(AU2) + (ROUND(MOD(AU2,1) + (AY2/10000), 4)),
   IF(AR2="Buy",
      INT(AU2) + (ROUND(MOD(AU2,1) - (AY2/10000), 4)),
      "Invalid Direction"))</f>
        <v>1.2703</v>
      </c>
      <c r="AX2" s="5">
        <f t="shared" ref="AX2:AX65" si="3">IF(AR2="Sell", INT(AU2) + (ROUND(MOD(AU2,1) - 0.005, 4)), IF(AR2="Buy", INT(AU2) + (ROUND(MOD(AU2,1) + 0.005, 4)), "Invalid Direction"))</f>
        <v>1.2622</v>
      </c>
      <c r="AY2" s="5">
        <f>12.38*2.5</f>
        <v>30.950000000000003</v>
      </c>
      <c r="AZ2" s="8">
        <v>-3.09</v>
      </c>
      <c r="BA2" s="5">
        <v>6</v>
      </c>
      <c r="BB2" s="8">
        <v>6.18</v>
      </c>
      <c r="BC2" s="8">
        <v>-0.18</v>
      </c>
      <c r="BD2" s="5">
        <v>1</v>
      </c>
      <c r="BE2" s="5" t="s">
        <v>48</v>
      </c>
      <c r="BF2" s="8">
        <v>5</v>
      </c>
      <c r="BG2" s="6">
        <v>45294</v>
      </c>
      <c r="BH2" s="5" t="s">
        <v>52</v>
      </c>
      <c r="BI2" s="5" t="s">
        <v>266</v>
      </c>
      <c r="BJ2" s="8" t="s">
        <v>46</v>
      </c>
      <c r="BK2" s="8" t="s">
        <v>46</v>
      </c>
      <c r="BL2" s="8" t="s">
        <v>46</v>
      </c>
      <c r="BM2" s="8">
        <v>0</v>
      </c>
      <c r="BN2" s="8">
        <v>0</v>
      </c>
      <c r="BO2" s="8">
        <v>0</v>
      </c>
      <c r="BP2" s="10" t="s">
        <v>46</v>
      </c>
    </row>
    <row r="3" spans="1:68" ht="14.5" customHeight="1" x14ac:dyDescent="0.35">
      <c r="A3" s="5">
        <v>2</v>
      </c>
      <c r="B3" s="6">
        <v>45287</v>
      </c>
      <c r="C3" s="5" t="s">
        <v>44</v>
      </c>
      <c r="D3" s="5" t="s">
        <v>45</v>
      </c>
      <c r="E3" s="5" t="s">
        <v>46</v>
      </c>
      <c r="F3" s="5" t="s">
        <v>67</v>
      </c>
      <c r="G3" s="7">
        <v>0.52083333333333337</v>
      </c>
      <c r="H3" s="7">
        <v>0.97916666666666663</v>
      </c>
      <c r="I3" s="5">
        <v>1.2757000000000001</v>
      </c>
      <c r="J3" s="5">
        <v>1.27993</v>
      </c>
      <c r="K3" s="8">
        <v>-2.5</v>
      </c>
      <c r="L3" s="8">
        <v>5</v>
      </c>
      <c r="M3" s="5">
        <f t="shared" si="0"/>
        <v>1.2732000000000001</v>
      </c>
      <c r="N3" s="5">
        <f t="shared" si="1"/>
        <v>1.2806999999999999</v>
      </c>
      <c r="O3" s="5">
        <v>20</v>
      </c>
      <c r="P3" s="8">
        <v>4.5199999999999996</v>
      </c>
      <c r="Q3" s="8">
        <v>-1.37</v>
      </c>
      <c r="R3" s="5">
        <v>2</v>
      </c>
      <c r="S3" s="5" t="s">
        <v>55</v>
      </c>
      <c r="T3" s="8">
        <v>4.2300000000000004</v>
      </c>
      <c r="U3" s="5"/>
      <c r="V3" s="5"/>
      <c r="W3" s="5"/>
      <c r="X3" s="5"/>
      <c r="Y3" s="5"/>
      <c r="Z3" s="5"/>
      <c r="AA3" s="6">
        <v>45288</v>
      </c>
      <c r="AB3" s="5" t="s">
        <v>45</v>
      </c>
      <c r="AC3" s="5" t="s">
        <v>45</v>
      </c>
      <c r="AD3" s="8" t="s">
        <v>52</v>
      </c>
      <c r="AE3" s="8" t="s">
        <v>45</v>
      </c>
      <c r="AF3" s="8" t="s">
        <v>46</v>
      </c>
      <c r="AG3" s="5">
        <v>7</v>
      </c>
      <c r="AH3" s="8">
        <v>7.02</v>
      </c>
      <c r="AI3" s="8">
        <v>0</v>
      </c>
      <c r="AJ3" s="8">
        <v>5</v>
      </c>
      <c r="AK3" s="10" t="s">
        <v>46</v>
      </c>
      <c r="AL3" s="5"/>
      <c r="AM3" s="5">
        <v>2</v>
      </c>
      <c r="AN3" s="6">
        <v>45287</v>
      </c>
      <c r="AO3" s="5" t="s">
        <v>53</v>
      </c>
      <c r="AP3" s="5" t="s">
        <v>45</v>
      </c>
      <c r="AQ3" s="5" t="s">
        <v>46</v>
      </c>
      <c r="AR3" s="5" t="s">
        <v>67</v>
      </c>
      <c r="AS3" s="7">
        <v>0.52083333333333337</v>
      </c>
      <c r="AT3" s="7">
        <v>0.97916666666666663</v>
      </c>
      <c r="AU3" s="5">
        <v>1.2757000000000001</v>
      </c>
      <c r="AV3" s="5">
        <v>1.27993</v>
      </c>
      <c r="AW3" s="5">
        <f t="shared" si="2"/>
        <v>1.2726</v>
      </c>
      <c r="AX3" s="5">
        <f t="shared" si="3"/>
        <v>1.2806999999999999</v>
      </c>
      <c r="AY3" s="5">
        <f>12.47*2.5</f>
        <v>31.175000000000001</v>
      </c>
      <c r="AZ3" s="8">
        <v>-3.11</v>
      </c>
      <c r="BA3" s="5">
        <v>20</v>
      </c>
      <c r="BB3" s="8">
        <v>4.5199999999999996</v>
      </c>
      <c r="BC3" s="8">
        <v>-1.37</v>
      </c>
      <c r="BD3" s="5">
        <v>2</v>
      </c>
      <c r="BE3" s="5" t="s">
        <v>55</v>
      </c>
      <c r="BF3" s="8">
        <v>4.2300000000000004</v>
      </c>
      <c r="BG3" s="6">
        <v>45288</v>
      </c>
      <c r="BH3" s="5" t="s">
        <v>45</v>
      </c>
      <c r="BI3" s="5" t="s">
        <v>45</v>
      </c>
      <c r="BJ3" s="8" t="s">
        <v>52</v>
      </c>
      <c r="BK3" s="8" t="s">
        <v>45</v>
      </c>
      <c r="BL3" s="8" t="s">
        <v>46</v>
      </c>
      <c r="BM3" s="8">
        <v>7.02</v>
      </c>
      <c r="BN3" s="8">
        <v>0</v>
      </c>
      <c r="BO3" s="8">
        <v>5</v>
      </c>
      <c r="BP3" s="10" t="s">
        <v>46</v>
      </c>
    </row>
    <row r="4" spans="1:68" ht="14.5" customHeight="1" x14ac:dyDescent="0.35">
      <c r="A4" s="5">
        <v>3</v>
      </c>
      <c r="B4" s="6">
        <v>45281</v>
      </c>
      <c r="C4" s="5" t="s">
        <v>44</v>
      </c>
      <c r="D4" s="5" t="s">
        <v>45</v>
      </c>
      <c r="E4" s="5" t="s">
        <v>46</v>
      </c>
      <c r="F4" s="5" t="s">
        <v>47</v>
      </c>
      <c r="G4" s="7">
        <v>0.35416666666666669</v>
      </c>
      <c r="H4" s="7">
        <v>0.45833333333333331</v>
      </c>
      <c r="I4" s="5">
        <v>1.2619</v>
      </c>
      <c r="J4" s="5">
        <v>1.2644</v>
      </c>
      <c r="K4" s="8">
        <v>-2.5</v>
      </c>
      <c r="L4" s="8">
        <v>5</v>
      </c>
      <c r="M4" s="5">
        <f t="shared" si="0"/>
        <v>1.2644</v>
      </c>
      <c r="N4" s="5">
        <f t="shared" si="1"/>
        <v>1.2568999999999999</v>
      </c>
      <c r="O4" s="5">
        <v>6</v>
      </c>
      <c r="P4" s="8">
        <v>0.71</v>
      </c>
      <c r="Q4" s="8">
        <v>-7.66</v>
      </c>
      <c r="R4" s="5">
        <v>1</v>
      </c>
      <c r="S4" s="5" t="s">
        <v>68</v>
      </c>
      <c r="T4" s="8">
        <v>-2.5</v>
      </c>
      <c r="U4" s="5"/>
      <c r="V4" s="5"/>
      <c r="W4" s="5"/>
      <c r="X4" s="5"/>
      <c r="Y4" s="5"/>
      <c r="Z4" s="5"/>
      <c r="AA4" s="6">
        <v>45282</v>
      </c>
      <c r="AB4" s="5" t="s">
        <v>52</v>
      </c>
      <c r="AC4" s="5" t="s">
        <v>52</v>
      </c>
      <c r="AD4" s="8" t="s">
        <v>46</v>
      </c>
      <c r="AE4" s="8" t="s">
        <v>46</v>
      </c>
      <c r="AF4" s="8" t="s">
        <v>46</v>
      </c>
      <c r="AG4" s="5">
        <v>0</v>
      </c>
      <c r="AH4" s="8">
        <v>0</v>
      </c>
      <c r="AI4" s="8">
        <v>0</v>
      </c>
      <c r="AJ4" s="8">
        <v>0</v>
      </c>
      <c r="AK4" s="10" t="s">
        <v>46</v>
      </c>
      <c r="AL4" s="5"/>
      <c r="AM4" s="5">
        <v>3</v>
      </c>
      <c r="AN4" s="6">
        <v>45281</v>
      </c>
      <c r="AO4" s="5" t="s">
        <v>53</v>
      </c>
      <c r="AP4" s="5" t="s">
        <v>45</v>
      </c>
      <c r="AQ4" s="5" t="s">
        <v>46</v>
      </c>
      <c r="AR4" s="5" t="s">
        <v>47</v>
      </c>
      <c r="AS4" s="7">
        <v>0.35416666666666669</v>
      </c>
      <c r="AT4" s="7">
        <v>0.45833333333333331</v>
      </c>
      <c r="AU4" s="5">
        <v>1.2619</v>
      </c>
      <c r="AV4" s="5">
        <v>1.26494</v>
      </c>
      <c r="AW4" s="5">
        <f t="shared" si="2"/>
        <v>1.2648999999999999</v>
      </c>
      <c r="AX4" s="5">
        <f t="shared" si="3"/>
        <v>1.2568999999999999</v>
      </c>
      <c r="AY4" s="5">
        <f>12.16*2.5</f>
        <v>30.4</v>
      </c>
      <c r="AZ4" s="8">
        <v>-3.04</v>
      </c>
      <c r="BA4" s="5">
        <v>6</v>
      </c>
      <c r="BB4" s="8">
        <v>0.71</v>
      </c>
      <c r="BC4" s="8">
        <v>7.66</v>
      </c>
      <c r="BD4" s="5">
        <v>1</v>
      </c>
      <c r="BE4" s="5" t="s">
        <v>68</v>
      </c>
      <c r="BF4" s="8">
        <v>-3.04</v>
      </c>
      <c r="BG4" s="6">
        <v>45282</v>
      </c>
      <c r="BH4" s="5" t="s">
        <v>52</v>
      </c>
      <c r="BI4" s="5" t="s">
        <v>52</v>
      </c>
      <c r="BJ4" s="8" t="s">
        <v>46</v>
      </c>
      <c r="BK4" s="8" t="s">
        <v>46</v>
      </c>
      <c r="BL4" s="8" t="s">
        <v>46</v>
      </c>
      <c r="BM4" s="8">
        <v>0</v>
      </c>
      <c r="BN4" s="8">
        <v>0</v>
      </c>
      <c r="BO4" s="8">
        <v>0</v>
      </c>
      <c r="BP4" s="10" t="s">
        <v>46</v>
      </c>
    </row>
    <row r="5" spans="1:68" ht="14.5" customHeight="1" x14ac:dyDescent="0.35">
      <c r="A5" s="5">
        <v>4</v>
      </c>
      <c r="B5" s="6">
        <v>45274</v>
      </c>
      <c r="C5" s="5" t="s">
        <v>44</v>
      </c>
      <c r="D5" s="5" t="s">
        <v>45</v>
      </c>
      <c r="E5" s="5" t="s">
        <v>46</v>
      </c>
      <c r="F5" s="5" t="s">
        <v>67</v>
      </c>
      <c r="G5" s="7">
        <v>2.0833333333333332E-2</v>
      </c>
      <c r="H5" s="7">
        <v>0.45833333333333331</v>
      </c>
      <c r="I5" s="5">
        <v>1.2627999999999999</v>
      </c>
      <c r="J5" s="5">
        <v>1.2678</v>
      </c>
      <c r="K5" s="8">
        <v>-2.5</v>
      </c>
      <c r="L5" s="8">
        <v>5</v>
      </c>
      <c r="M5" s="5">
        <f t="shared" si="0"/>
        <v>1.2603</v>
      </c>
      <c r="N5" s="5">
        <f t="shared" si="1"/>
        <v>1.2678</v>
      </c>
      <c r="O5" s="5">
        <v>22</v>
      </c>
      <c r="P5" s="8">
        <v>16</v>
      </c>
      <c r="Q5" s="8">
        <v>-1.63</v>
      </c>
      <c r="R5" s="5">
        <v>5</v>
      </c>
      <c r="S5" s="5" t="s">
        <v>48</v>
      </c>
      <c r="T5" s="8">
        <v>5</v>
      </c>
      <c r="U5" s="5"/>
      <c r="V5" s="5"/>
      <c r="W5" s="5"/>
      <c r="X5" s="5"/>
      <c r="Y5" s="5"/>
      <c r="Z5" s="5"/>
      <c r="AA5" s="6">
        <v>45275</v>
      </c>
      <c r="AB5" s="5" t="s">
        <v>52</v>
      </c>
      <c r="AC5" s="5" t="s">
        <v>52</v>
      </c>
      <c r="AD5" s="8" t="s">
        <v>46</v>
      </c>
      <c r="AE5" s="8" t="s">
        <v>46</v>
      </c>
      <c r="AF5" s="8" t="s">
        <v>46</v>
      </c>
      <c r="AG5" s="5">
        <v>0</v>
      </c>
      <c r="AH5" s="8">
        <v>0</v>
      </c>
      <c r="AI5" s="8">
        <v>0</v>
      </c>
      <c r="AJ5" s="8">
        <v>0</v>
      </c>
      <c r="AK5" s="10" t="s">
        <v>46</v>
      </c>
      <c r="AL5" s="5"/>
      <c r="AM5" s="5">
        <v>4</v>
      </c>
      <c r="AN5" s="6">
        <v>45274</v>
      </c>
      <c r="AO5" s="5" t="s">
        <v>53</v>
      </c>
      <c r="AP5" s="5" t="s">
        <v>45</v>
      </c>
      <c r="AQ5" s="5" t="s">
        <v>46</v>
      </c>
      <c r="AR5" s="5" t="s">
        <v>67</v>
      </c>
      <c r="AS5" s="7">
        <v>2.0833333333333332E-2</v>
      </c>
      <c r="AT5" s="7">
        <v>0.45833333333333331</v>
      </c>
      <c r="AU5" s="5">
        <v>1.2627999999999999</v>
      </c>
      <c r="AV5" s="5">
        <v>1.2678</v>
      </c>
      <c r="AW5" s="5">
        <f t="shared" si="2"/>
        <v>1.2599</v>
      </c>
      <c r="AX5" s="5">
        <f t="shared" si="3"/>
        <v>1.2678</v>
      </c>
      <c r="AY5" s="5">
        <f>11.76*2.5</f>
        <v>29.4</v>
      </c>
      <c r="AZ5" s="8">
        <v>-2.94</v>
      </c>
      <c r="BA5" s="5">
        <v>22</v>
      </c>
      <c r="BB5" s="8">
        <v>16</v>
      </c>
      <c r="BC5" s="8">
        <v>-1.63</v>
      </c>
      <c r="BD5" s="5">
        <v>5</v>
      </c>
      <c r="BE5" s="5" t="s">
        <v>48</v>
      </c>
      <c r="BF5" s="8">
        <v>5</v>
      </c>
      <c r="BG5" s="6">
        <v>45275</v>
      </c>
      <c r="BH5" s="5" t="s">
        <v>52</v>
      </c>
      <c r="BI5" s="5" t="s">
        <v>52</v>
      </c>
      <c r="BJ5" s="8" t="s">
        <v>46</v>
      </c>
      <c r="BK5" s="8" t="s">
        <v>46</v>
      </c>
      <c r="BL5" s="8" t="s">
        <v>46</v>
      </c>
      <c r="BM5" s="8">
        <v>0</v>
      </c>
      <c r="BN5" s="8">
        <v>0</v>
      </c>
      <c r="BO5" s="8">
        <v>0</v>
      </c>
      <c r="BP5" s="10" t="s">
        <v>46</v>
      </c>
    </row>
    <row r="6" spans="1:68" ht="14.5" customHeight="1" x14ac:dyDescent="0.35">
      <c r="A6" s="5">
        <v>5</v>
      </c>
      <c r="B6" s="6">
        <v>45273</v>
      </c>
      <c r="C6" s="5" t="s">
        <v>44</v>
      </c>
      <c r="D6" s="5" t="s">
        <v>45</v>
      </c>
      <c r="E6" s="5" t="s">
        <v>46</v>
      </c>
      <c r="F6" s="5" t="s">
        <v>47</v>
      </c>
      <c r="G6" s="7">
        <v>0.4375</v>
      </c>
      <c r="H6" s="7">
        <v>0.5625</v>
      </c>
      <c r="I6" s="5">
        <v>1.2510999999999999</v>
      </c>
      <c r="J6" s="5">
        <v>1.2536</v>
      </c>
      <c r="K6" s="8">
        <v>-2.5</v>
      </c>
      <c r="L6" s="8">
        <v>5</v>
      </c>
      <c r="M6" s="5">
        <f t="shared" si="0"/>
        <v>1.2536</v>
      </c>
      <c r="N6" s="5">
        <f t="shared" si="1"/>
        <v>1.2461</v>
      </c>
      <c r="O6" s="5">
        <v>7</v>
      </c>
      <c r="P6" s="8">
        <v>1.1399999999999999</v>
      </c>
      <c r="Q6" s="8">
        <v>-11.77</v>
      </c>
      <c r="R6" s="5">
        <v>5</v>
      </c>
      <c r="S6" s="5" t="s">
        <v>68</v>
      </c>
      <c r="T6" s="8">
        <v>-2.5</v>
      </c>
      <c r="U6" s="5"/>
      <c r="V6" s="5"/>
      <c r="W6" s="5"/>
      <c r="X6" s="5"/>
      <c r="Y6" s="5"/>
      <c r="Z6" s="5"/>
      <c r="AA6" s="6">
        <v>45274</v>
      </c>
      <c r="AB6" s="5" t="s">
        <v>52</v>
      </c>
      <c r="AC6" s="5" t="s">
        <v>52</v>
      </c>
      <c r="AD6" s="8" t="s">
        <v>46</v>
      </c>
      <c r="AE6" s="8" t="s">
        <v>46</v>
      </c>
      <c r="AF6" s="8" t="s">
        <v>46</v>
      </c>
      <c r="AG6" s="5">
        <v>0</v>
      </c>
      <c r="AH6" s="8">
        <v>0</v>
      </c>
      <c r="AI6" s="8">
        <v>0</v>
      </c>
      <c r="AJ6" s="8">
        <v>0</v>
      </c>
      <c r="AK6" s="10" t="s">
        <v>46</v>
      </c>
      <c r="AL6" s="5"/>
      <c r="AM6" s="5">
        <v>5</v>
      </c>
      <c r="AN6" s="6">
        <v>45273</v>
      </c>
      <c r="AO6" s="5" t="s">
        <v>53</v>
      </c>
      <c r="AP6" s="5" t="s">
        <v>45</v>
      </c>
      <c r="AQ6" s="5" t="s">
        <v>46</v>
      </c>
      <c r="AR6" s="5" t="s">
        <v>47</v>
      </c>
      <c r="AS6" s="7">
        <v>0.4375</v>
      </c>
      <c r="AT6" s="7">
        <v>0.5625</v>
      </c>
      <c r="AU6" s="5">
        <v>1.2510999999999999</v>
      </c>
      <c r="AV6" s="5">
        <v>1.2540100000000001</v>
      </c>
      <c r="AW6" s="5">
        <f t="shared" si="2"/>
        <v>1.254</v>
      </c>
      <c r="AX6" s="5">
        <f t="shared" si="3"/>
        <v>1.2461</v>
      </c>
      <c r="AY6" s="5">
        <f>11.67*2.5</f>
        <v>29.175000000000001</v>
      </c>
      <c r="AZ6" s="8">
        <v>-2.91</v>
      </c>
      <c r="BA6" s="5">
        <v>7</v>
      </c>
      <c r="BB6" s="8">
        <v>1.1399999999999999</v>
      </c>
      <c r="BC6" s="8">
        <v>-11.77</v>
      </c>
      <c r="BD6" s="5">
        <v>5</v>
      </c>
      <c r="BE6" s="5" t="s">
        <v>68</v>
      </c>
      <c r="BF6" s="8">
        <v>-2.91</v>
      </c>
      <c r="BG6" s="6">
        <v>45274</v>
      </c>
      <c r="BH6" s="5" t="s">
        <v>52</v>
      </c>
      <c r="BI6" s="5" t="s">
        <v>52</v>
      </c>
      <c r="BJ6" s="8" t="s">
        <v>46</v>
      </c>
      <c r="BK6" s="8" t="s">
        <v>46</v>
      </c>
      <c r="BL6" s="8" t="s">
        <v>46</v>
      </c>
      <c r="BM6" s="8">
        <v>0</v>
      </c>
      <c r="BN6" s="8">
        <v>0</v>
      </c>
      <c r="BO6" s="8">
        <v>0</v>
      </c>
      <c r="BP6" s="10" t="s">
        <v>46</v>
      </c>
    </row>
    <row r="7" spans="1:68" ht="14.5" customHeight="1" x14ac:dyDescent="0.35">
      <c r="A7" s="5">
        <v>6</v>
      </c>
      <c r="B7" s="6">
        <v>45273</v>
      </c>
      <c r="C7" s="5" t="s">
        <v>44</v>
      </c>
      <c r="D7" s="5" t="s">
        <v>45</v>
      </c>
      <c r="E7" s="5" t="s">
        <v>46</v>
      </c>
      <c r="F7" s="5" t="s">
        <v>67</v>
      </c>
      <c r="G7" s="7">
        <v>0.8125</v>
      </c>
      <c r="H7" s="7">
        <v>0.97916666666666663</v>
      </c>
      <c r="I7" s="5">
        <v>1.2612000000000001</v>
      </c>
      <c r="J7" s="5">
        <v>1.2620499999999999</v>
      </c>
      <c r="K7" s="8">
        <v>-2.5</v>
      </c>
      <c r="L7" s="8">
        <v>5</v>
      </c>
      <c r="M7" s="5">
        <f t="shared" si="0"/>
        <v>1.2586999999999999</v>
      </c>
      <c r="N7" s="5">
        <f t="shared" si="1"/>
        <v>1.2662</v>
      </c>
      <c r="O7" s="5">
        <v>9</v>
      </c>
      <c r="P7" s="8">
        <v>2.25</v>
      </c>
      <c r="Q7" s="8">
        <v>-0.33</v>
      </c>
      <c r="R7" s="5">
        <v>3</v>
      </c>
      <c r="S7" s="5" t="s">
        <v>55</v>
      </c>
      <c r="T7" s="8">
        <v>0.85</v>
      </c>
      <c r="U7" s="5"/>
      <c r="V7" s="5"/>
      <c r="W7" s="5"/>
      <c r="X7" s="5"/>
      <c r="Y7" s="5"/>
      <c r="Z7" s="5"/>
      <c r="AA7" s="6">
        <v>45274</v>
      </c>
      <c r="AB7" s="5" t="s">
        <v>45</v>
      </c>
      <c r="AC7" s="5" t="s">
        <v>45</v>
      </c>
      <c r="AD7" s="8" t="s">
        <v>52</v>
      </c>
      <c r="AE7" s="8" t="s">
        <v>45</v>
      </c>
      <c r="AF7" s="8" t="s">
        <v>46</v>
      </c>
      <c r="AG7" s="5">
        <v>1</v>
      </c>
      <c r="AH7" s="8">
        <v>18.2</v>
      </c>
      <c r="AI7" s="8">
        <v>0</v>
      </c>
      <c r="AJ7" s="8">
        <v>5</v>
      </c>
      <c r="AK7" s="10" t="s">
        <v>46</v>
      </c>
      <c r="AL7" s="5"/>
      <c r="AM7" s="5">
        <v>6</v>
      </c>
      <c r="AN7" s="6">
        <v>45273</v>
      </c>
      <c r="AO7" s="5" t="s">
        <v>53</v>
      </c>
      <c r="AP7" s="5" t="s">
        <v>45</v>
      </c>
      <c r="AQ7" s="5" t="s">
        <v>46</v>
      </c>
      <c r="AR7" s="5" t="s">
        <v>67</v>
      </c>
      <c r="AS7" s="7">
        <v>0.8125</v>
      </c>
      <c r="AT7" s="7">
        <v>0.97916666666666663</v>
      </c>
      <c r="AU7" s="5">
        <v>1.2612000000000001</v>
      </c>
      <c r="AV7" s="5">
        <v>1.2620499999999999</v>
      </c>
      <c r="AW7" s="5">
        <f t="shared" si="2"/>
        <v>1.2583</v>
      </c>
      <c r="AX7" s="5">
        <f t="shared" si="3"/>
        <v>1.2662</v>
      </c>
      <c r="AY7" s="5">
        <f>11.67*2.5</f>
        <v>29.175000000000001</v>
      </c>
      <c r="AZ7" s="8">
        <v>-2.91</v>
      </c>
      <c r="BA7" s="5">
        <v>9</v>
      </c>
      <c r="BB7" s="8">
        <v>2.25</v>
      </c>
      <c r="BC7" s="8">
        <v>-0.33</v>
      </c>
      <c r="BD7" s="5">
        <v>3</v>
      </c>
      <c r="BE7" s="5" t="s">
        <v>55</v>
      </c>
      <c r="BF7" s="8">
        <v>0.85</v>
      </c>
      <c r="BG7" s="6">
        <v>45274</v>
      </c>
      <c r="BH7" s="5" t="s">
        <v>45</v>
      </c>
      <c r="BI7" s="5" t="s">
        <v>45</v>
      </c>
      <c r="BJ7" s="8" t="s">
        <v>52</v>
      </c>
      <c r="BK7" s="8" t="s">
        <v>45</v>
      </c>
      <c r="BL7" s="8" t="s">
        <v>46</v>
      </c>
      <c r="BM7" s="8">
        <v>18.2</v>
      </c>
      <c r="BN7" s="8">
        <v>0</v>
      </c>
      <c r="BO7" s="8">
        <v>5</v>
      </c>
      <c r="BP7" s="10" t="s">
        <v>46</v>
      </c>
    </row>
    <row r="8" spans="1:68" ht="14.5" customHeight="1" x14ac:dyDescent="0.35">
      <c r="A8" s="5">
        <v>7</v>
      </c>
      <c r="B8" s="6">
        <v>45268</v>
      </c>
      <c r="C8" s="5" t="s">
        <v>44</v>
      </c>
      <c r="D8" s="5" t="s">
        <v>45</v>
      </c>
      <c r="E8" s="5" t="s">
        <v>46</v>
      </c>
      <c r="F8" s="5" t="s">
        <v>47</v>
      </c>
      <c r="G8" s="7">
        <v>0.5625</v>
      </c>
      <c r="H8" s="7">
        <v>0.89583333333333337</v>
      </c>
      <c r="I8" s="5">
        <v>1.2545999999999999</v>
      </c>
      <c r="J8" s="5">
        <v>1.25484</v>
      </c>
      <c r="K8" s="8">
        <v>-2.5</v>
      </c>
      <c r="L8" s="8">
        <v>5</v>
      </c>
      <c r="M8" s="5">
        <f t="shared" si="0"/>
        <v>1.2570999999999999</v>
      </c>
      <c r="N8" s="5">
        <f t="shared" si="1"/>
        <v>1.2496</v>
      </c>
      <c r="O8" s="5">
        <v>17</v>
      </c>
      <c r="P8" s="8">
        <v>4.43</v>
      </c>
      <c r="Q8" s="8">
        <v>-1.59</v>
      </c>
      <c r="R8" s="5">
        <v>9</v>
      </c>
      <c r="S8" s="5" t="s">
        <v>55</v>
      </c>
      <c r="T8" s="8">
        <v>-0.24</v>
      </c>
      <c r="U8" s="5"/>
      <c r="V8" s="5"/>
      <c r="W8" s="5"/>
      <c r="X8" s="5"/>
      <c r="Y8" s="5"/>
      <c r="Z8" s="5"/>
      <c r="AA8" s="6">
        <v>45271</v>
      </c>
      <c r="AB8" s="5" t="s">
        <v>45</v>
      </c>
      <c r="AC8" s="5" t="s">
        <v>52</v>
      </c>
      <c r="AD8" s="8" t="s">
        <v>45</v>
      </c>
      <c r="AE8" s="8" t="s">
        <v>52</v>
      </c>
      <c r="AF8" s="8" t="s">
        <v>52</v>
      </c>
      <c r="AG8" s="5">
        <v>11</v>
      </c>
      <c r="AH8" s="8">
        <v>1.1599999999999999</v>
      </c>
      <c r="AI8" s="8">
        <v>-4.42</v>
      </c>
      <c r="AJ8" s="8">
        <v>-2.5</v>
      </c>
      <c r="AK8" s="10" t="s">
        <v>46</v>
      </c>
      <c r="AL8" s="5"/>
      <c r="AM8" s="5">
        <v>7</v>
      </c>
      <c r="AN8" s="6">
        <v>45268</v>
      </c>
      <c r="AO8" s="5" t="s">
        <v>53</v>
      </c>
      <c r="AP8" s="5" t="s">
        <v>45</v>
      </c>
      <c r="AQ8" s="5" t="s">
        <v>46</v>
      </c>
      <c r="AR8" s="5" t="s">
        <v>47</v>
      </c>
      <c r="AS8" s="7">
        <v>0.5625</v>
      </c>
      <c r="AT8" s="7">
        <v>0.89583333333333337</v>
      </c>
      <c r="AU8" s="5">
        <v>1.2545999999999999</v>
      </c>
      <c r="AV8" s="5">
        <v>1.25484</v>
      </c>
      <c r="AW8" s="5">
        <f t="shared" si="2"/>
        <v>1.2575000000000001</v>
      </c>
      <c r="AX8" s="5">
        <f t="shared" si="3"/>
        <v>1.2496</v>
      </c>
      <c r="AY8" s="5">
        <f>11.65*2.5</f>
        <v>29.125</v>
      </c>
      <c r="AZ8" s="8">
        <v>-2.91</v>
      </c>
      <c r="BA8" s="5">
        <v>17</v>
      </c>
      <c r="BB8" s="8">
        <v>4.43</v>
      </c>
      <c r="BC8" s="8">
        <v>-1.59</v>
      </c>
      <c r="BD8" s="5">
        <v>9</v>
      </c>
      <c r="BE8" s="5" t="s">
        <v>55</v>
      </c>
      <c r="BF8" s="8">
        <v>-0.24</v>
      </c>
      <c r="BG8" s="6">
        <v>45271</v>
      </c>
      <c r="BH8" s="5" t="s">
        <v>45</v>
      </c>
      <c r="BI8" s="5" t="s">
        <v>52</v>
      </c>
      <c r="BJ8" s="8" t="s">
        <v>45</v>
      </c>
      <c r="BK8" s="8" t="s">
        <v>52</v>
      </c>
      <c r="BL8" s="8" t="s">
        <v>52</v>
      </c>
      <c r="BM8" s="8">
        <v>1.1599999999999999</v>
      </c>
      <c r="BN8" s="8">
        <v>-4.42</v>
      </c>
      <c r="BO8" s="8">
        <v>-2.91</v>
      </c>
      <c r="BP8" s="10" t="s">
        <v>46</v>
      </c>
    </row>
    <row r="9" spans="1:68" ht="14.5" customHeight="1" x14ac:dyDescent="0.35">
      <c r="A9" s="5">
        <v>8</v>
      </c>
      <c r="B9" s="6">
        <v>45266</v>
      </c>
      <c r="C9" s="5" t="s">
        <v>44</v>
      </c>
      <c r="D9" s="5" t="s">
        <v>45</v>
      </c>
      <c r="E9" s="5" t="s">
        <v>46</v>
      </c>
      <c r="F9" s="5" t="s">
        <v>47</v>
      </c>
      <c r="G9" s="7">
        <v>0.72916666666666663</v>
      </c>
      <c r="H9" s="7">
        <v>0.97916666666666663</v>
      </c>
      <c r="I9" s="5">
        <v>1.258</v>
      </c>
      <c r="J9" s="5">
        <v>1.2556799999999999</v>
      </c>
      <c r="K9" s="8">
        <v>-2.5</v>
      </c>
      <c r="L9" s="8">
        <v>5</v>
      </c>
      <c r="M9" s="5">
        <f t="shared" si="0"/>
        <v>1.2605</v>
      </c>
      <c r="N9" s="5">
        <f t="shared" si="1"/>
        <v>1.2530000000000001</v>
      </c>
      <c r="O9" s="5">
        <v>13</v>
      </c>
      <c r="P9" s="8">
        <v>2.91</v>
      </c>
      <c r="Q9" s="8">
        <v>-0.33</v>
      </c>
      <c r="R9" s="5">
        <v>1</v>
      </c>
      <c r="S9" s="5" t="s">
        <v>55</v>
      </c>
      <c r="T9" s="8">
        <v>2.3199999999999998</v>
      </c>
      <c r="U9" s="5"/>
      <c r="V9" s="5"/>
      <c r="W9" s="5"/>
      <c r="X9" s="5"/>
      <c r="Y9" s="5"/>
      <c r="Z9" s="5"/>
      <c r="AA9" s="6">
        <v>45267</v>
      </c>
      <c r="AB9" s="5" t="s">
        <v>45</v>
      </c>
      <c r="AC9" s="5" t="s">
        <v>45</v>
      </c>
      <c r="AD9" s="5" t="s">
        <v>45</v>
      </c>
      <c r="AE9" s="8" t="s">
        <v>52</v>
      </c>
      <c r="AF9" s="5" t="s">
        <v>45</v>
      </c>
      <c r="AG9" s="5">
        <v>13</v>
      </c>
      <c r="AH9" s="8">
        <v>3.61</v>
      </c>
      <c r="AI9" s="8">
        <v>-3.21</v>
      </c>
      <c r="AJ9" s="8">
        <v>-2.5</v>
      </c>
      <c r="AK9" s="10" t="s">
        <v>46</v>
      </c>
      <c r="AL9" s="5"/>
      <c r="AM9" s="5">
        <v>8</v>
      </c>
      <c r="AN9" s="6">
        <v>45266</v>
      </c>
      <c r="AO9" s="5" t="s">
        <v>53</v>
      </c>
      <c r="AP9" s="5" t="s">
        <v>45</v>
      </c>
      <c r="AQ9" s="5" t="s">
        <v>46</v>
      </c>
      <c r="AR9" s="5" t="s">
        <v>47</v>
      </c>
      <c r="AS9" s="7">
        <v>0.72916666666666663</v>
      </c>
      <c r="AT9" s="7">
        <v>0.97916666666666663</v>
      </c>
      <c r="AU9" s="5">
        <v>1.258</v>
      </c>
      <c r="AV9" s="5">
        <v>1.2556799999999999</v>
      </c>
      <c r="AW9" s="5">
        <f t="shared" si="2"/>
        <v>1.2608999999999999</v>
      </c>
      <c r="AX9" s="5">
        <f t="shared" si="3"/>
        <v>1.2530000000000001</v>
      </c>
      <c r="AY9" s="5">
        <f>11.67*2.5</f>
        <v>29.175000000000001</v>
      </c>
      <c r="AZ9" s="8">
        <v>-2.91</v>
      </c>
      <c r="BA9" s="5">
        <v>13</v>
      </c>
      <c r="BB9" s="8">
        <v>2.91</v>
      </c>
      <c r="BC9" s="8">
        <v>-0.33</v>
      </c>
      <c r="BD9" s="5">
        <v>1</v>
      </c>
      <c r="BE9" s="5" t="s">
        <v>55</v>
      </c>
      <c r="BF9" s="8">
        <v>2.3199999999999998</v>
      </c>
      <c r="BG9" s="6">
        <v>45267</v>
      </c>
      <c r="BH9" s="5" t="s">
        <v>45</v>
      </c>
      <c r="BI9" s="5" t="s">
        <v>45</v>
      </c>
      <c r="BJ9" s="5" t="s">
        <v>45</v>
      </c>
      <c r="BK9" s="8" t="s">
        <v>52</v>
      </c>
      <c r="BL9" s="5" t="s">
        <v>45</v>
      </c>
      <c r="BM9" s="8">
        <v>3.61</v>
      </c>
      <c r="BN9" s="8">
        <v>-3.21</v>
      </c>
      <c r="BO9" s="8">
        <v>-2.91</v>
      </c>
      <c r="BP9" s="10" t="s">
        <v>46</v>
      </c>
    </row>
    <row r="10" spans="1:68" ht="14.5" customHeight="1" x14ac:dyDescent="0.35">
      <c r="A10" s="5">
        <v>9</v>
      </c>
      <c r="B10" s="6">
        <v>45265</v>
      </c>
      <c r="C10" s="5" t="s">
        <v>44</v>
      </c>
      <c r="D10" s="5" t="s">
        <v>45</v>
      </c>
      <c r="E10" s="5" t="s">
        <v>46</v>
      </c>
      <c r="F10" s="5" t="s">
        <v>47</v>
      </c>
      <c r="G10" s="7">
        <v>0.60416666666666663</v>
      </c>
      <c r="H10" s="7">
        <v>0.625</v>
      </c>
      <c r="I10" s="5">
        <v>1.2605</v>
      </c>
      <c r="J10" s="5">
        <v>1.2629999999999999</v>
      </c>
      <c r="K10" s="8">
        <v>-2.5</v>
      </c>
      <c r="L10" s="8">
        <v>5</v>
      </c>
      <c r="M10" s="5">
        <f t="shared" si="0"/>
        <v>1.2629999999999999</v>
      </c>
      <c r="N10" s="5">
        <f t="shared" si="1"/>
        <v>1.2555000000000001</v>
      </c>
      <c r="O10" s="5">
        <v>1</v>
      </c>
      <c r="P10" s="8">
        <v>2.82</v>
      </c>
      <c r="Q10" s="8">
        <v>-4.63</v>
      </c>
      <c r="R10" s="5">
        <v>1</v>
      </c>
      <c r="S10" s="5" t="s">
        <v>68</v>
      </c>
      <c r="T10" s="8">
        <v>-2.5</v>
      </c>
      <c r="U10" s="5"/>
      <c r="V10" s="5"/>
      <c r="W10" s="5"/>
      <c r="X10" s="5"/>
      <c r="Y10" s="5"/>
      <c r="Z10" s="5"/>
      <c r="AA10" s="6">
        <v>45266</v>
      </c>
      <c r="AB10" s="5" t="s">
        <v>52</v>
      </c>
      <c r="AC10" s="5" t="s">
        <v>45</v>
      </c>
      <c r="AD10" s="8" t="s">
        <v>46</v>
      </c>
      <c r="AE10" s="8" t="s">
        <v>46</v>
      </c>
      <c r="AF10" s="8" t="s">
        <v>46</v>
      </c>
      <c r="AG10" s="5">
        <v>11</v>
      </c>
      <c r="AH10" s="8">
        <v>0</v>
      </c>
      <c r="AI10" s="8">
        <v>0</v>
      </c>
      <c r="AJ10" s="8">
        <v>0</v>
      </c>
      <c r="AK10" s="10" t="s">
        <v>46</v>
      </c>
      <c r="AL10" s="5"/>
      <c r="AM10" s="5">
        <v>9</v>
      </c>
      <c r="AN10" s="6">
        <v>45265</v>
      </c>
      <c r="AO10" s="5" t="s">
        <v>53</v>
      </c>
      <c r="AP10" s="5" t="s">
        <v>45</v>
      </c>
      <c r="AQ10" s="5" t="s">
        <v>46</v>
      </c>
      <c r="AR10" s="5" t="s">
        <v>47</v>
      </c>
      <c r="AS10" s="7">
        <v>0.60416666666666663</v>
      </c>
      <c r="AT10" s="7">
        <v>0.625</v>
      </c>
      <c r="AU10" s="5">
        <v>1.2605</v>
      </c>
      <c r="AV10" s="5">
        <v>1.2629999999999999</v>
      </c>
      <c r="AW10" s="5">
        <f t="shared" si="2"/>
        <v>1.2634000000000001</v>
      </c>
      <c r="AX10" s="5">
        <f t="shared" si="3"/>
        <v>1.2555000000000001</v>
      </c>
      <c r="AY10" s="5">
        <f>11.65*2.5</f>
        <v>29.125</v>
      </c>
      <c r="AZ10" s="8">
        <v>-2.91</v>
      </c>
      <c r="BA10" s="5">
        <v>1</v>
      </c>
      <c r="BB10" s="8">
        <v>2.82</v>
      </c>
      <c r="BC10" s="8">
        <v>-4.63</v>
      </c>
      <c r="BD10" s="5">
        <v>1</v>
      </c>
      <c r="BE10" s="5" t="s">
        <v>68</v>
      </c>
      <c r="BF10" s="8">
        <v>-2.91</v>
      </c>
      <c r="BG10" s="6">
        <v>45266</v>
      </c>
      <c r="BH10" s="5" t="s">
        <v>52</v>
      </c>
      <c r="BI10" s="5" t="s">
        <v>45</v>
      </c>
      <c r="BJ10" s="8" t="s">
        <v>46</v>
      </c>
      <c r="BK10" s="8" t="s">
        <v>46</v>
      </c>
      <c r="BL10" s="8" t="s">
        <v>46</v>
      </c>
      <c r="BM10" s="8">
        <v>0</v>
      </c>
      <c r="BN10" s="8">
        <v>0</v>
      </c>
      <c r="BO10" s="8">
        <v>0</v>
      </c>
      <c r="BP10" s="10" t="s">
        <v>46</v>
      </c>
    </row>
    <row r="11" spans="1:68" ht="14.5" customHeight="1" x14ac:dyDescent="0.35">
      <c r="A11" s="5">
        <v>10</v>
      </c>
      <c r="B11" s="6">
        <v>45265</v>
      </c>
      <c r="C11" s="5" t="s">
        <v>44</v>
      </c>
      <c r="D11" s="5" t="s">
        <v>45</v>
      </c>
      <c r="E11" s="5" t="s">
        <v>46</v>
      </c>
      <c r="F11" s="5" t="s">
        <v>47</v>
      </c>
      <c r="G11" s="7">
        <v>0.66666666666666663</v>
      </c>
      <c r="H11" s="7">
        <v>0.97916666666666663</v>
      </c>
      <c r="I11" s="5">
        <v>1.2605</v>
      </c>
      <c r="J11" s="5">
        <v>1.2593000000000001</v>
      </c>
      <c r="K11" s="8">
        <v>-2.5</v>
      </c>
      <c r="L11" s="8">
        <v>5</v>
      </c>
      <c r="M11" s="5">
        <f t="shared" si="0"/>
        <v>1.2629999999999999</v>
      </c>
      <c r="N11" s="5">
        <f t="shared" si="1"/>
        <v>1.2555000000000001</v>
      </c>
      <c r="O11" s="5">
        <v>16</v>
      </c>
      <c r="P11" s="8">
        <v>2.82</v>
      </c>
      <c r="Q11" s="8">
        <v>-4.63</v>
      </c>
      <c r="R11" s="5">
        <v>1</v>
      </c>
      <c r="S11" s="5" t="s">
        <v>55</v>
      </c>
      <c r="T11" s="8">
        <v>1.2</v>
      </c>
      <c r="U11" s="5"/>
      <c r="V11" s="5"/>
      <c r="W11" s="5"/>
      <c r="X11" s="5"/>
      <c r="Y11" s="5"/>
      <c r="Z11" s="5"/>
      <c r="AA11" s="6">
        <v>45266</v>
      </c>
      <c r="AB11" s="5" t="s">
        <v>45</v>
      </c>
      <c r="AC11" s="5" t="s">
        <v>45</v>
      </c>
      <c r="AD11" s="8" t="s">
        <v>52</v>
      </c>
      <c r="AE11" s="5" t="s">
        <v>45</v>
      </c>
      <c r="AF11" s="8" t="s">
        <v>46</v>
      </c>
      <c r="AG11" s="5">
        <v>0</v>
      </c>
      <c r="AH11" s="8">
        <v>5.41</v>
      </c>
      <c r="AI11" s="8">
        <v>-0.86</v>
      </c>
      <c r="AJ11" s="8">
        <v>5</v>
      </c>
      <c r="AK11" s="10" t="s">
        <v>46</v>
      </c>
      <c r="AL11" s="5"/>
      <c r="AM11" s="5">
        <v>10</v>
      </c>
      <c r="AN11" s="6">
        <v>45265</v>
      </c>
      <c r="AO11" s="5" t="s">
        <v>53</v>
      </c>
      <c r="AP11" s="5" t="s">
        <v>45</v>
      </c>
      <c r="AQ11" s="5" t="s">
        <v>46</v>
      </c>
      <c r="AR11" s="5" t="s">
        <v>47</v>
      </c>
      <c r="AS11" s="7">
        <v>0.66666666666666663</v>
      </c>
      <c r="AT11" s="7">
        <v>0.97916666666666663</v>
      </c>
      <c r="AU11" s="5">
        <v>1.2605</v>
      </c>
      <c r="AV11" s="5">
        <v>1.2593000000000001</v>
      </c>
      <c r="AW11" s="5">
        <f t="shared" si="2"/>
        <v>1.2634000000000001</v>
      </c>
      <c r="AX11" s="5">
        <f t="shared" si="3"/>
        <v>1.2555000000000001</v>
      </c>
      <c r="AY11" s="5">
        <f>11.65*2.5</f>
        <v>29.125</v>
      </c>
      <c r="AZ11" s="8">
        <v>-2.91</v>
      </c>
      <c r="BA11" s="5">
        <v>16</v>
      </c>
      <c r="BB11" s="8">
        <v>2.82</v>
      </c>
      <c r="BC11" s="8">
        <v>-4.63</v>
      </c>
      <c r="BD11" s="5">
        <v>1</v>
      </c>
      <c r="BE11" s="5" t="s">
        <v>55</v>
      </c>
      <c r="BF11" s="8">
        <v>1.2</v>
      </c>
      <c r="BG11" s="6">
        <v>45266</v>
      </c>
      <c r="BH11" s="5" t="s">
        <v>45</v>
      </c>
      <c r="BI11" s="5" t="s">
        <v>45</v>
      </c>
      <c r="BJ11" s="8" t="s">
        <v>52</v>
      </c>
      <c r="BK11" s="5" t="s">
        <v>45</v>
      </c>
      <c r="BL11" s="8" t="s">
        <v>46</v>
      </c>
      <c r="BM11" s="8">
        <v>5.41</v>
      </c>
      <c r="BN11" s="8">
        <v>-0.86</v>
      </c>
      <c r="BO11" s="8">
        <v>5</v>
      </c>
      <c r="BP11" s="10" t="s">
        <v>46</v>
      </c>
    </row>
    <row r="12" spans="1:68" ht="14.5" customHeight="1" x14ac:dyDescent="0.35">
      <c r="A12" s="5">
        <v>11</v>
      </c>
      <c r="B12" s="6">
        <v>45253</v>
      </c>
      <c r="C12" s="5" t="s">
        <v>44</v>
      </c>
      <c r="D12" s="5" t="s">
        <v>45</v>
      </c>
      <c r="E12" s="5" t="s">
        <v>46</v>
      </c>
      <c r="F12" s="5" t="s">
        <v>67</v>
      </c>
      <c r="G12" s="7">
        <v>0.39583333333333331</v>
      </c>
      <c r="H12" s="7">
        <v>0.58333333333333337</v>
      </c>
      <c r="I12" s="5">
        <v>1.2553000000000001</v>
      </c>
      <c r="J12" s="5">
        <v>1.2528000000000001</v>
      </c>
      <c r="K12" s="8">
        <v>-2.5</v>
      </c>
      <c r="L12" s="8">
        <v>5</v>
      </c>
      <c r="M12" s="5">
        <f t="shared" si="0"/>
        <v>1.2528000000000001</v>
      </c>
      <c r="N12" s="5">
        <f t="shared" si="1"/>
        <v>1.2603</v>
      </c>
      <c r="O12" s="5">
        <v>10</v>
      </c>
      <c r="P12" s="8">
        <v>1.8</v>
      </c>
      <c r="Q12" s="8">
        <v>-3.95</v>
      </c>
      <c r="R12" s="5">
        <v>3</v>
      </c>
      <c r="S12" s="5" t="s">
        <v>68</v>
      </c>
      <c r="T12" s="8">
        <v>-2.5</v>
      </c>
      <c r="U12" s="5"/>
      <c r="V12" s="5"/>
      <c r="W12" s="5"/>
      <c r="X12" s="5"/>
      <c r="Y12" s="5"/>
      <c r="Z12" s="5"/>
      <c r="AA12" s="6">
        <v>45254</v>
      </c>
      <c r="AB12" s="5" t="s">
        <v>52</v>
      </c>
      <c r="AC12" s="5" t="s">
        <v>45</v>
      </c>
      <c r="AD12" s="8" t="s">
        <v>46</v>
      </c>
      <c r="AE12" s="8" t="s">
        <v>46</v>
      </c>
      <c r="AF12" s="5" t="s">
        <v>45</v>
      </c>
      <c r="AG12" s="5">
        <v>3</v>
      </c>
      <c r="AH12" s="8">
        <v>0</v>
      </c>
      <c r="AI12" s="8">
        <v>0</v>
      </c>
      <c r="AJ12" s="8">
        <v>0</v>
      </c>
      <c r="AK12" s="10" t="s">
        <v>46</v>
      </c>
      <c r="AL12" s="5"/>
      <c r="AM12" s="5">
        <v>11</v>
      </c>
      <c r="AN12" s="6">
        <v>45253</v>
      </c>
      <c r="AO12" s="5" t="s">
        <v>53</v>
      </c>
      <c r="AP12" s="5" t="s">
        <v>45</v>
      </c>
      <c r="AQ12" s="5" t="s">
        <v>46</v>
      </c>
      <c r="AR12" s="5" t="s">
        <v>67</v>
      </c>
      <c r="AS12" s="7">
        <v>0.39583333333333331</v>
      </c>
      <c r="AT12" s="7">
        <v>0.58333333333333337</v>
      </c>
      <c r="AU12" s="5">
        <v>1.2553000000000001</v>
      </c>
      <c r="AV12" s="5">
        <v>1.2528000000000001</v>
      </c>
      <c r="AW12" s="5">
        <f t="shared" si="2"/>
        <v>1.2524</v>
      </c>
      <c r="AX12" s="5">
        <f t="shared" si="3"/>
        <v>1.2603</v>
      </c>
      <c r="AY12" s="5">
        <f>11.61*2.5</f>
        <v>29.024999999999999</v>
      </c>
      <c r="AZ12" s="8">
        <v>-2.9</v>
      </c>
      <c r="BA12" s="5">
        <v>10</v>
      </c>
      <c r="BB12" s="8">
        <v>1.8</v>
      </c>
      <c r="BC12" s="8">
        <v>-3.95</v>
      </c>
      <c r="BD12" s="5">
        <v>3</v>
      </c>
      <c r="BE12" s="5" t="s">
        <v>68</v>
      </c>
      <c r="BF12" s="8">
        <v>-2.9</v>
      </c>
      <c r="BG12" s="6">
        <v>45254</v>
      </c>
      <c r="BH12" s="5" t="s">
        <v>52</v>
      </c>
      <c r="BI12" s="5" t="s">
        <v>45</v>
      </c>
      <c r="BJ12" s="8" t="s">
        <v>46</v>
      </c>
      <c r="BK12" s="8" t="s">
        <v>46</v>
      </c>
      <c r="BL12" s="5" t="s">
        <v>45</v>
      </c>
      <c r="BM12" s="8">
        <v>0</v>
      </c>
      <c r="BN12" s="8">
        <v>0</v>
      </c>
      <c r="BO12" s="8">
        <v>0</v>
      </c>
      <c r="BP12" s="10" t="s">
        <v>46</v>
      </c>
    </row>
    <row r="13" spans="1:68" ht="14.5" customHeight="1" x14ac:dyDescent="0.35">
      <c r="A13" s="5">
        <v>12</v>
      </c>
      <c r="B13" s="6">
        <v>45244</v>
      </c>
      <c r="C13" s="5" t="s">
        <v>44</v>
      </c>
      <c r="D13" s="5" t="s">
        <v>45</v>
      </c>
      <c r="E13" s="5" t="s">
        <v>46</v>
      </c>
      <c r="F13" s="5" t="s">
        <v>67</v>
      </c>
      <c r="G13" s="7">
        <v>0.5625</v>
      </c>
      <c r="H13" s="7">
        <v>0.5625</v>
      </c>
      <c r="I13" s="5">
        <v>1.2340000000000002</v>
      </c>
      <c r="J13" s="5">
        <v>1.2389999999999999</v>
      </c>
      <c r="K13" s="8">
        <v>-2.5</v>
      </c>
      <c r="L13" s="8">
        <v>5</v>
      </c>
      <c r="M13" s="5">
        <f t="shared" si="0"/>
        <v>1.2315</v>
      </c>
      <c r="N13" s="5">
        <f t="shared" si="1"/>
        <v>1.2389999999999999</v>
      </c>
      <c r="O13" s="5">
        <v>1</v>
      </c>
      <c r="P13" s="8">
        <v>16.53</v>
      </c>
      <c r="Q13" s="8">
        <v>0</v>
      </c>
      <c r="R13" s="5">
        <v>0</v>
      </c>
      <c r="S13" s="5" t="s">
        <v>48</v>
      </c>
      <c r="T13" s="8">
        <v>5</v>
      </c>
      <c r="U13" s="5"/>
      <c r="V13" s="5"/>
      <c r="W13" s="5"/>
      <c r="X13" s="5"/>
      <c r="Y13" s="5"/>
      <c r="Z13" s="5"/>
      <c r="AA13" s="6">
        <v>45245</v>
      </c>
      <c r="AB13" s="5" t="s">
        <v>52</v>
      </c>
      <c r="AC13" s="5" t="s">
        <v>45</v>
      </c>
      <c r="AD13" s="8" t="s">
        <v>46</v>
      </c>
      <c r="AE13" s="8" t="s">
        <v>46</v>
      </c>
      <c r="AF13" s="8" t="s">
        <v>46</v>
      </c>
      <c r="AG13" s="5">
        <v>0</v>
      </c>
      <c r="AH13" s="8">
        <v>0</v>
      </c>
      <c r="AI13" s="8">
        <v>0</v>
      </c>
      <c r="AJ13" s="8">
        <v>0</v>
      </c>
      <c r="AK13" s="10" t="s">
        <v>46</v>
      </c>
      <c r="AL13" s="5"/>
      <c r="AM13" s="5">
        <v>12</v>
      </c>
      <c r="AN13" s="6">
        <v>45244</v>
      </c>
      <c r="AO13" s="5" t="s">
        <v>53</v>
      </c>
      <c r="AP13" s="5" t="s">
        <v>45</v>
      </c>
      <c r="AQ13" s="5" t="s">
        <v>46</v>
      </c>
      <c r="AR13" s="5" t="s">
        <v>67</v>
      </c>
      <c r="AS13" s="7">
        <v>0.5625</v>
      </c>
      <c r="AT13" s="7">
        <v>0.5625</v>
      </c>
      <c r="AU13" s="5">
        <v>1.2340000000000002</v>
      </c>
      <c r="AV13" s="5">
        <v>1.2389999999999999</v>
      </c>
      <c r="AW13" s="5">
        <f t="shared" si="2"/>
        <v>1.2311000000000001</v>
      </c>
      <c r="AX13" s="5">
        <f t="shared" si="3"/>
        <v>1.2389999999999999</v>
      </c>
      <c r="AY13" s="5">
        <f>11.48*2.5</f>
        <v>28.700000000000003</v>
      </c>
      <c r="AZ13" s="8">
        <v>-2.87</v>
      </c>
      <c r="BA13" s="5">
        <v>1</v>
      </c>
      <c r="BB13" s="8">
        <v>16.53</v>
      </c>
      <c r="BC13" s="8">
        <v>0</v>
      </c>
      <c r="BD13" s="5">
        <v>0</v>
      </c>
      <c r="BE13" s="5" t="s">
        <v>48</v>
      </c>
      <c r="BF13" s="8">
        <v>5</v>
      </c>
      <c r="BG13" s="6">
        <v>45245</v>
      </c>
      <c r="BH13" s="5" t="s">
        <v>52</v>
      </c>
      <c r="BI13" s="5" t="s">
        <v>45</v>
      </c>
      <c r="BJ13" s="8" t="s">
        <v>46</v>
      </c>
      <c r="BK13" s="8" t="s">
        <v>46</v>
      </c>
      <c r="BL13" s="8" t="s">
        <v>46</v>
      </c>
      <c r="BM13" s="8">
        <v>0</v>
      </c>
      <c r="BN13" s="8">
        <v>0</v>
      </c>
      <c r="BO13" s="8">
        <v>0</v>
      </c>
      <c r="BP13" s="10" t="s">
        <v>46</v>
      </c>
    </row>
    <row r="14" spans="1:68" ht="14.5" customHeight="1" x14ac:dyDescent="0.35">
      <c r="A14" s="5">
        <v>13</v>
      </c>
      <c r="B14" s="6">
        <v>45233</v>
      </c>
      <c r="C14" s="5" t="s">
        <v>44</v>
      </c>
      <c r="D14" s="5" t="s">
        <v>45</v>
      </c>
      <c r="E14" s="5" t="s">
        <v>46</v>
      </c>
      <c r="F14" s="5" t="s">
        <v>67</v>
      </c>
      <c r="G14" s="7">
        <v>0.4375</v>
      </c>
      <c r="H14" s="7">
        <v>0.52083333333333337</v>
      </c>
      <c r="I14" s="5">
        <v>1.2222000000000002</v>
      </c>
      <c r="J14" s="5">
        <v>1.2272000000000001</v>
      </c>
      <c r="K14" s="8">
        <v>-2.5</v>
      </c>
      <c r="L14" s="8">
        <v>5</v>
      </c>
      <c r="M14" s="5">
        <f t="shared" si="0"/>
        <v>1.2197</v>
      </c>
      <c r="N14" s="5">
        <f t="shared" si="1"/>
        <v>1.2272000000000001</v>
      </c>
      <c r="O14" s="5">
        <v>5</v>
      </c>
      <c r="P14" s="8">
        <v>16.89</v>
      </c>
      <c r="Q14" s="8">
        <v>-0.28000000000000003</v>
      </c>
      <c r="R14" s="5">
        <v>2</v>
      </c>
      <c r="S14" s="5" t="s">
        <v>48</v>
      </c>
      <c r="T14" s="8">
        <v>5</v>
      </c>
      <c r="U14" s="5"/>
      <c r="V14" s="5"/>
      <c r="W14" s="5"/>
      <c r="X14" s="5"/>
      <c r="Y14" s="5"/>
      <c r="Z14" s="5"/>
      <c r="AA14" s="6">
        <v>45236</v>
      </c>
      <c r="AB14" s="5" t="s">
        <v>52</v>
      </c>
      <c r="AC14" s="5" t="s">
        <v>45</v>
      </c>
      <c r="AD14" s="8" t="s">
        <v>46</v>
      </c>
      <c r="AE14" s="8" t="s">
        <v>46</v>
      </c>
      <c r="AF14" s="8" t="s">
        <v>46</v>
      </c>
      <c r="AG14" s="5">
        <v>0</v>
      </c>
      <c r="AH14" s="8">
        <v>0</v>
      </c>
      <c r="AI14" s="8">
        <v>0</v>
      </c>
      <c r="AJ14" s="8">
        <v>0</v>
      </c>
      <c r="AK14" s="10" t="s">
        <v>46</v>
      </c>
      <c r="AL14" s="5"/>
      <c r="AM14" s="5">
        <v>13</v>
      </c>
      <c r="AN14" s="6">
        <v>45233</v>
      </c>
      <c r="AO14" s="5" t="s">
        <v>53</v>
      </c>
      <c r="AP14" s="5" t="s">
        <v>45</v>
      </c>
      <c r="AQ14" s="5" t="s">
        <v>46</v>
      </c>
      <c r="AR14" s="5" t="s">
        <v>67</v>
      </c>
      <c r="AS14" s="7">
        <v>0.4375</v>
      </c>
      <c r="AT14" s="7">
        <v>0.52083333333333337</v>
      </c>
      <c r="AU14" s="5">
        <v>1.2222000000000002</v>
      </c>
      <c r="AV14" s="5">
        <v>1.2272000000000001</v>
      </c>
      <c r="AW14" s="5">
        <f t="shared" si="2"/>
        <v>1.2193000000000001</v>
      </c>
      <c r="AX14" s="5">
        <f t="shared" si="3"/>
        <v>1.2272000000000001</v>
      </c>
      <c r="AY14" s="5">
        <f>11.71*2.5</f>
        <v>29.275000000000002</v>
      </c>
      <c r="AZ14" s="8">
        <v>-2.92</v>
      </c>
      <c r="BA14" s="5">
        <v>5</v>
      </c>
      <c r="BB14" s="8">
        <v>16.89</v>
      </c>
      <c r="BC14" s="8">
        <v>-0.28000000000000003</v>
      </c>
      <c r="BD14" s="5">
        <v>2</v>
      </c>
      <c r="BE14" s="5" t="s">
        <v>48</v>
      </c>
      <c r="BF14" s="8">
        <v>5</v>
      </c>
      <c r="BG14" s="6">
        <v>45236</v>
      </c>
      <c r="BH14" s="5" t="s">
        <v>52</v>
      </c>
      <c r="BI14" s="5" t="s">
        <v>45</v>
      </c>
      <c r="BJ14" s="8" t="s">
        <v>46</v>
      </c>
      <c r="BK14" s="8" t="s">
        <v>46</v>
      </c>
      <c r="BL14" s="8" t="s">
        <v>46</v>
      </c>
      <c r="BM14" s="8">
        <v>0</v>
      </c>
      <c r="BN14" s="8">
        <v>0</v>
      </c>
      <c r="BO14" s="8">
        <v>0</v>
      </c>
      <c r="BP14" s="10" t="s">
        <v>46</v>
      </c>
    </row>
    <row r="15" spans="1:68" ht="14.5" customHeight="1" x14ac:dyDescent="0.35">
      <c r="A15" s="5">
        <v>14</v>
      </c>
      <c r="B15" s="6">
        <v>45232</v>
      </c>
      <c r="C15" s="5" t="s">
        <v>44</v>
      </c>
      <c r="D15" s="5" t="s">
        <v>45</v>
      </c>
      <c r="E15" s="5" t="s">
        <v>46</v>
      </c>
      <c r="F15" s="5" t="s">
        <v>67</v>
      </c>
      <c r="G15" s="7">
        <v>0.4375</v>
      </c>
      <c r="H15" s="7">
        <v>0.625</v>
      </c>
      <c r="I15" s="5">
        <v>1.2195</v>
      </c>
      <c r="J15" s="5">
        <v>1.2170000000000001</v>
      </c>
      <c r="K15" s="8">
        <v>-2.5</v>
      </c>
      <c r="L15" s="8">
        <v>5</v>
      </c>
      <c r="M15" s="5">
        <f t="shared" si="0"/>
        <v>1.2170000000000001</v>
      </c>
      <c r="N15" s="5">
        <f t="shared" si="1"/>
        <v>1.2244999999999999</v>
      </c>
      <c r="O15" s="5">
        <v>10</v>
      </c>
      <c r="P15" s="8">
        <v>2.98</v>
      </c>
      <c r="Q15" s="8">
        <v>-2.78</v>
      </c>
      <c r="R15" s="5">
        <v>10</v>
      </c>
      <c r="S15" s="5" t="s">
        <v>68</v>
      </c>
      <c r="T15" s="8">
        <v>-2.5</v>
      </c>
      <c r="U15" s="5"/>
      <c r="V15" s="5"/>
      <c r="W15" s="5"/>
      <c r="X15" s="5"/>
      <c r="Y15" s="5"/>
      <c r="Z15" s="5"/>
      <c r="AA15" s="6">
        <v>45233</v>
      </c>
      <c r="AB15" s="5" t="s">
        <v>52</v>
      </c>
      <c r="AC15" s="5" t="s">
        <v>45</v>
      </c>
      <c r="AD15" s="8" t="s">
        <v>46</v>
      </c>
      <c r="AE15" s="8" t="s">
        <v>46</v>
      </c>
      <c r="AF15" s="8" t="s">
        <v>46</v>
      </c>
      <c r="AG15" s="5">
        <v>3</v>
      </c>
      <c r="AH15" s="8">
        <v>0</v>
      </c>
      <c r="AI15" s="8">
        <v>0</v>
      </c>
      <c r="AJ15" s="8">
        <v>0</v>
      </c>
      <c r="AK15" s="10" t="s">
        <v>46</v>
      </c>
      <c r="AL15" s="5"/>
      <c r="AM15" s="5">
        <v>14</v>
      </c>
      <c r="AN15" s="6">
        <v>45232</v>
      </c>
      <c r="AO15" s="5" t="s">
        <v>53</v>
      </c>
      <c r="AP15" s="5" t="s">
        <v>45</v>
      </c>
      <c r="AQ15" s="5" t="s">
        <v>46</v>
      </c>
      <c r="AR15" s="5" t="s">
        <v>67</v>
      </c>
      <c r="AS15" s="7">
        <v>0.4375</v>
      </c>
      <c r="AT15" s="7">
        <v>0.625</v>
      </c>
      <c r="AU15" s="5">
        <v>1.2195</v>
      </c>
      <c r="AV15" s="5">
        <v>1.21889</v>
      </c>
      <c r="AW15" s="5">
        <f t="shared" si="2"/>
        <v>1.2165999999999999</v>
      </c>
      <c r="AX15" s="5">
        <f t="shared" si="3"/>
        <v>1.2244999999999999</v>
      </c>
      <c r="AY15" s="5">
        <f>11.68*2.5</f>
        <v>29.2</v>
      </c>
      <c r="AZ15" s="8">
        <v>-2.92</v>
      </c>
      <c r="BA15" s="5">
        <v>10</v>
      </c>
      <c r="BB15" s="8">
        <v>2.98</v>
      </c>
      <c r="BC15" s="8">
        <v>-2.78</v>
      </c>
      <c r="BD15" s="5">
        <v>10</v>
      </c>
      <c r="BE15" s="5" t="s">
        <v>55</v>
      </c>
      <c r="BF15" s="8">
        <v>-0.61</v>
      </c>
      <c r="BG15" s="6">
        <v>45233</v>
      </c>
      <c r="BH15" s="5" t="s">
        <v>45</v>
      </c>
      <c r="BI15" s="5" t="s">
        <v>45</v>
      </c>
      <c r="BJ15" s="8" t="s">
        <v>52</v>
      </c>
      <c r="BK15" s="5" t="s">
        <v>45</v>
      </c>
      <c r="BL15" s="8" t="s">
        <v>46</v>
      </c>
      <c r="BM15" s="8">
        <v>19.39</v>
      </c>
      <c r="BN15" s="8">
        <v>0</v>
      </c>
      <c r="BO15" s="8">
        <v>5</v>
      </c>
      <c r="BP15" s="10" t="s">
        <v>46</v>
      </c>
    </row>
    <row r="16" spans="1:68" ht="14.5" customHeight="1" x14ac:dyDescent="0.35">
      <c r="A16" s="5">
        <v>15</v>
      </c>
      <c r="B16" s="6">
        <v>45225</v>
      </c>
      <c r="C16" s="5" t="s">
        <v>44</v>
      </c>
      <c r="D16" s="5" t="s">
        <v>45</v>
      </c>
      <c r="E16" s="5" t="s">
        <v>46</v>
      </c>
      <c r="F16" s="5" t="s">
        <v>47</v>
      </c>
      <c r="G16" s="7">
        <v>2.0833333333333332E-2</v>
      </c>
      <c r="H16" s="7">
        <v>0.52083333333333337</v>
      </c>
      <c r="I16" s="5">
        <v>1.2093</v>
      </c>
      <c r="J16" s="5">
        <v>1.2118</v>
      </c>
      <c r="K16" s="8">
        <v>-2.5</v>
      </c>
      <c r="L16" s="8">
        <v>5</v>
      </c>
      <c r="M16" s="5">
        <f t="shared" si="0"/>
        <v>1.2118</v>
      </c>
      <c r="N16" s="5">
        <f t="shared" si="1"/>
        <v>1.2042999999999999</v>
      </c>
      <c r="O16" s="5">
        <v>25</v>
      </c>
      <c r="P16" s="8">
        <v>2.39</v>
      </c>
      <c r="Q16" s="8">
        <v>-4.63</v>
      </c>
      <c r="R16" s="5">
        <v>8</v>
      </c>
      <c r="S16" s="5" t="s">
        <v>68</v>
      </c>
      <c r="T16" s="8">
        <v>-2.5</v>
      </c>
      <c r="U16" s="5"/>
      <c r="V16" s="5"/>
      <c r="W16" s="5"/>
      <c r="X16" s="5"/>
      <c r="Y16" s="5"/>
      <c r="Z16" s="5"/>
      <c r="AA16" s="6">
        <v>45226</v>
      </c>
      <c r="AB16" s="5" t="s">
        <v>52</v>
      </c>
      <c r="AC16" s="5" t="s">
        <v>52</v>
      </c>
      <c r="AD16" s="8" t="s">
        <v>46</v>
      </c>
      <c r="AE16" s="8" t="s">
        <v>46</v>
      </c>
      <c r="AF16" s="8" t="s">
        <v>46</v>
      </c>
      <c r="AG16" s="5">
        <v>2</v>
      </c>
      <c r="AH16" s="8">
        <v>0</v>
      </c>
      <c r="AI16" s="8">
        <v>0</v>
      </c>
      <c r="AJ16" s="8">
        <v>0</v>
      </c>
      <c r="AK16" s="10" t="s">
        <v>46</v>
      </c>
      <c r="AL16" s="5"/>
      <c r="AM16" s="5">
        <v>15</v>
      </c>
      <c r="AN16" s="6">
        <v>45225</v>
      </c>
      <c r="AO16" s="5" t="s">
        <v>53</v>
      </c>
      <c r="AP16" s="5" t="s">
        <v>45</v>
      </c>
      <c r="AQ16" s="5" t="s">
        <v>46</v>
      </c>
      <c r="AR16" s="5" t="s">
        <v>47</v>
      </c>
      <c r="AS16" s="7">
        <v>2.0833333333333332E-2</v>
      </c>
      <c r="AT16" s="7">
        <v>0.52083333333333337</v>
      </c>
      <c r="AU16" s="5">
        <v>1.2093</v>
      </c>
      <c r="AV16" s="5">
        <v>1.2118</v>
      </c>
      <c r="AW16" s="5">
        <f t="shared" si="2"/>
        <v>1.2122999999999999</v>
      </c>
      <c r="AX16" s="5">
        <f t="shared" si="3"/>
        <v>1.2042999999999999</v>
      </c>
      <c r="AY16" s="5">
        <f>11.94*2.5</f>
        <v>29.849999999999998</v>
      </c>
      <c r="AZ16" s="8">
        <v>-2.98</v>
      </c>
      <c r="BA16" s="5">
        <v>25</v>
      </c>
      <c r="BB16" s="8">
        <v>2.39</v>
      </c>
      <c r="BC16" s="8">
        <v>-4.63</v>
      </c>
      <c r="BD16" s="5">
        <v>8</v>
      </c>
      <c r="BE16" s="5" t="s">
        <v>68</v>
      </c>
      <c r="BF16" s="8">
        <v>-2.98</v>
      </c>
      <c r="BG16" s="6">
        <v>45226</v>
      </c>
      <c r="BH16" s="5" t="s">
        <v>52</v>
      </c>
      <c r="BI16" s="5" t="s">
        <v>52</v>
      </c>
      <c r="BJ16" s="8" t="s">
        <v>46</v>
      </c>
      <c r="BK16" s="8" t="s">
        <v>46</v>
      </c>
      <c r="BL16" s="8" t="s">
        <v>46</v>
      </c>
      <c r="BM16" s="8">
        <v>0</v>
      </c>
      <c r="BN16" s="8">
        <v>0</v>
      </c>
      <c r="BO16" s="8">
        <v>0</v>
      </c>
      <c r="BP16" s="10" t="s">
        <v>46</v>
      </c>
    </row>
    <row r="17" spans="1:68" ht="14.5" customHeight="1" x14ac:dyDescent="0.35">
      <c r="A17" s="5">
        <v>16</v>
      </c>
      <c r="B17" s="6">
        <v>45222</v>
      </c>
      <c r="C17" s="5" t="s">
        <v>44</v>
      </c>
      <c r="D17" s="5" t="s">
        <v>45</v>
      </c>
      <c r="E17" s="5" t="s">
        <v>46</v>
      </c>
      <c r="F17" s="5" t="s">
        <v>67</v>
      </c>
      <c r="G17" s="7">
        <v>0.625</v>
      </c>
      <c r="H17" s="7">
        <v>0.97916666666666663</v>
      </c>
      <c r="I17" s="5">
        <v>1.2218</v>
      </c>
      <c r="J17" s="5">
        <v>1.22485</v>
      </c>
      <c r="K17" s="8">
        <v>-2.5</v>
      </c>
      <c r="L17" s="8">
        <v>5</v>
      </c>
      <c r="M17" s="5">
        <f t="shared" si="0"/>
        <v>1.2193000000000001</v>
      </c>
      <c r="N17" s="5">
        <f t="shared" si="1"/>
        <v>1.2267999999999999</v>
      </c>
      <c r="O17" s="5">
        <v>18</v>
      </c>
      <c r="P17" s="8">
        <v>4.01</v>
      </c>
      <c r="Q17" s="8">
        <v>0</v>
      </c>
      <c r="R17" s="5">
        <v>0</v>
      </c>
      <c r="S17" s="5" t="s">
        <v>55</v>
      </c>
      <c r="T17" s="8">
        <v>3.05</v>
      </c>
      <c r="U17" s="5"/>
      <c r="V17" s="5"/>
      <c r="W17" s="5"/>
      <c r="X17" s="5"/>
      <c r="Y17" s="5"/>
      <c r="Z17" s="5"/>
      <c r="AA17" s="6">
        <v>45223</v>
      </c>
      <c r="AB17" s="5" t="s">
        <v>45</v>
      </c>
      <c r="AC17" s="5" t="s">
        <v>45</v>
      </c>
      <c r="AD17" s="8" t="s">
        <v>52</v>
      </c>
      <c r="AE17" s="5" t="s">
        <v>45</v>
      </c>
      <c r="AF17" s="8" t="s">
        <v>46</v>
      </c>
      <c r="AG17" s="5">
        <v>4</v>
      </c>
      <c r="AH17" s="8">
        <v>7.02</v>
      </c>
      <c r="AI17" s="8">
        <v>0</v>
      </c>
      <c r="AJ17" s="8">
        <v>5</v>
      </c>
      <c r="AK17" s="10" t="s">
        <v>46</v>
      </c>
      <c r="AL17" s="5"/>
      <c r="AM17" s="5">
        <v>16</v>
      </c>
      <c r="AN17" s="6">
        <v>45222</v>
      </c>
      <c r="AO17" s="5" t="s">
        <v>53</v>
      </c>
      <c r="AP17" s="5" t="s">
        <v>45</v>
      </c>
      <c r="AQ17" s="5" t="s">
        <v>46</v>
      </c>
      <c r="AR17" s="5" t="s">
        <v>67</v>
      </c>
      <c r="AS17" s="7">
        <v>0.625</v>
      </c>
      <c r="AT17" s="7">
        <v>0.97916666666666663</v>
      </c>
      <c r="AU17" s="5">
        <v>1.2218</v>
      </c>
      <c r="AV17" s="5">
        <v>1.22485</v>
      </c>
      <c r="AW17" s="5">
        <f t="shared" si="2"/>
        <v>1.2187999999999999</v>
      </c>
      <c r="AX17" s="5">
        <f t="shared" si="3"/>
        <v>1.2267999999999999</v>
      </c>
      <c r="AY17" s="5">
        <f>11.85*2.5</f>
        <v>29.625</v>
      </c>
      <c r="AZ17" s="8">
        <v>-2.96</v>
      </c>
      <c r="BA17" s="5">
        <v>18</v>
      </c>
      <c r="BB17" s="8">
        <v>4.01</v>
      </c>
      <c r="BC17" s="8">
        <v>0</v>
      </c>
      <c r="BD17" s="5">
        <v>0</v>
      </c>
      <c r="BE17" s="5" t="s">
        <v>55</v>
      </c>
      <c r="BF17" s="8">
        <v>3.05</v>
      </c>
      <c r="BG17" s="6">
        <v>45223</v>
      </c>
      <c r="BH17" s="5" t="s">
        <v>45</v>
      </c>
      <c r="BI17" s="5" t="s">
        <v>45</v>
      </c>
      <c r="BJ17" s="8" t="s">
        <v>52</v>
      </c>
      <c r="BK17" s="5" t="s">
        <v>45</v>
      </c>
      <c r="BL17" s="8" t="s">
        <v>46</v>
      </c>
      <c r="BM17" s="8">
        <v>7.02</v>
      </c>
      <c r="BN17" s="8">
        <v>0</v>
      </c>
      <c r="BO17" s="8">
        <v>5</v>
      </c>
      <c r="BP17" s="10" t="s">
        <v>46</v>
      </c>
    </row>
    <row r="18" spans="1:68" ht="14.5" customHeight="1" x14ac:dyDescent="0.35">
      <c r="A18" s="5">
        <v>17</v>
      </c>
      <c r="B18" s="6">
        <v>45219</v>
      </c>
      <c r="C18" s="5" t="s">
        <v>44</v>
      </c>
      <c r="D18" s="5" t="s">
        <v>45</v>
      </c>
      <c r="E18" s="5" t="s">
        <v>46</v>
      </c>
      <c r="F18" s="5" t="s">
        <v>47</v>
      </c>
      <c r="G18" s="7">
        <v>0.25</v>
      </c>
      <c r="H18" s="7">
        <v>0.45833333333333331</v>
      </c>
      <c r="I18" s="5">
        <v>1.2110000000000001</v>
      </c>
      <c r="J18" s="5">
        <v>1.2135</v>
      </c>
      <c r="K18" s="8">
        <v>-2.5</v>
      </c>
      <c r="L18" s="8">
        <v>5</v>
      </c>
      <c r="M18" s="5">
        <f t="shared" si="0"/>
        <v>1.2135</v>
      </c>
      <c r="N18" s="5">
        <f t="shared" si="1"/>
        <v>1.206</v>
      </c>
      <c r="O18" s="5">
        <v>11</v>
      </c>
      <c r="P18" s="8">
        <v>1.74</v>
      </c>
      <c r="Q18" s="8">
        <v>-5.99</v>
      </c>
      <c r="R18" s="5">
        <v>4</v>
      </c>
      <c r="S18" s="5" t="s">
        <v>68</v>
      </c>
      <c r="T18" s="8">
        <v>-2.5</v>
      </c>
      <c r="U18" s="5"/>
      <c r="V18" s="5"/>
      <c r="W18" s="5"/>
      <c r="X18" s="5"/>
      <c r="Y18" s="5"/>
      <c r="Z18" s="5"/>
      <c r="AA18" s="6">
        <v>45222</v>
      </c>
      <c r="AB18" s="5" t="s">
        <v>52</v>
      </c>
      <c r="AC18" s="5" t="s">
        <v>52</v>
      </c>
      <c r="AD18" s="8" t="s">
        <v>46</v>
      </c>
      <c r="AE18" s="8" t="s">
        <v>46</v>
      </c>
      <c r="AF18" s="8" t="s">
        <v>46</v>
      </c>
      <c r="AG18" s="5">
        <v>0</v>
      </c>
      <c r="AH18" s="8">
        <v>0</v>
      </c>
      <c r="AI18" s="8">
        <v>0</v>
      </c>
      <c r="AJ18" s="8">
        <v>0</v>
      </c>
      <c r="AK18" s="10" t="s">
        <v>46</v>
      </c>
      <c r="AL18" s="5"/>
      <c r="AM18" s="5">
        <v>17</v>
      </c>
      <c r="AN18" s="6">
        <v>45219</v>
      </c>
      <c r="AO18" s="5" t="s">
        <v>53</v>
      </c>
      <c r="AP18" s="5" t="s">
        <v>45</v>
      </c>
      <c r="AQ18" s="5" t="s">
        <v>46</v>
      </c>
      <c r="AR18" s="5" t="s">
        <v>47</v>
      </c>
      <c r="AS18" s="7">
        <v>0.25</v>
      </c>
      <c r="AT18" s="7">
        <v>0.45833333333333331</v>
      </c>
      <c r="AU18" s="5">
        <v>1.2110000000000001</v>
      </c>
      <c r="AV18" s="5">
        <v>1.2139500000000001</v>
      </c>
      <c r="AW18" s="5">
        <f t="shared" si="2"/>
        <v>1.214</v>
      </c>
      <c r="AX18" s="5">
        <f t="shared" si="3"/>
        <v>1.206</v>
      </c>
      <c r="AY18" s="5">
        <f>11.82*2.5</f>
        <v>29.55</v>
      </c>
      <c r="AZ18" s="8">
        <v>-2.95</v>
      </c>
      <c r="BA18" s="5">
        <v>11</v>
      </c>
      <c r="BB18" s="8">
        <v>1.74</v>
      </c>
      <c r="BC18" s="8">
        <v>-5.99</v>
      </c>
      <c r="BD18" s="5">
        <v>4</v>
      </c>
      <c r="BE18" s="5" t="s">
        <v>68</v>
      </c>
      <c r="BF18" s="8">
        <v>-2.95</v>
      </c>
      <c r="BG18" s="6">
        <v>45222</v>
      </c>
      <c r="BH18" s="5" t="s">
        <v>52</v>
      </c>
      <c r="BI18" s="5" t="s">
        <v>52</v>
      </c>
      <c r="BJ18" s="8" t="s">
        <v>46</v>
      </c>
      <c r="BK18" s="8" t="s">
        <v>46</v>
      </c>
      <c r="BL18" s="8" t="s">
        <v>46</v>
      </c>
      <c r="BM18" s="8">
        <v>0</v>
      </c>
      <c r="BN18" s="8">
        <v>0</v>
      </c>
      <c r="BO18" s="8">
        <v>0</v>
      </c>
      <c r="BP18" s="10" t="s">
        <v>46</v>
      </c>
    </row>
    <row r="19" spans="1:68" ht="14.5" customHeight="1" x14ac:dyDescent="0.35">
      <c r="A19" s="5">
        <v>18</v>
      </c>
      <c r="B19" s="6">
        <v>45212</v>
      </c>
      <c r="C19" s="5" t="s">
        <v>44</v>
      </c>
      <c r="D19" s="5" t="s">
        <v>45</v>
      </c>
      <c r="E19" s="5" t="s">
        <v>46</v>
      </c>
      <c r="F19" s="5" t="s">
        <v>47</v>
      </c>
      <c r="G19" s="7">
        <v>0.60416666666666663</v>
      </c>
      <c r="H19" s="7">
        <v>0.85416666666666663</v>
      </c>
      <c r="I19" s="5">
        <v>1.2137000000000002</v>
      </c>
      <c r="J19" s="5">
        <v>1.2143299999999999</v>
      </c>
      <c r="K19" s="8">
        <v>-2.5</v>
      </c>
      <c r="L19" s="8">
        <v>5</v>
      </c>
      <c r="M19" s="5">
        <f t="shared" si="0"/>
        <v>1.2161999999999999</v>
      </c>
      <c r="N19" s="5">
        <f t="shared" si="1"/>
        <v>1.2086999999999999</v>
      </c>
      <c r="O19" s="5">
        <v>13</v>
      </c>
      <c r="P19" s="8">
        <v>1.49</v>
      </c>
      <c r="Q19" s="8">
        <v>-0.9</v>
      </c>
      <c r="R19" s="5">
        <v>11</v>
      </c>
      <c r="S19" s="5" t="s">
        <v>55</v>
      </c>
      <c r="T19" s="8">
        <v>-0.63</v>
      </c>
      <c r="U19" s="5"/>
      <c r="V19" s="5"/>
      <c r="W19" s="5"/>
      <c r="X19" s="5"/>
      <c r="Y19" s="5"/>
      <c r="Z19" s="5"/>
      <c r="AA19" s="6">
        <v>45215</v>
      </c>
      <c r="AB19" s="5" t="s">
        <v>45</v>
      </c>
      <c r="AC19" s="5" t="s">
        <v>52</v>
      </c>
      <c r="AD19" s="8" t="s">
        <v>45</v>
      </c>
      <c r="AE19" s="8" t="s">
        <v>52</v>
      </c>
      <c r="AF19" s="8" t="s">
        <v>52</v>
      </c>
      <c r="AG19" s="5">
        <v>2</v>
      </c>
      <c r="AH19" s="8">
        <v>0</v>
      </c>
      <c r="AI19" s="8">
        <v>-8.19</v>
      </c>
      <c r="AJ19" s="8">
        <v>-2.5</v>
      </c>
      <c r="AK19" s="10" t="s">
        <v>46</v>
      </c>
      <c r="AL19" s="5"/>
      <c r="AM19" s="5">
        <v>18</v>
      </c>
      <c r="AN19" s="6">
        <v>45212</v>
      </c>
      <c r="AO19" s="5" t="s">
        <v>53</v>
      </c>
      <c r="AP19" s="5" t="s">
        <v>45</v>
      </c>
      <c r="AQ19" s="5" t="s">
        <v>46</v>
      </c>
      <c r="AR19" s="5" t="s">
        <v>47</v>
      </c>
      <c r="AS19" s="7">
        <v>0.60416666666666663</v>
      </c>
      <c r="AT19" s="7">
        <v>0.85416666666666663</v>
      </c>
      <c r="AU19" s="5">
        <v>1.2137000000000002</v>
      </c>
      <c r="AV19" s="5">
        <v>1.2143299999999999</v>
      </c>
      <c r="AW19" s="5">
        <f t="shared" si="2"/>
        <v>1.2165999999999999</v>
      </c>
      <c r="AX19" s="5">
        <f t="shared" si="3"/>
        <v>1.2086999999999999</v>
      </c>
      <c r="AY19" s="5">
        <f>11.53*2.5</f>
        <v>28.824999999999999</v>
      </c>
      <c r="AZ19" s="8">
        <v>-2.88</v>
      </c>
      <c r="BA19" s="5">
        <v>13</v>
      </c>
      <c r="BB19" s="8">
        <v>1.49</v>
      </c>
      <c r="BC19" s="8">
        <v>-0.9</v>
      </c>
      <c r="BD19" s="5">
        <v>11</v>
      </c>
      <c r="BE19" s="5" t="s">
        <v>55</v>
      </c>
      <c r="BF19" s="8">
        <v>-0.63</v>
      </c>
      <c r="BG19" s="6">
        <v>45215</v>
      </c>
      <c r="BH19" s="5" t="s">
        <v>45</v>
      </c>
      <c r="BI19" s="5" t="s">
        <v>52</v>
      </c>
      <c r="BJ19" s="8" t="s">
        <v>45</v>
      </c>
      <c r="BK19" s="8" t="s">
        <v>52</v>
      </c>
      <c r="BL19" s="8" t="s">
        <v>52</v>
      </c>
      <c r="BM19" s="8">
        <v>0</v>
      </c>
      <c r="BN19" s="8">
        <v>-8.19</v>
      </c>
      <c r="BO19" s="8">
        <v>-2.88</v>
      </c>
      <c r="BP19" s="10" t="s">
        <v>46</v>
      </c>
    </row>
    <row r="20" spans="1:68" ht="14.5" customHeight="1" x14ac:dyDescent="0.35">
      <c r="A20" s="5">
        <v>19</v>
      </c>
      <c r="B20" s="6">
        <v>45211</v>
      </c>
      <c r="C20" s="5" t="s">
        <v>44</v>
      </c>
      <c r="D20" s="5" t="s">
        <v>45</v>
      </c>
      <c r="E20" s="5" t="s">
        <v>46</v>
      </c>
      <c r="F20" s="5" t="s">
        <v>67</v>
      </c>
      <c r="G20" s="7">
        <v>6.25E-2</v>
      </c>
      <c r="H20" s="7">
        <v>0.3125</v>
      </c>
      <c r="I20" s="5">
        <v>1.2322000000000002</v>
      </c>
      <c r="J20" s="5">
        <v>1.2297</v>
      </c>
      <c r="K20" s="8">
        <v>-2.5</v>
      </c>
      <c r="L20" s="8">
        <v>5</v>
      </c>
      <c r="M20" s="5">
        <f t="shared" si="0"/>
        <v>1.2297</v>
      </c>
      <c r="N20" s="5">
        <f t="shared" si="1"/>
        <v>1.2372000000000001</v>
      </c>
      <c r="O20" s="5">
        <v>13</v>
      </c>
      <c r="P20" s="8">
        <v>0.91</v>
      </c>
      <c r="Q20" s="8">
        <v>-15.73</v>
      </c>
      <c r="R20" s="5">
        <v>4</v>
      </c>
      <c r="S20" s="5" t="s">
        <v>68</v>
      </c>
      <c r="T20" s="8">
        <v>-2.5</v>
      </c>
      <c r="U20" s="5"/>
      <c r="V20" s="5"/>
      <c r="W20" s="5"/>
      <c r="X20" s="5"/>
      <c r="Y20" s="5"/>
      <c r="Z20" s="5"/>
      <c r="AA20" s="6">
        <v>45212</v>
      </c>
      <c r="AB20" s="5" t="s">
        <v>52</v>
      </c>
      <c r="AC20" s="5" t="s">
        <v>52</v>
      </c>
      <c r="AD20" s="8" t="s">
        <v>46</v>
      </c>
      <c r="AE20" s="8" t="s">
        <v>46</v>
      </c>
      <c r="AF20" s="8" t="s">
        <v>46</v>
      </c>
      <c r="AG20" s="5">
        <v>0</v>
      </c>
      <c r="AH20" s="8">
        <v>0</v>
      </c>
      <c r="AI20" s="8">
        <v>0</v>
      </c>
      <c r="AJ20" s="8">
        <v>0</v>
      </c>
      <c r="AK20" s="10" t="s">
        <v>46</v>
      </c>
      <c r="AL20" s="5"/>
      <c r="AM20" s="5">
        <v>19</v>
      </c>
      <c r="AN20" s="6">
        <v>45211</v>
      </c>
      <c r="AO20" s="5" t="s">
        <v>53</v>
      </c>
      <c r="AP20" s="5" t="s">
        <v>45</v>
      </c>
      <c r="AQ20" s="5" t="s">
        <v>46</v>
      </c>
      <c r="AR20" s="5" t="s">
        <v>67</v>
      </c>
      <c r="AS20" s="7">
        <v>6.25E-2</v>
      </c>
      <c r="AT20" s="7">
        <v>0.3125</v>
      </c>
      <c r="AU20" s="5">
        <v>1.2322000000000002</v>
      </c>
      <c r="AV20" s="5">
        <v>1.22933</v>
      </c>
      <c r="AW20" s="5">
        <f t="shared" si="2"/>
        <v>1.2293000000000001</v>
      </c>
      <c r="AX20" s="5">
        <f t="shared" si="3"/>
        <v>1.2372000000000001</v>
      </c>
      <c r="AY20" s="5">
        <f>11.51*2.5</f>
        <v>28.774999999999999</v>
      </c>
      <c r="AZ20" s="8">
        <v>-2.87</v>
      </c>
      <c r="BA20" s="5">
        <v>13</v>
      </c>
      <c r="BB20" s="8">
        <v>0.91</v>
      </c>
      <c r="BC20" s="8">
        <v>-15.73</v>
      </c>
      <c r="BD20" s="5">
        <v>4</v>
      </c>
      <c r="BE20" s="5" t="s">
        <v>68</v>
      </c>
      <c r="BF20" s="8">
        <v>-2.87</v>
      </c>
      <c r="BG20" s="6">
        <v>45212</v>
      </c>
      <c r="BH20" s="5" t="s">
        <v>52</v>
      </c>
      <c r="BI20" s="5" t="s">
        <v>52</v>
      </c>
      <c r="BJ20" s="8" t="s">
        <v>46</v>
      </c>
      <c r="BK20" s="8" t="s">
        <v>46</v>
      </c>
      <c r="BL20" s="8" t="s">
        <v>46</v>
      </c>
      <c r="BM20" s="8">
        <v>0</v>
      </c>
      <c r="BN20" s="8">
        <v>0</v>
      </c>
      <c r="BO20" s="8">
        <v>0</v>
      </c>
      <c r="BP20" s="10" t="s">
        <v>46</v>
      </c>
    </row>
    <row r="21" spans="1:68" ht="14.5" customHeight="1" x14ac:dyDescent="0.35">
      <c r="A21" s="5">
        <v>20</v>
      </c>
      <c r="B21" s="6">
        <v>45208</v>
      </c>
      <c r="C21" s="5" t="s">
        <v>44</v>
      </c>
      <c r="D21" s="5" t="s">
        <v>45</v>
      </c>
      <c r="E21" s="5" t="s">
        <v>46</v>
      </c>
      <c r="F21" s="5" t="s">
        <v>67</v>
      </c>
      <c r="G21" s="7">
        <v>2.0833333333333332E-2</v>
      </c>
      <c r="H21" s="7">
        <v>0.1875</v>
      </c>
      <c r="I21" s="5">
        <v>1.2219</v>
      </c>
      <c r="J21" s="5">
        <v>1.2194</v>
      </c>
      <c r="K21" s="8">
        <v>-2.5</v>
      </c>
      <c r="L21" s="8">
        <v>5</v>
      </c>
      <c r="M21" s="5">
        <f t="shared" si="0"/>
        <v>1.2194</v>
      </c>
      <c r="N21" s="5">
        <f t="shared" si="1"/>
        <v>1.2269000000000001</v>
      </c>
      <c r="O21" s="5">
        <v>11</v>
      </c>
      <c r="P21" s="8">
        <v>3.22</v>
      </c>
      <c r="Q21" s="8">
        <v>-2.63</v>
      </c>
      <c r="R21" s="5">
        <v>3</v>
      </c>
      <c r="S21" s="5" t="s">
        <v>68</v>
      </c>
      <c r="T21" s="8">
        <v>-2.5</v>
      </c>
      <c r="U21" s="5"/>
      <c r="V21" s="5"/>
      <c r="W21" s="5"/>
      <c r="X21" s="5"/>
      <c r="Y21" s="5"/>
      <c r="Z21" s="5"/>
      <c r="AA21" s="6">
        <v>45209</v>
      </c>
      <c r="AB21" s="5" t="s">
        <v>52</v>
      </c>
      <c r="AC21" s="5" t="s">
        <v>45</v>
      </c>
      <c r="AD21" s="8" t="s">
        <v>46</v>
      </c>
      <c r="AE21" s="8" t="s">
        <v>46</v>
      </c>
      <c r="AF21" s="8" t="s">
        <v>46</v>
      </c>
      <c r="AG21" s="5">
        <v>4</v>
      </c>
      <c r="AH21" s="8">
        <v>0</v>
      </c>
      <c r="AI21" s="8">
        <v>0</v>
      </c>
      <c r="AJ21" s="8">
        <v>0</v>
      </c>
      <c r="AK21" s="10" t="s">
        <v>46</v>
      </c>
      <c r="AL21" s="5"/>
      <c r="AM21" s="5">
        <v>20</v>
      </c>
      <c r="AN21" s="6">
        <v>45208</v>
      </c>
      <c r="AO21" s="5" t="s">
        <v>53</v>
      </c>
      <c r="AP21" s="5" t="s">
        <v>45</v>
      </c>
      <c r="AQ21" s="5" t="s">
        <v>46</v>
      </c>
      <c r="AR21" s="5" t="s">
        <v>67</v>
      </c>
      <c r="AS21" s="7">
        <v>2.0833333333333332E-2</v>
      </c>
      <c r="AT21" s="7">
        <v>0.1875</v>
      </c>
      <c r="AU21" s="5">
        <v>1.2219</v>
      </c>
      <c r="AV21" s="5">
        <v>1.21905</v>
      </c>
      <c r="AW21" s="5">
        <f t="shared" si="2"/>
        <v>1.2190000000000001</v>
      </c>
      <c r="AX21" s="5">
        <f t="shared" si="3"/>
        <v>1.2269000000000001</v>
      </c>
      <c r="AY21" s="5">
        <f>11.41*2.5</f>
        <v>28.524999999999999</v>
      </c>
      <c r="AZ21" s="8">
        <v>-2.85</v>
      </c>
      <c r="BA21" s="5">
        <v>11</v>
      </c>
      <c r="BB21" s="8">
        <v>3.22</v>
      </c>
      <c r="BC21" s="8">
        <v>-2.63</v>
      </c>
      <c r="BD21" s="5">
        <v>3</v>
      </c>
      <c r="BE21" s="5" t="s">
        <v>68</v>
      </c>
      <c r="BF21" s="8">
        <v>-2.85</v>
      </c>
      <c r="BG21" s="6">
        <v>45209</v>
      </c>
      <c r="BH21" s="5" t="s">
        <v>52</v>
      </c>
      <c r="BI21" s="5" t="s">
        <v>45</v>
      </c>
      <c r="BJ21" s="8" t="s">
        <v>46</v>
      </c>
      <c r="BK21" s="8" t="s">
        <v>46</v>
      </c>
      <c r="BL21" s="8" t="s">
        <v>46</v>
      </c>
      <c r="BM21" s="8">
        <v>0</v>
      </c>
      <c r="BN21" s="8">
        <v>0</v>
      </c>
      <c r="BO21" s="8">
        <v>0</v>
      </c>
      <c r="BP21" s="10" t="s">
        <v>46</v>
      </c>
    </row>
    <row r="22" spans="1:68" ht="14.5" customHeight="1" x14ac:dyDescent="0.35">
      <c r="A22" s="5">
        <v>21</v>
      </c>
      <c r="B22" s="6">
        <v>45208</v>
      </c>
      <c r="C22" s="5" t="s">
        <v>44</v>
      </c>
      <c r="D22" s="5" t="s">
        <v>45</v>
      </c>
      <c r="E22" s="5" t="s">
        <v>46</v>
      </c>
      <c r="F22" s="5" t="s">
        <v>67</v>
      </c>
      <c r="G22" s="7">
        <v>0.625</v>
      </c>
      <c r="H22" s="7">
        <v>0.97916666666666663</v>
      </c>
      <c r="I22" s="5">
        <v>1.2219</v>
      </c>
      <c r="J22" s="5">
        <v>1.2249000000000001</v>
      </c>
      <c r="K22" s="8">
        <v>-2.5</v>
      </c>
      <c r="L22" s="8">
        <v>5</v>
      </c>
      <c r="M22" s="5">
        <f t="shared" si="0"/>
        <v>1.2194</v>
      </c>
      <c r="N22" s="5">
        <f t="shared" si="1"/>
        <v>1.2269000000000001</v>
      </c>
      <c r="O22" s="5">
        <v>11</v>
      </c>
      <c r="P22" s="8">
        <v>3.22</v>
      </c>
      <c r="Q22" s="8">
        <v>-2.63</v>
      </c>
      <c r="R22" s="5">
        <v>3</v>
      </c>
      <c r="S22" s="5" t="s">
        <v>55</v>
      </c>
      <c r="T22" s="8">
        <v>3</v>
      </c>
      <c r="U22" s="5"/>
      <c r="V22" s="5"/>
      <c r="W22" s="5"/>
      <c r="X22" s="5"/>
      <c r="Y22" s="5"/>
      <c r="Z22" s="5"/>
      <c r="AA22" s="6">
        <v>45209</v>
      </c>
      <c r="AB22" s="5" t="s">
        <v>45</v>
      </c>
      <c r="AC22" s="5" t="s">
        <v>45</v>
      </c>
      <c r="AD22" s="8" t="s">
        <v>52</v>
      </c>
      <c r="AE22" s="5" t="s">
        <v>45</v>
      </c>
      <c r="AF22" s="8" t="s">
        <v>52</v>
      </c>
      <c r="AG22" s="5">
        <v>4</v>
      </c>
      <c r="AH22" s="8">
        <v>7.51</v>
      </c>
      <c r="AI22" s="8">
        <v>-0.77</v>
      </c>
      <c r="AJ22" s="8">
        <v>5</v>
      </c>
      <c r="AK22" s="10" t="s">
        <v>46</v>
      </c>
      <c r="AL22" s="5"/>
      <c r="AM22" s="5">
        <v>21</v>
      </c>
      <c r="AN22" s="6">
        <v>45208</v>
      </c>
      <c r="AO22" s="5" t="s">
        <v>53</v>
      </c>
      <c r="AP22" s="5" t="s">
        <v>45</v>
      </c>
      <c r="AQ22" s="5" t="s">
        <v>46</v>
      </c>
      <c r="AR22" s="5" t="s">
        <v>67</v>
      </c>
      <c r="AS22" s="7">
        <v>0.625</v>
      </c>
      <c r="AT22" s="7">
        <v>0.97916666666666663</v>
      </c>
      <c r="AU22" s="5">
        <v>1.2219</v>
      </c>
      <c r="AV22" s="5">
        <v>1.2249000000000001</v>
      </c>
      <c r="AW22" s="5">
        <f t="shared" si="2"/>
        <v>1.2190000000000001</v>
      </c>
      <c r="AX22" s="5">
        <f t="shared" si="3"/>
        <v>1.2269000000000001</v>
      </c>
      <c r="AY22" s="5">
        <f>11.41*2.5</f>
        <v>28.524999999999999</v>
      </c>
      <c r="AZ22" s="8">
        <v>-2.85</v>
      </c>
      <c r="BA22" s="5">
        <v>11</v>
      </c>
      <c r="BB22" s="8">
        <v>3.22</v>
      </c>
      <c r="BC22" s="8">
        <v>-2.63</v>
      </c>
      <c r="BD22" s="5">
        <v>3</v>
      </c>
      <c r="BE22" s="5" t="s">
        <v>55</v>
      </c>
      <c r="BF22" s="8">
        <v>3</v>
      </c>
      <c r="BG22" s="6">
        <v>45209</v>
      </c>
      <c r="BH22" s="5" t="s">
        <v>45</v>
      </c>
      <c r="BI22" s="5" t="s">
        <v>45</v>
      </c>
      <c r="BJ22" s="8" t="s">
        <v>52</v>
      </c>
      <c r="BK22" s="5" t="s">
        <v>45</v>
      </c>
      <c r="BL22" s="8" t="s">
        <v>52</v>
      </c>
      <c r="BM22" s="8">
        <v>7.51</v>
      </c>
      <c r="BN22" s="8">
        <v>-0.77</v>
      </c>
      <c r="BO22" s="8">
        <v>5</v>
      </c>
      <c r="BP22" s="10" t="s">
        <v>46</v>
      </c>
    </row>
    <row r="23" spans="1:68" ht="14.5" customHeight="1" x14ac:dyDescent="0.35">
      <c r="A23" s="5">
        <v>22</v>
      </c>
      <c r="B23" s="6">
        <v>45201</v>
      </c>
      <c r="C23" s="5" t="s">
        <v>44</v>
      </c>
      <c r="D23" s="5" t="s">
        <v>45</v>
      </c>
      <c r="E23" s="5" t="s">
        <v>46</v>
      </c>
      <c r="F23" s="5" t="s">
        <v>47</v>
      </c>
      <c r="G23" s="7">
        <v>0.6875</v>
      </c>
      <c r="H23" s="7">
        <v>0.97916666666666663</v>
      </c>
      <c r="I23" s="5">
        <v>1.2111000000000001</v>
      </c>
      <c r="J23" s="5">
        <v>1.2089399999999999</v>
      </c>
      <c r="K23" s="8">
        <v>-2.5</v>
      </c>
      <c r="L23" s="8">
        <v>5</v>
      </c>
      <c r="M23" s="5">
        <f t="shared" si="0"/>
        <v>1.2136</v>
      </c>
      <c r="N23" s="5">
        <f t="shared" si="1"/>
        <v>1.2060999999999999</v>
      </c>
      <c r="O23" s="5">
        <v>15</v>
      </c>
      <c r="P23" s="8">
        <v>3.15</v>
      </c>
      <c r="Q23" s="8">
        <v>-1.57</v>
      </c>
      <c r="R23" s="5">
        <v>2</v>
      </c>
      <c r="S23" s="5" t="s">
        <v>55</v>
      </c>
      <c r="T23" s="8">
        <v>2.16</v>
      </c>
      <c r="U23" s="5"/>
      <c r="V23" s="5"/>
      <c r="W23" s="5"/>
      <c r="X23" s="5"/>
      <c r="Y23" s="5"/>
      <c r="Z23" s="5"/>
      <c r="AA23" s="6">
        <v>45202</v>
      </c>
      <c r="AB23" s="5" t="s">
        <v>45</v>
      </c>
      <c r="AC23" s="5" t="s">
        <v>45</v>
      </c>
      <c r="AD23" s="8" t="s">
        <v>52</v>
      </c>
      <c r="AE23" s="5" t="s">
        <v>45</v>
      </c>
      <c r="AF23" s="8" t="s">
        <v>52</v>
      </c>
      <c r="AG23" s="5">
        <v>0</v>
      </c>
      <c r="AH23" s="8">
        <v>5.75</v>
      </c>
      <c r="AI23" s="8">
        <v>0</v>
      </c>
      <c r="AJ23" s="8">
        <v>5</v>
      </c>
      <c r="AK23" s="10" t="s">
        <v>46</v>
      </c>
      <c r="AL23" s="5"/>
      <c r="AM23" s="5">
        <v>22</v>
      </c>
      <c r="AN23" s="6">
        <v>45201</v>
      </c>
      <c r="AO23" s="5" t="s">
        <v>53</v>
      </c>
      <c r="AP23" s="5" t="s">
        <v>45</v>
      </c>
      <c r="AQ23" s="5" t="s">
        <v>46</v>
      </c>
      <c r="AR23" s="5" t="s">
        <v>47</v>
      </c>
      <c r="AS23" s="7">
        <v>0.6875</v>
      </c>
      <c r="AT23" s="7">
        <v>0.97916666666666663</v>
      </c>
      <c r="AU23" s="5">
        <v>1.2111000000000001</v>
      </c>
      <c r="AV23" s="5">
        <v>1.2089399999999999</v>
      </c>
      <c r="AW23" s="5">
        <f t="shared" si="2"/>
        <v>1.2138</v>
      </c>
      <c r="AX23" s="5">
        <f t="shared" si="3"/>
        <v>1.2060999999999999</v>
      </c>
      <c r="AY23" s="5">
        <f>10.78*2.5</f>
        <v>26.95</v>
      </c>
      <c r="AZ23" s="8">
        <v>-2.69</v>
      </c>
      <c r="BA23" s="5">
        <v>15</v>
      </c>
      <c r="BB23" s="8">
        <v>3.15</v>
      </c>
      <c r="BC23" s="8">
        <v>-1.57</v>
      </c>
      <c r="BD23" s="5">
        <v>2</v>
      </c>
      <c r="BE23" s="5" t="s">
        <v>55</v>
      </c>
      <c r="BF23" s="8">
        <v>2.16</v>
      </c>
      <c r="BG23" s="6">
        <v>45202</v>
      </c>
      <c r="BH23" s="5" t="s">
        <v>45</v>
      </c>
      <c r="BI23" s="5" t="s">
        <v>45</v>
      </c>
      <c r="BJ23" s="8" t="s">
        <v>52</v>
      </c>
      <c r="BK23" s="5" t="s">
        <v>45</v>
      </c>
      <c r="BL23" s="8" t="s">
        <v>52</v>
      </c>
      <c r="BM23" s="8">
        <v>5.75</v>
      </c>
      <c r="BN23" s="8">
        <v>0</v>
      </c>
      <c r="BO23" s="8">
        <v>5</v>
      </c>
      <c r="BP23" s="10" t="s">
        <v>46</v>
      </c>
    </row>
    <row r="24" spans="1:68" ht="14.5" customHeight="1" x14ac:dyDescent="0.35">
      <c r="A24" s="5">
        <v>23</v>
      </c>
      <c r="B24" s="6">
        <v>45195</v>
      </c>
      <c r="C24" s="5" t="s">
        <v>44</v>
      </c>
      <c r="D24" s="5" t="s">
        <v>45</v>
      </c>
      <c r="E24" s="5" t="s">
        <v>46</v>
      </c>
      <c r="F24" s="5" t="s">
        <v>47</v>
      </c>
      <c r="G24" s="7">
        <v>0.10416666666666667</v>
      </c>
      <c r="H24" s="7">
        <v>0.875</v>
      </c>
      <c r="I24" s="5">
        <v>1.2198</v>
      </c>
      <c r="J24" s="5">
        <v>1.2147999999999999</v>
      </c>
      <c r="K24" s="8">
        <v>-2.5</v>
      </c>
      <c r="L24" s="8">
        <v>5</v>
      </c>
      <c r="M24" s="5">
        <f t="shared" si="0"/>
        <v>1.2222999999999999</v>
      </c>
      <c r="N24" s="5">
        <f t="shared" si="1"/>
        <v>1.2147999999999999</v>
      </c>
      <c r="O24" s="5">
        <v>38</v>
      </c>
      <c r="P24" s="8">
        <v>5.56</v>
      </c>
      <c r="Q24" s="8">
        <v>-0.87</v>
      </c>
      <c r="R24" s="5">
        <v>5</v>
      </c>
      <c r="S24" s="5" t="s">
        <v>48</v>
      </c>
      <c r="T24" s="8">
        <v>5</v>
      </c>
      <c r="U24" s="5"/>
      <c r="V24" s="5"/>
      <c r="W24" s="5"/>
      <c r="X24" s="5"/>
      <c r="Y24" s="5"/>
      <c r="Z24" s="5"/>
      <c r="AA24" s="6">
        <v>45196</v>
      </c>
      <c r="AB24" s="5" t="s">
        <v>52</v>
      </c>
      <c r="AC24" s="5" t="s">
        <v>45</v>
      </c>
      <c r="AD24" s="8" t="s">
        <v>46</v>
      </c>
      <c r="AE24" s="8" t="s">
        <v>46</v>
      </c>
      <c r="AF24" s="8" t="s">
        <v>46</v>
      </c>
      <c r="AG24" s="5">
        <v>0</v>
      </c>
      <c r="AH24" s="8">
        <v>0</v>
      </c>
      <c r="AI24" s="8">
        <v>0</v>
      </c>
      <c r="AJ24" s="8">
        <v>0</v>
      </c>
      <c r="AK24" s="10" t="s">
        <v>46</v>
      </c>
      <c r="AL24" s="5"/>
      <c r="AM24" s="5">
        <v>23</v>
      </c>
      <c r="AN24" s="6">
        <v>45195</v>
      </c>
      <c r="AO24" s="5" t="s">
        <v>53</v>
      </c>
      <c r="AP24" s="5" t="s">
        <v>45</v>
      </c>
      <c r="AQ24" s="5" t="s">
        <v>46</v>
      </c>
      <c r="AR24" s="5" t="s">
        <v>47</v>
      </c>
      <c r="AS24" s="7">
        <v>0.10416666666666667</v>
      </c>
      <c r="AT24" s="7">
        <v>0.875</v>
      </c>
      <c r="AU24" s="5">
        <v>1.2198</v>
      </c>
      <c r="AV24" s="5">
        <v>1.2147999999999999</v>
      </c>
      <c r="AW24" s="5">
        <f t="shared" si="2"/>
        <v>1.2224999999999999</v>
      </c>
      <c r="AX24" s="5">
        <f t="shared" si="3"/>
        <v>1.2147999999999999</v>
      </c>
      <c r="AY24" s="5">
        <f>10.92*2.5</f>
        <v>27.3</v>
      </c>
      <c r="AZ24" s="8">
        <v>-2.73</v>
      </c>
      <c r="BA24" s="5">
        <v>38</v>
      </c>
      <c r="BB24" s="8">
        <v>5.56</v>
      </c>
      <c r="BC24" s="8">
        <v>-0.87</v>
      </c>
      <c r="BD24" s="5">
        <v>5</v>
      </c>
      <c r="BE24" s="5" t="s">
        <v>48</v>
      </c>
      <c r="BF24" s="8">
        <v>5</v>
      </c>
      <c r="BG24" s="6">
        <v>45196</v>
      </c>
      <c r="BH24" s="5" t="s">
        <v>52</v>
      </c>
      <c r="BI24" s="5" t="s">
        <v>45</v>
      </c>
      <c r="BJ24" s="8" t="s">
        <v>46</v>
      </c>
      <c r="BK24" s="8" t="s">
        <v>46</v>
      </c>
      <c r="BL24" s="8" t="s">
        <v>46</v>
      </c>
      <c r="BM24" s="8">
        <v>0</v>
      </c>
      <c r="BN24" s="8">
        <v>0</v>
      </c>
      <c r="BO24" s="8">
        <v>0</v>
      </c>
      <c r="BP24" s="10" t="s">
        <v>46</v>
      </c>
    </row>
    <row r="25" spans="1:68" ht="14.5" customHeight="1" x14ac:dyDescent="0.35">
      <c r="A25" s="5">
        <v>24</v>
      </c>
      <c r="B25" s="6">
        <v>45194</v>
      </c>
      <c r="C25" s="5" t="s">
        <v>44</v>
      </c>
      <c r="D25" s="5" t="s">
        <v>45</v>
      </c>
      <c r="E25" s="5" t="s">
        <v>46</v>
      </c>
      <c r="F25" s="5" t="s">
        <v>47</v>
      </c>
      <c r="G25" s="7">
        <v>0.33333333333333331</v>
      </c>
      <c r="H25" s="7">
        <v>0.97916666666666663</v>
      </c>
      <c r="I25" s="5">
        <v>1.2232000000000001</v>
      </c>
      <c r="J25" s="5">
        <v>1.2212099999999999</v>
      </c>
      <c r="K25" s="8">
        <v>-2.5</v>
      </c>
      <c r="L25" s="8">
        <v>5</v>
      </c>
      <c r="M25" s="5">
        <f t="shared" si="0"/>
        <v>1.2257</v>
      </c>
      <c r="N25" s="5">
        <f t="shared" si="1"/>
        <v>1.2181999999999999</v>
      </c>
      <c r="O25" s="5">
        <v>32</v>
      </c>
      <c r="P25" s="8">
        <v>3.85</v>
      </c>
      <c r="Q25" s="8">
        <v>-1.1000000000000001</v>
      </c>
      <c r="R25" s="5">
        <v>3</v>
      </c>
      <c r="S25" s="5" t="s">
        <v>55</v>
      </c>
      <c r="T25" s="8">
        <v>1.99</v>
      </c>
      <c r="U25" s="5"/>
      <c r="V25" s="5"/>
      <c r="W25" s="5"/>
      <c r="X25" s="5"/>
      <c r="Y25" s="5"/>
      <c r="Z25" s="5"/>
      <c r="AA25" s="6">
        <v>45195</v>
      </c>
      <c r="AB25" s="5" t="s">
        <v>45</v>
      </c>
      <c r="AC25" s="5" t="s">
        <v>45</v>
      </c>
      <c r="AD25" s="8" t="s">
        <v>52</v>
      </c>
      <c r="AE25" s="5" t="s">
        <v>45</v>
      </c>
      <c r="AF25" s="8" t="s">
        <v>52</v>
      </c>
      <c r="AG25" s="5">
        <v>0</v>
      </c>
      <c r="AH25" s="8">
        <v>8.9600000000000009</v>
      </c>
      <c r="AI25" s="8">
        <v>0</v>
      </c>
      <c r="AJ25" s="8">
        <v>5</v>
      </c>
      <c r="AK25" s="10" t="s">
        <v>46</v>
      </c>
      <c r="AL25" s="5"/>
      <c r="AM25" s="5">
        <v>24</v>
      </c>
      <c r="AN25" s="6">
        <v>45194</v>
      </c>
      <c r="AO25" s="5" t="s">
        <v>53</v>
      </c>
      <c r="AP25" s="5" t="s">
        <v>45</v>
      </c>
      <c r="AQ25" s="5" t="s">
        <v>46</v>
      </c>
      <c r="AR25" s="5" t="s">
        <v>47</v>
      </c>
      <c r="AS25" s="7">
        <v>0.33333333333333331</v>
      </c>
      <c r="AT25" s="7">
        <v>0.97916666666666663</v>
      </c>
      <c r="AU25" s="5">
        <v>1.2232000000000001</v>
      </c>
      <c r="AV25" s="5">
        <v>1.2212099999999999</v>
      </c>
      <c r="AW25" s="5">
        <f t="shared" si="2"/>
        <v>1.2259</v>
      </c>
      <c r="AX25" s="5">
        <f t="shared" si="3"/>
        <v>1.2181999999999999</v>
      </c>
      <c r="AY25" s="5">
        <f>10.93*2.5</f>
        <v>27.324999999999999</v>
      </c>
      <c r="AZ25" s="8">
        <v>-2.73</v>
      </c>
      <c r="BA25" s="5">
        <v>32</v>
      </c>
      <c r="BB25" s="8">
        <v>3.85</v>
      </c>
      <c r="BC25" s="8">
        <v>-1.1000000000000001</v>
      </c>
      <c r="BD25" s="5">
        <v>3</v>
      </c>
      <c r="BE25" s="5" t="s">
        <v>55</v>
      </c>
      <c r="BF25" s="8">
        <v>1.99</v>
      </c>
      <c r="BG25" s="6">
        <v>45195</v>
      </c>
      <c r="BH25" s="5" t="s">
        <v>45</v>
      </c>
      <c r="BI25" s="5" t="s">
        <v>45</v>
      </c>
      <c r="BJ25" s="8" t="s">
        <v>52</v>
      </c>
      <c r="BK25" s="5" t="s">
        <v>45</v>
      </c>
      <c r="BL25" s="8" t="s">
        <v>52</v>
      </c>
      <c r="BM25" s="8">
        <v>8.9600000000000009</v>
      </c>
      <c r="BN25" s="8">
        <v>0</v>
      </c>
      <c r="BO25" s="8">
        <v>5</v>
      </c>
      <c r="BP25" s="10" t="s">
        <v>46</v>
      </c>
    </row>
    <row r="26" spans="1:68" ht="14.5" customHeight="1" x14ac:dyDescent="0.35">
      <c r="A26" s="5">
        <v>25</v>
      </c>
      <c r="B26" s="6">
        <v>45191</v>
      </c>
      <c r="C26" s="5" t="s">
        <v>44</v>
      </c>
      <c r="D26" s="5" t="s">
        <v>45</v>
      </c>
      <c r="E26" s="5" t="s">
        <v>46</v>
      </c>
      <c r="F26" s="5" t="s">
        <v>47</v>
      </c>
      <c r="G26" s="7">
        <v>0.35416666666666669</v>
      </c>
      <c r="H26" s="7">
        <v>0.58333333333333337</v>
      </c>
      <c r="I26" s="5">
        <v>1.2249000000000001</v>
      </c>
      <c r="J26" s="5">
        <v>1.2274</v>
      </c>
      <c r="K26" s="8">
        <v>-2.5</v>
      </c>
      <c r="L26" s="8">
        <v>5</v>
      </c>
      <c r="M26" s="5">
        <f t="shared" si="0"/>
        <v>1.2274</v>
      </c>
      <c r="N26" s="5">
        <f t="shared" si="1"/>
        <v>1.2199</v>
      </c>
      <c r="O26" s="5">
        <v>12</v>
      </c>
      <c r="P26" s="8">
        <v>1.96</v>
      </c>
      <c r="Q26" s="8">
        <v>-3.49</v>
      </c>
      <c r="R26" s="5">
        <v>4</v>
      </c>
      <c r="S26" s="5" t="s">
        <v>68</v>
      </c>
      <c r="T26" s="8">
        <v>-2.5</v>
      </c>
      <c r="U26" s="5"/>
      <c r="V26" s="5"/>
      <c r="W26" s="5"/>
      <c r="X26" s="5"/>
      <c r="Y26" s="5"/>
      <c r="Z26" s="5"/>
      <c r="AA26" s="6">
        <v>45194</v>
      </c>
      <c r="AB26" s="5" t="s">
        <v>52</v>
      </c>
      <c r="AC26" s="5" t="s">
        <v>45</v>
      </c>
      <c r="AD26" s="8" t="s">
        <v>46</v>
      </c>
      <c r="AE26" s="8" t="s">
        <v>46</v>
      </c>
      <c r="AF26" s="8" t="s">
        <v>46</v>
      </c>
      <c r="AG26" s="5">
        <v>3</v>
      </c>
      <c r="AH26" s="8">
        <v>0</v>
      </c>
      <c r="AI26" s="8">
        <v>0</v>
      </c>
      <c r="AJ26" s="8">
        <v>0</v>
      </c>
      <c r="AK26" s="10" t="s">
        <v>46</v>
      </c>
      <c r="AL26" s="5"/>
      <c r="AM26" s="5">
        <v>25</v>
      </c>
      <c r="AN26" s="6">
        <v>45191</v>
      </c>
      <c r="AO26" s="5" t="s">
        <v>53</v>
      </c>
      <c r="AP26" s="5" t="s">
        <v>45</v>
      </c>
      <c r="AQ26" s="5" t="s">
        <v>46</v>
      </c>
      <c r="AR26" s="5" t="s">
        <v>47</v>
      </c>
      <c r="AS26" s="7">
        <v>0.35416666666666669</v>
      </c>
      <c r="AT26" s="7">
        <v>0.58333333333333337</v>
      </c>
      <c r="AU26" s="5">
        <v>1.2249000000000001</v>
      </c>
      <c r="AV26" s="5">
        <v>1.2276499999999999</v>
      </c>
      <c r="AW26" s="5">
        <f t="shared" si="2"/>
        <v>1.2277</v>
      </c>
      <c r="AX26" s="5">
        <f t="shared" si="3"/>
        <v>1.2199</v>
      </c>
      <c r="AY26" s="5">
        <f>11.01*2.5</f>
        <v>27.524999999999999</v>
      </c>
      <c r="AZ26" s="8">
        <v>-2.75</v>
      </c>
      <c r="BA26" s="5">
        <v>12</v>
      </c>
      <c r="BB26" s="8">
        <v>1.96</v>
      </c>
      <c r="BC26" s="8">
        <v>-3.49</v>
      </c>
      <c r="BD26" s="5">
        <v>4</v>
      </c>
      <c r="BE26" s="5" t="s">
        <v>68</v>
      </c>
      <c r="BF26" s="8">
        <v>-2.75</v>
      </c>
      <c r="BG26" s="6">
        <v>45194</v>
      </c>
      <c r="BH26" s="5" t="s">
        <v>52</v>
      </c>
      <c r="BI26" s="5" t="s">
        <v>45</v>
      </c>
      <c r="BJ26" s="8" t="s">
        <v>46</v>
      </c>
      <c r="BK26" s="8" t="s">
        <v>46</v>
      </c>
      <c r="BL26" s="8" t="s">
        <v>46</v>
      </c>
      <c r="BM26" s="8">
        <v>0</v>
      </c>
      <c r="BN26" s="8">
        <v>0</v>
      </c>
      <c r="BO26" s="8">
        <v>0</v>
      </c>
      <c r="BP26" s="10" t="s">
        <v>46</v>
      </c>
    </row>
    <row r="27" spans="1:68" ht="14.5" customHeight="1" x14ac:dyDescent="0.35">
      <c r="A27" s="5">
        <v>26</v>
      </c>
      <c r="B27" s="6">
        <v>45191</v>
      </c>
      <c r="C27" s="5" t="s">
        <v>44</v>
      </c>
      <c r="D27" s="5" t="s">
        <v>45</v>
      </c>
      <c r="E27" s="5" t="s">
        <v>46</v>
      </c>
      <c r="F27" s="5" t="s">
        <v>47</v>
      </c>
      <c r="G27" s="7">
        <v>0.72916666666666663</v>
      </c>
      <c r="H27" s="7">
        <v>0.85416666666666663</v>
      </c>
      <c r="I27" s="5">
        <v>1.2249000000000001</v>
      </c>
      <c r="J27" s="5">
        <v>1.2237499999999999</v>
      </c>
      <c r="K27" s="8">
        <v>-2.5</v>
      </c>
      <c r="L27" s="8">
        <v>5</v>
      </c>
      <c r="M27" s="5">
        <f t="shared" si="0"/>
        <v>1.2274</v>
      </c>
      <c r="N27" s="5">
        <f t="shared" si="1"/>
        <v>1.2199</v>
      </c>
      <c r="O27" s="5">
        <v>7</v>
      </c>
      <c r="P27" s="8">
        <v>1.96</v>
      </c>
      <c r="Q27" s="8">
        <v>-3.49</v>
      </c>
      <c r="R27" s="5">
        <v>4</v>
      </c>
      <c r="S27" s="5" t="s">
        <v>55</v>
      </c>
      <c r="T27" s="8">
        <v>1.1499999999999999</v>
      </c>
      <c r="U27" s="5"/>
      <c r="V27" s="5"/>
      <c r="W27" s="5"/>
      <c r="X27" s="5"/>
      <c r="Y27" s="5"/>
      <c r="Z27" s="5"/>
      <c r="AA27" s="6">
        <v>45194</v>
      </c>
      <c r="AB27" s="5" t="s">
        <v>45</v>
      </c>
      <c r="AC27" s="5" t="s">
        <v>45</v>
      </c>
      <c r="AD27" s="8" t="s">
        <v>52</v>
      </c>
      <c r="AE27" s="5" t="s">
        <v>45</v>
      </c>
      <c r="AF27" s="8" t="s">
        <v>46</v>
      </c>
      <c r="AG27" s="5">
        <v>3</v>
      </c>
      <c r="AH27" s="8">
        <v>5.45</v>
      </c>
      <c r="AI27" s="8">
        <v>-7.0000000000000007E-2</v>
      </c>
      <c r="AJ27" s="8">
        <v>5</v>
      </c>
      <c r="AK27" s="10" t="s">
        <v>46</v>
      </c>
      <c r="AL27" s="5"/>
      <c r="AM27" s="5">
        <v>26</v>
      </c>
      <c r="AN27" s="6">
        <v>45191</v>
      </c>
      <c r="AO27" s="5" t="s">
        <v>53</v>
      </c>
      <c r="AP27" s="5" t="s">
        <v>45</v>
      </c>
      <c r="AQ27" s="5" t="s">
        <v>46</v>
      </c>
      <c r="AR27" s="5" t="s">
        <v>47</v>
      </c>
      <c r="AS27" s="7">
        <v>0.72916666666666663</v>
      </c>
      <c r="AT27" s="7">
        <v>0.85416666666666663</v>
      </c>
      <c r="AU27" s="5">
        <v>1.2249000000000001</v>
      </c>
      <c r="AV27" s="5">
        <v>1.2237499999999999</v>
      </c>
      <c r="AW27" s="5">
        <f t="shared" si="2"/>
        <v>1.2277</v>
      </c>
      <c r="AX27" s="5">
        <f t="shared" si="3"/>
        <v>1.2199</v>
      </c>
      <c r="AY27" s="5">
        <f>11.01*2.5</f>
        <v>27.524999999999999</v>
      </c>
      <c r="AZ27" s="8">
        <v>-2.75</v>
      </c>
      <c r="BA27" s="5">
        <v>12</v>
      </c>
      <c r="BB27" s="8">
        <v>1.96</v>
      </c>
      <c r="BC27" s="8">
        <v>-3.49</v>
      </c>
      <c r="BD27" s="5">
        <v>4</v>
      </c>
      <c r="BE27" s="5" t="s">
        <v>55</v>
      </c>
      <c r="BF27" s="8">
        <v>1.1499999999999999</v>
      </c>
      <c r="BG27" s="6">
        <v>45194</v>
      </c>
      <c r="BH27" s="5" t="s">
        <v>45</v>
      </c>
      <c r="BI27" s="5" t="s">
        <v>45</v>
      </c>
      <c r="BJ27" s="8" t="s">
        <v>52</v>
      </c>
      <c r="BK27" s="5" t="s">
        <v>45</v>
      </c>
      <c r="BL27" s="8" t="s">
        <v>46</v>
      </c>
      <c r="BM27" s="8">
        <v>5.45</v>
      </c>
      <c r="BN27" s="8">
        <v>-7.0000000000000007E-2</v>
      </c>
      <c r="BO27" s="8">
        <v>5</v>
      </c>
      <c r="BP27" s="10" t="s">
        <v>46</v>
      </c>
    </row>
    <row r="28" spans="1:68" ht="14.5" customHeight="1" x14ac:dyDescent="0.35">
      <c r="A28" s="5">
        <v>27</v>
      </c>
      <c r="B28" s="6">
        <v>45189</v>
      </c>
      <c r="C28" s="5" t="s">
        <v>44</v>
      </c>
      <c r="D28" s="5" t="s">
        <v>45</v>
      </c>
      <c r="E28" s="5" t="s">
        <v>46</v>
      </c>
      <c r="F28" s="5" t="s">
        <v>47</v>
      </c>
      <c r="G28" s="7">
        <v>0.25</v>
      </c>
      <c r="H28" s="7">
        <v>0.5625</v>
      </c>
      <c r="I28" s="5">
        <v>1.2371000000000001</v>
      </c>
      <c r="J28" s="5">
        <v>1.2396</v>
      </c>
      <c r="K28" s="8">
        <v>-2.5</v>
      </c>
      <c r="L28" s="8">
        <v>5</v>
      </c>
      <c r="M28" s="5">
        <f t="shared" si="0"/>
        <v>1.2396</v>
      </c>
      <c r="N28" s="5">
        <f t="shared" si="1"/>
        <v>1.2321</v>
      </c>
      <c r="O28" s="5">
        <v>16</v>
      </c>
      <c r="P28" s="8">
        <v>4.76</v>
      </c>
      <c r="Q28" s="8">
        <v>-4.99</v>
      </c>
      <c r="R28" s="5">
        <v>8</v>
      </c>
      <c r="S28" s="5" t="s">
        <v>68</v>
      </c>
      <c r="T28" s="8">
        <v>-2.5</v>
      </c>
      <c r="U28" s="5"/>
      <c r="V28" s="5"/>
      <c r="W28" s="5"/>
      <c r="X28" s="5"/>
      <c r="Y28" s="5"/>
      <c r="Z28" s="5"/>
      <c r="AA28" s="6">
        <v>45190</v>
      </c>
      <c r="AB28" s="5" t="s">
        <v>52</v>
      </c>
      <c r="AC28" s="5" t="s">
        <v>45</v>
      </c>
      <c r="AD28" s="8" t="s">
        <v>46</v>
      </c>
      <c r="AE28" s="8" t="s">
        <v>46</v>
      </c>
      <c r="AF28" s="8" t="s">
        <v>46</v>
      </c>
      <c r="AG28" s="5">
        <v>0</v>
      </c>
      <c r="AH28" s="8">
        <v>0</v>
      </c>
      <c r="AI28" s="8">
        <v>0</v>
      </c>
      <c r="AJ28" s="8">
        <v>0</v>
      </c>
      <c r="AK28" s="10" t="s">
        <v>46</v>
      </c>
      <c r="AL28" s="5"/>
      <c r="AM28" s="5">
        <v>27</v>
      </c>
      <c r="AN28" s="6">
        <v>45189</v>
      </c>
      <c r="AO28" s="5" t="s">
        <v>53</v>
      </c>
      <c r="AP28" s="5" t="s">
        <v>45</v>
      </c>
      <c r="AQ28" s="5" t="s">
        <v>46</v>
      </c>
      <c r="AR28" s="5" t="s">
        <v>47</v>
      </c>
      <c r="AS28" s="7">
        <v>0.25</v>
      </c>
      <c r="AT28" s="7">
        <v>0.5625</v>
      </c>
      <c r="AU28" s="5">
        <v>1.2371000000000001</v>
      </c>
      <c r="AV28" s="5">
        <v>1.23986</v>
      </c>
      <c r="AW28" s="5">
        <f t="shared" si="2"/>
        <v>1.2399</v>
      </c>
      <c r="AX28" s="5">
        <f t="shared" si="3"/>
        <v>1.2321</v>
      </c>
      <c r="AY28" s="5">
        <f>11.07*2.5</f>
        <v>27.675000000000001</v>
      </c>
      <c r="AZ28" s="8">
        <v>-2.76</v>
      </c>
      <c r="BA28" s="5">
        <v>16</v>
      </c>
      <c r="BB28" s="8">
        <v>4.76</v>
      </c>
      <c r="BC28" s="8">
        <v>-4.99</v>
      </c>
      <c r="BD28" s="5">
        <v>8</v>
      </c>
      <c r="BE28" s="5" t="s">
        <v>68</v>
      </c>
      <c r="BF28" s="8">
        <v>-2.76</v>
      </c>
      <c r="BG28" s="6">
        <v>45190</v>
      </c>
      <c r="BH28" s="5" t="s">
        <v>52</v>
      </c>
      <c r="BI28" s="5" t="s">
        <v>45</v>
      </c>
      <c r="BJ28" s="8" t="s">
        <v>46</v>
      </c>
      <c r="BK28" s="8" t="s">
        <v>46</v>
      </c>
      <c r="BL28" s="8" t="s">
        <v>46</v>
      </c>
      <c r="BM28" s="8">
        <v>0</v>
      </c>
      <c r="BN28" s="8">
        <v>0</v>
      </c>
      <c r="BO28" s="8">
        <v>0</v>
      </c>
      <c r="BP28" s="10" t="s">
        <v>46</v>
      </c>
    </row>
    <row r="29" spans="1:68" ht="14.5" customHeight="1" x14ac:dyDescent="0.35">
      <c r="A29" s="5">
        <v>28</v>
      </c>
      <c r="B29" s="6">
        <v>45189</v>
      </c>
      <c r="C29" s="5" t="s">
        <v>44</v>
      </c>
      <c r="D29" s="5" t="s">
        <v>45</v>
      </c>
      <c r="E29" s="5" t="s">
        <v>46</v>
      </c>
      <c r="F29" s="5" t="s">
        <v>47</v>
      </c>
      <c r="G29" s="7">
        <v>0.75</v>
      </c>
      <c r="H29" s="7">
        <v>0.77083333333333337</v>
      </c>
      <c r="I29" s="5">
        <v>1.2371000000000001</v>
      </c>
      <c r="J29" s="5">
        <v>1.2396</v>
      </c>
      <c r="K29" s="8">
        <v>-2.5</v>
      </c>
      <c r="L29" s="8">
        <v>5</v>
      </c>
      <c r="M29" s="5">
        <f t="shared" si="0"/>
        <v>1.2396</v>
      </c>
      <c r="N29" s="5">
        <f t="shared" si="1"/>
        <v>1.2321</v>
      </c>
      <c r="O29" s="5">
        <v>1</v>
      </c>
      <c r="P29" s="8">
        <v>4.76</v>
      </c>
      <c r="Q29" s="8">
        <v>-4.99</v>
      </c>
      <c r="R29" s="5">
        <v>8</v>
      </c>
      <c r="S29" s="5" t="s">
        <v>68</v>
      </c>
      <c r="T29" s="8">
        <v>-2.5</v>
      </c>
      <c r="U29" s="5"/>
      <c r="V29" s="5"/>
      <c r="W29" s="5"/>
      <c r="X29" s="5"/>
      <c r="Y29" s="5"/>
      <c r="Z29" s="5"/>
      <c r="AA29" s="6">
        <v>45190</v>
      </c>
      <c r="AB29" s="5" t="s">
        <v>52</v>
      </c>
      <c r="AC29" s="5" t="s">
        <v>45</v>
      </c>
      <c r="AD29" s="8" t="s">
        <v>46</v>
      </c>
      <c r="AE29" s="8" t="s">
        <v>46</v>
      </c>
      <c r="AF29" s="8" t="s">
        <v>46</v>
      </c>
      <c r="AG29" s="5">
        <v>0</v>
      </c>
      <c r="AH29" s="8">
        <v>0</v>
      </c>
      <c r="AI29" s="8">
        <v>0</v>
      </c>
      <c r="AJ29" s="8">
        <v>0</v>
      </c>
      <c r="AK29" s="10" t="s">
        <v>46</v>
      </c>
      <c r="AL29" s="5"/>
      <c r="AM29" s="5">
        <v>28</v>
      </c>
      <c r="AN29" s="6">
        <v>45189</v>
      </c>
      <c r="AO29" s="5" t="s">
        <v>53</v>
      </c>
      <c r="AP29" s="5" t="s">
        <v>45</v>
      </c>
      <c r="AQ29" s="5" t="s">
        <v>46</v>
      </c>
      <c r="AR29" s="5" t="s">
        <v>47</v>
      </c>
      <c r="AS29" s="7">
        <v>0.75</v>
      </c>
      <c r="AT29" s="7">
        <v>0.97916666666666663</v>
      </c>
      <c r="AU29" s="5">
        <v>1.2371000000000001</v>
      </c>
      <c r="AV29" s="5">
        <v>1.23264</v>
      </c>
      <c r="AW29" s="5">
        <f t="shared" si="2"/>
        <v>1.2399</v>
      </c>
      <c r="AX29" s="5">
        <f t="shared" si="3"/>
        <v>1.2321</v>
      </c>
      <c r="AY29" s="5">
        <f>11.07*2.5</f>
        <v>27.675000000000001</v>
      </c>
      <c r="AZ29" s="8">
        <v>-2.76</v>
      </c>
      <c r="BA29" s="5">
        <v>12</v>
      </c>
      <c r="BB29" s="8">
        <v>4.76</v>
      </c>
      <c r="BC29" s="8">
        <v>-4.99</v>
      </c>
      <c r="BD29" s="5">
        <v>8</v>
      </c>
      <c r="BE29" s="5" t="s">
        <v>55</v>
      </c>
      <c r="BF29" s="8">
        <v>4.46</v>
      </c>
      <c r="BG29" s="6">
        <v>45190</v>
      </c>
      <c r="BH29" s="5" t="s">
        <v>45</v>
      </c>
      <c r="BI29" s="5" t="s">
        <v>45</v>
      </c>
      <c r="BJ29" s="8" t="s">
        <v>52</v>
      </c>
      <c r="BK29" s="5" t="s">
        <v>45</v>
      </c>
      <c r="BL29" s="8" t="s">
        <v>46</v>
      </c>
      <c r="BM29" s="8">
        <v>13.91</v>
      </c>
      <c r="BN29" s="8">
        <v>0</v>
      </c>
      <c r="BO29" s="8">
        <v>5</v>
      </c>
      <c r="BP29" s="10" t="s">
        <v>46</v>
      </c>
    </row>
    <row r="30" spans="1:68" ht="14.5" customHeight="1" x14ac:dyDescent="0.35">
      <c r="A30" s="5">
        <v>29</v>
      </c>
      <c r="B30" s="6">
        <v>45188</v>
      </c>
      <c r="C30" s="5" t="s">
        <v>44</v>
      </c>
      <c r="D30" s="5" t="s">
        <v>45</v>
      </c>
      <c r="E30" s="5" t="s">
        <v>46</v>
      </c>
      <c r="F30" s="5" t="s">
        <v>47</v>
      </c>
      <c r="G30" s="7">
        <v>0.20833333333333334</v>
      </c>
      <c r="H30" s="7">
        <v>0.4375</v>
      </c>
      <c r="I30" s="15">
        <v>1.2373000000000001</v>
      </c>
      <c r="J30" s="5">
        <v>1.2398</v>
      </c>
      <c r="K30" s="8">
        <v>-2.5</v>
      </c>
      <c r="L30" s="8">
        <v>5</v>
      </c>
      <c r="M30" s="5">
        <f t="shared" si="0"/>
        <v>1.2398</v>
      </c>
      <c r="N30" s="5">
        <f t="shared" si="1"/>
        <v>1.2323</v>
      </c>
      <c r="O30" s="5">
        <v>12</v>
      </c>
      <c r="P30" s="8">
        <v>0.44</v>
      </c>
      <c r="Q30" s="8">
        <v>-5.1100000000000003</v>
      </c>
      <c r="R30" s="5">
        <v>5</v>
      </c>
      <c r="S30" s="5" t="s">
        <v>68</v>
      </c>
      <c r="T30" s="8">
        <v>-2.5</v>
      </c>
      <c r="U30" s="5"/>
      <c r="V30" s="5"/>
      <c r="W30" s="5"/>
      <c r="X30" s="5"/>
      <c r="Y30" s="5"/>
      <c r="Z30" s="5"/>
      <c r="AA30" s="6">
        <v>45189</v>
      </c>
      <c r="AB30" s="5" t="s">
        <v>52</v>
      </c>
      <c r="AC30" s="5" t="s">
        <v>45</v>
      </c>
      <c r="AD30" s="8" t="s">
        <v>46</v>
      </c>
      <c r="AE30" s="8" t="s">
        <v>46</v>
      </c>
      <c r="AF30" s="8" t="s">
        <v>46</v>
      </c>
      <c r="AG30" s="5">
        <v>0</v>
      </c>
      <c r="AH30" s="8">
        <v>0</v>
      </c>
      <c r="AI30" s="8">
        <v>0</v>
      </c>
      <c r="AJ30" s="8">
        <v>0</v>
      </c>
      <c r="AK30" s="10" t="s">
        <v>46</v>
      </c>
      <c r="AL30" s="5"/>
      <c r="AM30" s="5">
        <v>29</v>
      </c>
      <c r="AN30" s="6">
        <v>45188</v>
      </c>
      <c r="AO30" s="5" t="s">
        <v>53</v>
      </c>
      <c r="AP30" s="5" t="s">
        <v>45</v>
      </c>
      <c r="AQ30" s="5" t="s">
        <v>46</v>
      </c>
      <c r="AR30" s="5" t="s">
        <v>47</v>
      </c>
      <c r="AS30" s="7">
        <v>0.20833333333333334</v>
      </c>
      <c r="AT30" s="7">
        <v>0.4375</v>
      </c>
      <c r="AU30" s="15">
        <v>1.2373000000000001</v>
      </c>
      <c r="AV30" s="5">
        <v>1.2400899999999999</v>
      </c>
      <c r="AW30" s="5">
        <f t="shared" si="2"/>
        <v>1.2401</v>
      </c>
      <c r="AX30" s="5">
        <f t="shared" si="3"/>
        <v>1.2323</v>
      </c>
      <c r="AY30" s="5">
        <f>11.18*2.5</f>
        <v>27.95</v>
      </c>
      <c r="AZ30" s="8">
        <v>-2.79</v>
      </c>
      <c r="BA30" s="5">
        <v>12</v>
      </c>
      <c r="BB30" s="8">
        <v>0.44</v>
      </c>
      <c r="BC30" s="8">
        <v>-5.1100000000000003</v>
      </c>
      <c r="BD30" s="5">
        <v>5</v>
      </c>
      <c r="BE30" s="5" t="s">
        <v>68</v>
      </c>
      <c r="BF30" s="8">
        <v>-2.79</v>
      </c>
      <c r="BG30" s="6">
        <v>45189</v>
      </c>
      <c r="BH30" s="5" t="s">
        <v>52</v>
      </c>
      <c r="BI30" s="5" t="s">
        <v>45</v>
      </c>
      <c r="BJ30" s="8" t="s">
        <v>46</v>
      </c>
      <c r="BK30" s="8" t="s">
        <v>46</v>
      </c>
      <c r="BL30" s="8" t="s">
        <v>46</v>
      </c>
      <c r="BM30" s="8">
        <v>0</v>
      </c>
      <c r="BN30" s="8">
        <v>0</v>
      </c>
      <c r="BO30" s="8">
        <v>0</v>
      </c>
      <c r="BP30" s="10" t="s">
        <v>46</v>
      </c>
    </row>
    <row r="31" spans="1:68" ht="14.5" customHeight="1" x14ac:dyDescent="0.35">
      <c r="A31" s="5">
        <v>30</v>
      </c>
      <c r="B31" s="6">
        <v>45187</v>
      </c>
      <c r="C31" s="5" t="s">
        <v>44</v>
      </c>
      <c r="D31" s="5" t="s">
        <v>45</v>
      </c>
      <c r="E31" s="5" t="s">
        <v>46</v>
      </c>
      <c r="F31" s="5" t="s">
        <v>47</v>
      </c>
      <c r="G31" s="7">
        <v>0.3125</v>
      </c>
      <c r="H31" s="7">
        <v>0.41666666666666669</v>
      </c>
      <c r="I31" s="5">
        <v>1.2379</v>
      </c>
      <c r="J31" s="5">
        <v>1.2403999999999999</v>
      </c>
      <c r="K31" s="8">
        <v>-2.5</v>
      </c>
      <c r="L31" s="8">
        <v>5</v>
      </c>
      <c r="M31" s="5">
        <f t="shared" si="0"/>
        <v>1.2403999999999999</v>
      </c>
      <c r="N31" s="5">
        <f t="shared" si="1"/>
        <v>1.2328999999999999</v>
      </c>
      <c r="O31" s="5">
        <v>6</v>
      </c>
      <c r="P31" s="8">
        <v>0.91</v>
      </c>
      <c r="Q31" s="8">
        <v>-3.08</v>
      </c>
      <c r="R31" s="5">
        <v>12</v>
      </c>
      <c r="S31" s="5" t="s">
        <v>68</v>
      </c>
      <c r="T31" s="8">
        <v>-2.5</v>
      </c>
      <c r="U31" s="5"/>
      <c r="V31" s="5"/>
      <c r="W31" s="5"/>
      <c r="X31" s="5"/>
      <c r="Y31" s="5"/>
      <c r="Z31" s="5"/>
      <c r="AA31" s="6">
        <v>45188</v>
      </c>
      <c r="AB31" s="5" t="s">
        <v>52</v>
      </c>
      <c r="AC31" s="5" t="s">
        <v>45</v>
      </c>
      <c r="AD31" s="8" t="s">
        <v>46</v>
      </c>
      <c r="AE31" s="8" t="s">
        <v>46</v>
      </c>
      <c r="AF31" s="8" t="s">
        <v>46</v>
      </c>
      <c r="AG31" s="5">
        <v>0</v>
      </c>
      <c r="AH31" s="8">
        <v>0</v>
      </c>
      <c r="AI31" s="8">
        <v>0</v>
      </c>
      <c r="AJ31" s="8">
        <v>0</v>
      </c>
      <c r="AK31" s="10" t="s">
        <v>46</v>
      </c>
      <c r="AL31" s="5"/>
      <c r="AM31" s="5">
        <v>30</v>
      </c>
      <c r="AN31" s="6">
        <v>45187</v>
      </c>
      <c r="AO31" s="5" t="s">
        <v>53</v>
      </c>
      <c r="AP31" s="5" t="s">
        <v>45</v>
      </c>
      <c r="AQ31" s="5" t="s">
        <v>46</v>
      </c>
      <c r="AR31" s="5" t="s">
        <v>47</v>
      </c>
      <c r="AS31" s="7">
        <v>0.3125</v>
      </c>
      <c r="AT31" s="7">
        <v>0.41666666666666669</v>
      </c>
      <c r="AU31" s="5">
        <v>1.2379</v>
      </c>
      <c r="AV31" s="5">
        <v>1.24072</v>
      </c>
      <c r="AW31" s="5">
        <f t="shared" si="2"/>
        <v>1.2406999999999999</v>
      </c>
      <c r="AX31" s="5">
        <f t="shared" si="3"/>
        <v>1.2328999999999999</v>
      </c>
      <c r="AY31" s="5">
        <f>11.29*2.5</f>
        <v>28.224999999999998</v>
      </c>
      <c r="AZ31" s="8">
        <v>-2.82</v>
      </c>
      <c r="BA31" s="5">
        <v>6</v>
      </c>
      <c r="BB31" s="8">
        <v>0.91</v>
      </c>
      <c r="BC31" s="8">
        <v>-3.08</v>
      </c>
      <c r="BD31" s="5">
        <v>12</v>
      </c>
      <c r="BE31" s="5" t="s">
        <v>68</v>
      </c>
      <c r="BF31" s="8">
        <v>-2.82</v>
      </c>
      <c r="BG31" s="6">
        <v>45188</v>
      </c>
      <c r="BH31" s="5" t="s">
        <v>52</v>
      </c>
      <c r="BI31" s="5" t="s">
        <v>45</v>
      </c>
      <c r="BJ31" s="8" t="s">
        <v>46</v>
      </c>
      <c r="BK31" s="8" t="s">
        <v>46</v>
      </c>
      <c r="BL31" s="8" t="s">
        <v>46</v>
      </c>
      <c r="BM31" s="8">
        <v>0</v>
      </c>
      <c r="BN31" s="8">
        <v>0</v>
      </c>
      <c r="BO31" s="8">
        <v>0</v>
      </c>
      <c r="BP31" s="10" t="s">
        <v>46</v>
      </c>
    </row>
    <row r="32" spans="1:68" ht="14.5" customHeight="1" x14ac:dyDescent="0.35">
      <c r="A32" s="5">
        <v>31</v>
      </c>
      <c r="B32" s="6">
        <v>45184</v>
      </c>
      <c r="C32" s="5" t="s">
        <v>44</v>
      </c>
      <c r="D32" s="5" t="s">
        <v>45</v>
      </c>
      <c r="E32" s="5" t="s">
        <v>46</v>
      </c>
      <c r="F32" s="5" t="s">
        <v>47</v>
      </c>
      <c r="G32" s="7">
        <v>0.47916666666666669</v>
      </c>
      <c r="H32" s="7">
        <v>0.58333333333333337</v>
      </c>
      <c r="I32" s="5">
        <v>1.24</v>
      </c>
      <c r="J32" s="5">
        <v>1.2424999999999999</v>
      </c>
      <c r="K32" s="8">
        <v>-2.5</v>
      </c>
      <c r="L32" s="8">
        <v>5</v>
      </c>
      <c r="M32" s="5">
        <f t="shared" si="0"/>
        <v>1.2424999999999999</v>
      </c>
      <c r="N32" s="5">
        <f t="shared" si="1"/>
        <v>1.2349999999999999</v>
      </c>
      <c r="O32" s="5">
        <v>6</v>
      </c>
      <c r="P32" s="8">
        <v>2.16</v>
      </c>
      <c r="Q32" s="8">
        <v>-2.5</v>
      </c>
      <c r="R32" s="5">
        <v>8</v>
      </c>
      <c r="S32" s="5" t="s">
        <v>68</v>
      </c>
      <c r="T32" s="8">
        <v>-2.5</v>
      </c>
      <c r="U32" s="5"/>
      <c r="V32" s="5"/>
      <c r="W32" s="5"/>
      <c r="X32" s="5"/>
      <c r="Y32" s="5"/>
      <c r="Z32" s="5"/>
      <c r="AA32" s="6">
        <v>45187</v>
      </c>
      <c r="AB32" s="5" t="s">
        <v>52</v>
      </c>
      <c r="AC32" s="5" t="s">
        <v>52</v>
      </c>
      <c r="AD32" s="8" t="s">
        <v>46</v>
      </c>
      <c r="AE32" s="8" t="s">
        <v>46</v>
      </c>
      <c r="AF32" s="8" t="s">
        <v>46</v>
      </c>
      <c r="AG32" s="5">
        <v>9</v>
      </c>
      <c r="AH32" s="8">
        <v>0</v>
      </c>
      <c r="AI32" s="8">
        <v>0</v>
      </c>
      <c r="AJ32" s="8">
        <v>0</v>
      </c>
      <c r="AK32" s="10" t="s">
        <v>46</v>
      </c>
      <c r="AL32" s="5"/>
      <c r="AM32" s="5">
        <v>31</v>
      </c>
      <c r="AN32" s="6">
        <v>45184</v>
      </c>
      <c r="AO32" s="5" t="s">
        <v>53</v>
      </c>
      <c r="AP32" s="5" t="s">
        <v>45</v>
      </c>
      <c r="AQ32" s="5" t="s">
        <v>46</v>
      </c>
      <c r="AR32" s="5" t="s">
        <v>47</v>
      </c>
      <c r="AS32" s="7">
        <v>0.47916666666666669</v>
      </c>
      <c r="AT32" s="7">
        <v>0.58333333333333337</v>
      </c>
      <c r="AU32" s="5">
        <v>1.24</v>
      </c>
      <c r="AV32" s="5">
        <v>1.24285</v>
      </c>
      <c r="AW32" s="5">
        <f t="shared" si="2"/>
        <v>1.2429000000000001</v>
      </c>
      <c r="AX32" s="5">
        <f t="shared" si="3"/>
        <v>1.2349999999999999</v>
      </c>
      <c r="AY32" s="5">
        <f>11.42*2.5</f>
        <v>28.55</v>
      </c>
      <c r="AZ32" s="8">
        <v>-2.85</v>
      </c>
      <c r="BA32" s="5">
        <v>6</v>
      </c>
      <c r="BB32" s="8">
        <v>2.16</v>
      </c>
      <c r="BC32" s="8">
        <v>-2.5</v>
      </c>
      <c r="BD32" s="5">
        <v>8</v>
      </c>
      <c r="BE32" s="5" t="s">
        <v>68</v>
      </c>
      <c r="BF32" s="8">
        <v>-2.85</v>
      </c>
      <c r="BG32" s="6">
        <v>45187</v>
      </c>
      <c r="BH32" s="5" t="s">
        <v>52</v>
      </c>
      <c r="BI32" s="5" t="s">
        <v>52</v>
      </c>
      <c r="BJ32" s="8" t="s">
        <v>46</v>
      </c>
      <c r="BK32" s="8" t="s">
        <v>46</v>
      </c>
      <c r="BL32" s="8" t="s">
        <v>46</v>
      </c>
      <c r="BM32" s="8">
        <v>0</v>
      </c>
      <c r="BN32" s="8">
        <v>0</v>
      </c>
      <c r="BO32" s="8">
        <v>0</v>
      </c>
      <c r="BP32" s="10" t="s">
        <v>46</v>
      </c>
    </row>
    <row r="33" spans="1:68" ht="14.5" customHeight="1" x14ac:dyDescent="0.35">
      <c r="A33" s="5">
        <v>32</v>
      </c>
      <c r="B33" s="6">
        <v>45183</v>
      </c>
      <c r="C33" s="5" t="s">
        <v>44</v>
      </c>
      <c r="D33" s="5" t="s">
        <v>45</v>
      </c>
      <c r="E33" s="5" t="s">
        <v>46</v>
      </c>
      <c r="F33" s="5" t="s">
        <v>47</v>
      </c>
      <c r="G33" s="7">
        <v>0.52083333333333337</v>
      </c>
      <c r="H33" s="7">
        <v>0.97916666666666663</v>
      </c>
      <c r="I33" s="5">
        <v>1.2446000000000002</v>
      </c>
      <c r="J33" s="5">
        <v>1.24004</v>
      </c>
      <c r="K33" s="8">
        <v>-2.5</v>
      </c>
      <c r="L33" s="8">
        <v>5</v>
      </c>
      <c r="M33" s="5">
        <f t="shared" si="0"/>
        <v>1.2471000000000001</v>
      </c>
      <c r="N33" s="5">
        <f t="shared" si="1"/>
        <v>1.2396</v>
      </c>
      <c r="O33" s="5">
        <v>23</v>
      </c>
      <c r="P33" s="8">
        <v>4.9800000000000004</v>
      </c>
      <c r="Q33" s="8">
        <v>-1.43</v>
      </c>
      <c r="R33" s="5">
        <v>2</v>
      </c>
      <c r="S33" s="5" t="s">
        <v>55</v>
      </c>
      <c r="T33" s="8">
        <v>4.5599999999999996</v>
      </c>
      <c r="U33" s="5"/>
      <c r="V33" s="5"/>
      <c r="W33" s="5"/>
      <c r="X33" s="5"/>
      <c r="Y33" s="5"/>
      <c r="Z33" s="5"/>
      <c r="AA33" s="6">
        <v>45184</v>
      </c>
      <c r="AB33" s="5" t="s">
        <v>45</v>
      </c>
      <c r="AC33" s="5" t="s">
        <v>45</v>
      </c>
      <c r="AD33" s="8" t="s">
        <v>52</v>
      </c>
      <c r="AE33" s="5" t="s">
        <v>45</v>
      </c>
      <c r="AF33" s="8" t="s">
        <v>46</v>
      </c>
      <c r="AG33" s="5">
        <v>0</v>
      </c>
      <c r="AH33" s="8">
        <v>6.76</v>
      </c>
      <c r="AI33" s="8">
        <v>0</v>
      </c>
      <c r="AJ33" s="8">
        <v>5</v>
      </c>
      <c r="AK33" s="10" t="s">
        <v>46</v>
      </c>
      <c r="AL33" s="5"/>
      <c r="AM33" s="5">
        <v>32</v>
      </c>
      <c r="AN33" s="6">
        <v>45183</v>
      </c>
      <c r="AO33" s="5" t="s">
        <v>53</v>
      </c>
      <c r="AP33" s="5" t="s">
        <v>45</v>
      </c>
      <c r="AQ33" s="5" t="s">
        <v>46</v>
      </c>
      <c r="AR33" s="5" t="s">
        <v>47</v>
      </c>
      <c r="AS33" s="7">
        <v>0.52083333333333337</v>
      </c>
      <c r="AT33" s="7">
        <v>0.97916666666666663</v>
      </c>
      <c r="AU33" s="5">
        <v>1.2446000000000002</v>
      </c>
      <c r="AV33" s="5">
        <v>1.24004</v>
      </c>
      <c r="AW33" s="5">
        <f t="shared" si="2"/>
        <v>1.2475000000000001</v>
      </c>
      <c r="AX33" s="5">
        <f t="shared" si="3"/>
        <v>1.2396</v>
      </c>
      <c r="AY33" s="5">
        <f>11.42*2.5</f>
        <v>28.55</v>
      </c>
      <c r="AZ33" s="8">
        <v>-2.85</v>
      </c>
      <c r="BA33" s="5">
        <v>23</v>
      </c>
      <c r="BB33" s="8">
        <v>4.9800000000000004</v>
      </c>
      <c r="BC33" s="8">
        <v>-1.43</v>
      </c>
      <c r="BD33" s="5">
        <v>2</v>
      </c>
      <c r="BE33" s="5" t="s">
        <v>55</v>
      </c>
      <c r="BF33" s="8">
        <v>4.5599999999999996</v>
      </c>
      <c r="BG33" s="6">
        <v>45184</v>
      </c>
      <c r="BH33" s="5" t="s">
        <v>45</v>
      </c>
      <c r="BI33" s="5" t="s">
        <v>45</v>
      </c>
      <c r="BJ33" s="8" t="s">
        <v>52</v>
      </c>
      <c r="BK33" s="5" t="s">
        <v>45</v>
      </c>
      <c r="BL33" s="8" t="s">
        <v>46</v>
      </c>
      <c r="BM33" s="8">
        <v>6.76</v>
      </c>
      <c r="BN33" s="8">
        <v>0</v>
      </c>
      <c r="BO33" s="8">
        <v>5</v>
      </c>
      <c r="BP33" s="10" t="s">
        <v>46</v>
      </c>
    </row>
    <row r="34" spans="1:68" ht="14.5" customHeight="1" x14ac:dyDescent="0.35">
      <c r="A34" s="5">
        <v>33</v>
      </c>
      <c r="B34" s="6">
        <v>45182</v>
      </c>
      <c r="C34" s="5" t="s">
        <v>44</v>
      </c>
      <c r="D34" s="5" t="s">
        <v>45</v>
      </c>
      <c r="E34" s="5" t="s">
        <v>46</v>
      </c>
      <c r="F34" s="5" t="s">
        <v>47</v>
      </c>
      <c r="G34" s="7">
        <v>0.25</v>
      </c>
      <c r="H34" s="7">
        <v>0.33333333333333331</v>
      </c>
      <c r="I34" s="5">
        <v>1.2451000000000001</v>
      </c>
      <c r="J34" s="5">
        <v>1.2476</v>
      </c>
      <c r="K34" s="8">
        <v>-2.5</v>
      </c>
      <c r="L34" s="8">
        <v>5</v>
      </c>
      <c r="M34" s="5">
        <f t="shared" si="0"/>
        <v>1.2476</v>
      </c>
      <c r="N34" s="5">
        <f t="shared" si="1"/>
        <v>1.2401</v>
      </c>
      <c r="O34" s="5">
        <v>5</v>
      </c>
      <c r="P34" s="8">
        <v>1.95</v>
      </c>
      <c r="Q34" s="8">
        <v>-6.04</v>
      </c>
      <c r="R34" s="5">
        <v>3</v>
      </c>
      <c r="S34" s="5" t="s">
        <v>68</v>
      </c>
      <c r="T34" s="8">
        <v>-2.5</v>
      </c>
      <c r="U34" s="5"/>
      <c r="V34" s="5"/>
      <c r="W34" s="5"/>
      <c r="X34" s="5"/>
      <c r="Y34" s="5"/>
      <c r="Z34" s="5"/>
      <c r="AA34" s="6">
        <v>45183</v>
      </c>
      <c r="AB34" s="5" t="s">
        <v>52</v>
      </c>
      <c r="AC34" s="5" t="s">
        <v>52</v>
      </c>
      <c r="AD34" s="8" t="s">
        <v>46</v>
      </c>
      <c r="AE34" s="8" t="s">
        <v>46</v>
      </c>
      <c r="AF34" s="8" t="s">
        <v>46</v>
      </c>
      <c r="AG34" s="5">
        <v>1</v>
      </c>
      <c r="AH34" s="8">
        <v>0</v>
      </c>
      <c r="AI34" s="8">
        <v>0</v>
      </c>
      <c r="AJ34" s="8">
        <v>0</v>
      </c>
      <c r="AK34" s="10" t="s">
        <v>46</v>
      </c>
      <c r="AL34" s="5"/>
      <c r="AM34" s="5">
        <v>33</v>
      </c>
      <c r="AN34" s="6">
        <v>45182</v>
      </c>
      <c r="AO34" s="5" t="s">
        <v>53</v>
      </c>
      <c r="AP34" s="5" t="s">
        <v>45</v>
      </c>
      <c r="AQ34" s="5" t="s">
        <v>46</v>
      </c>
      <c r="AR34" s="5" t="s">
        <v>47</v>
      </c>
      <c r="AS34" s="7">
        <v>0.25</v>
      </c>
      <c r="AT34" s="7">
        <v>0.33333333333333331</v>
      </c>
      <c r="AU34" s="5">
        <v>1.2451000000000001</v>
      </c>
      <c r="AV34" s="5">
        <v>1.24794</v>
      </c>
      <c r="AW34" s="5">
        <f t="shared" si="2"/>
        <v>1.2479</v>
      </c>
      <c r="AX34" s="5">
        <f t="shared" si="3"/>
        <v>1.2401</v>
      </c>
      <c r="AY34" s="5">
        <f>11.39*2.5</f>
        <v>28.475000000000001</v>
      </c>
      <c r="AZ34" s="8">
        <v>-2.84</v>
      </c>
      <c r="BA34" s="5">
        <v>5</v>
      </c>
      <c r="BB34" s="8">
        <v>1.95</v>
      </c>
      <c r="BC34" s="8">
        <v>-6.04</v>
      </c>
      <c r="BD34" s="5">
        <v>3</v>
      </c>
      <c r="BE34" s="5" t="s">
        <v>68</v>
      </c>
      <c r="BF34" s="8">
        <v>-2.84</v>
      </c>
      <c r="BG34" s="6">
        <v>45183</v>
      </c>
      <c r="BH34" s="5" t="s">
        <v>52</v>
      </c>
      <c r="BI34" s="5" t="s">
        <v>52</v>
      </c>
      <c r="BJ34" s="8" t="s">
        <v>46</v>
      </c>
      <c r="BK34" s="8" t="s">
        <v>46</v>
      </c>
      <c r="BL34" s="8" t="s">
        <v>46</v>
      </c>
      <c r="BM34" s="8">
        <v>0</v>
      </c>
      <c r="BN34" s="8">
        <v>0</v>
      </c>
      <c r="BO34" s="8">
        <v>0</v>
      </c>
      <c r="BP34" s="10" t="s">
        <v>46</v>
      </c>
    </row>
    <row r="35" spans="1:68" ht="14.5" customHeight="1" x14ac:dyDescent="0.35">
      <c r="A35" s="5">
        <v>34</v>
      </c>
      <c r="B35" s="6">
        <v>45175</v>
      </c>
      <c r="C35" s="5" t="s">
        <v>44</v>
      </c>
      <c r="D35" s="5" t="s">
        <v>45</v>
      </c>
      <c r="E35" s="5" t="s">
        <v>46</v>
      </c>
      <c r="F35" s="5" t="s">
        <v>47</v>
      </c>
      <c r="G35" s="7">
        <v>0.5625</v>
      </c>
      <c r="H35" s="7">
        <v>0.58333333333333337</v>
      </c>
      <c r="I35" s="5">
        <v>1.2533000000000001</v>
      </c>
      <c r="J35" s="5">
        <v>1.2483</v>
      </c>
      <c r="K35" s="8">
        <v>-2.5</v>
      </c>
      <c r="L35" s="8">
        <v>5</v>
      </c>
      <c r="M35" s="5">
        <f t="shared" si="0"/>
        <v>1.2558</v>
      </c>
      <c r="N35" s="5">
        <f t="shared" si="1"/>
        <v>1.2483</v>
      </c>
      <c r="O35" s="5">
        <v>1</v>
      </c>
      <c r="P35" s="8">
        <v>5.13</v>
      </c>
      <c r="Q35" s="8">
        <v>0</v>
      </c>
      <c r="R35" s="5">
        <v>0</v>
      </c>
      <c r="S35" s="5" t="s">
        <v>48</v>
      </c>
      <c r="T35" s="8">
        <v>5</v>
      </c>
      <c r="U35" s="5"/>
      <c r="V35" s="5"/>
      <c r="W35" s="5"/>
      <c r="X35" s="5"/>
      <c r="Y35" s="5"/>
      <c r="Z35" s="5"/>
      <c r="AA35" s="6">
        <v>45176</v>
      </c>
      <c r="AB35" s="5" t="s">
        <v>52</v>
      </c>
      <c r="AC35" s="5" t="s">
        <v>45</v>
      </c>
      <c r="AD35" s="8" t="s">
        <v>46</v>
      </c>
      <c r="AE35" s="8" t="s">
        <v>46</v>
      </c>
      <c r="AF35" s="8" t="s">
        <v>46</v>
      </c>
      <c r="AG35" s="5">
        <v>0</v>
      </c>
      <c r="AH35" s="8">
        <v>0</v>
      </c>
      <c r="AI35" s="8">
        <v>0</v>
      </c>
      <c r="AJ35" s="8">
        <v>0</v>
      </c>
      <c r="AK35" s="10" t="s">
        <v>46</v>
      </c>
      <c r="AL35" s="5"/>
      <c r="AM35" s="5">
        <v>34</v>
      </c>
      <c r="AN35" s="6">
        <v>45175</v>
      </c>
      <c r="AO35" s="5" t="s">
        <v>53</v>
      </c>
      <c r="AP35" s="5" t="s">
        <v>45</v>
      </c>
      <c r="AQ35" s="5" t="s">
        <v>46</v>
      </c>
      <c r="AR35" s="5" t="s">
        <v>47</v>
      </c>
      <c r="AS35" s="7">
        <v>0.5625</v>
      </c>
      <c r="AT35" s="7">
        <v>0.58333333333333337</v>
      </c>
      <c r="AU35" s="5">
        <v>1.2533000000000001</v>
      </c>
      <c r="AV35" s="5">
        <v>1.2483</v>
      </c>
      <c r="AW35" s="5">
        <f t="shared" si="2"/>
        <v>1.2563</v>
      </c>
      <c r="AX35" s="5">
        <f t="shared" si="3"/>
        <v>1.2483</v>
      </c>
      <c r="AY35" s="5">
        <f>11.85*2.5</f>
        <v>29.625</v>
      </c>
      <c r="AZ35" s="8">
        <v>-2.96</v>
      </c>
      <c r="BA35" s="5">
        <v>1</v>
      </c>
      <c r="BB35" s="8">
        <v>5.13</v>
      </c>
      <c r="BC35" s="8">
        <v>0</v>
      </c>
      <c r="BD35" s="5">
        <v>0</v>
      </c>
      <c r="BE35" s="5" t="s">
        <v>48</v>
      </c>
      <c r="BF35" s="8">
        <v>5</v>
      </c>
      <c r="BG35" s="6">
        <v>45176</v>
      </c>
      <c r="BH35" s="5" t="s">
        <v>52</v>
      </c>
      <c r="BI35" s="5" t="s">
        <v>45</v>
      </c>
      <c r="BJ35" s="8" t="s">
        <v>46</v>
      </c>
      <c r="BK35" s="8" t="s">
        <v>46</v>
      </c>
      <c r="BL35" s="8" t="s">
        <v>46</v>
      </c>
      <c r="BM35" s="8">
        <v>0</v>
      </c>
      <c r="BN35" s="8">
        <v>0</v>
      </c>
      <c r="BO35" s="8">
        <v>0</v>
      </c>
      <c r="BP35" s="10" t="s">
        <v>46</v>
      </c>
    </row>
    <row r="36" spans="1:68" ht="14.5" customHeight="1" x14ac:dyDescent="0.35">
      <c r="A36" s="5">
        <v>35</v>
      </c>
      <c r="B36" s="6">
        <v>45174</v>
      </c>
      <c r="C36" s="5" t="s">
        <v>44</v>
      </c>
      <c r="D36" s="5" t="s">
        <v>45</v>
      </c>
      <c r="E36" s="5" t="s">
        <v>46</v>
      </c>
      <c r="F36" s="5" t="s">
        <v>47</v>
      </c>
      <c r="G36" s="7">
        <v>0.3125</v>
      </c>
      <c r="H36" s="7">
        <v>0.97916666666666663</v>
      </c>
      <c r="I36" s="5">
        <v>1.2563</v>
      </c>
      <c r="J36" s="5">
        <v>1.2569300000000001</v>
      </c>
      <c r="K36" s="8">
        <v>-2.5</v>
      </c>
      <c r="L36" s="8">
        <v>5</v>
      </c>
      <c r="M36" s="5">
        <f t="shared" si="0"/>
        <v>1.2587999999999999</v>
      </c>
      <c r="N36" s="5">
        <f t="shared" si="1"/>
        <v>1.2513000000000001</v>
      </c>
      <c r="O36" s="5">
        <v>33</v>
      </c>
      <c r="P36" s="8">
        <v>3.53</v>
      </c>
      <c r="Q36" s="8">
        <v>-2.34</v>
      </c>
      <c r="R36" s="5">
        <v>13</v>
      </c>
      <c r="S36" s="5" t="s">
        <v>55</v>
      </c>
      <c r="T36" s="8">
        <v>-0.63</v>
      </c>
      <c r="U36" s="5"/>
      <c r="V36" s="5"/>
      <c r="W36" s="5"/>
      <c r="X36" s="5"/>
      <c r="Y36" s="5"/>
      <c r="Z36" s="5"/>
      <c r="AA36" s="6">
        <v>45175</v>
      </c>
      <c r="AB36" s="5" t="s">
        <v>45</v>
      </c>
      <c r="AC36" s="5" t="s">
        <v>45</v>
      </c>
      <c r="AD36" s="8" t="s">
        <v>52</v>
      </c>
      <c r="AE36" s="5" t="s">
        <v>45</v>
      </c>
      <c r="AF36" s="8" t="s">
        <v>46</v>
      </c>
      <c r="AG36" s="5">
        <v>11</v>
      </c>
      <c r="AH36" s="8">
        <v>8.1300000000000008</v>
      </c>
      <c r="AI36" s="8">
        <v>-2.4500000000000002</v>
      </c>
      <c r="AJ36" s="8">
        <v>5</v>
      </c>
      <c r="AK36" s="10" t="s">
        <v>46</v>
      </c>
      <c r="AL36" s="5"/>
      <c r="AM36" s="5">
        <v>35</v>
      </c>
      <c r="AN36" s="6">
        <v>45174</v>
      </c>
      <c r="AO36" s="5" t="s">
        <v>53</v>
      </c>
      <c r="AP36" s="5" t="s">
        <v>45</v>
      </c>
      <c r="AQ36" s="5" t="s">
        <v>46</v>
      </c>
      <c r="AR36" s="5" t="s">
        <v>47</v>
      </c>
      <c r="AS36" s="7">
        <v>0.3125</v>
      </c>
      <c r="AT36" s="7">
        <v>0.97916666666666663</v>
      </c>
      <c r="AU36" s="5">
        <v>1.2563</v>
      </c>
      <c r="AV36" s="5">
        <v>1.2569300000000001</v>
      </c>
      <c r="AW36" s="5">
        <f t="shared" si="2"/>
        <v>1.2591999999999999</v>
      </c>
      <c r="AX36" s="5">
        <f t="shared" si="3"/>
        <v>1.2513000000000001</v>
      </c>
      <c r="AY36" s="5">
        <f>11.79*2.5</f>
        <v>29.474999999999998</v>
      </c>
      <c r="AZ36" s="8">
        <v>-2.94</v>
      </c>
      <c r="BA36" s="5">
        <v>33</v>
      </c>
      <c r="BB36" s="8">
        <v>3.53</v>
      </c>
      <c r="BC36" s="8">
        <v>-2.34</v>
      </c>
      <c r="BD36" s="5">
        <v>13</v>
      </c>
      <c r="BE36" s="5" t="s">
        <v>55</v>
      </c>
      <c r="BF36" s="8">
        <v>-0.63</v>
      </c>
      <c r="BG36" s="6">
        <v>45175</v>
      </c>
      <c r="BH36" s="5" t="s">
        <v>45</v>
      </c>
      <c r="BI36" s="5" t="s">
        <v>45</v>
      </c>
      <c r="BJ36" s="8" t="s">
        <v>52</v>
      </c>
      <c r="BK36" s="5" t="s">
        <v>45</v>
      </c>
      <c r="BL36" s="8" t="s">
        <v>46</v>
      </c>
      <c r="BM36" s="8">
        <v>8.1300000000000008</v>
      </c>
      <c r="BN36" s="8">
        <v>-2.4500000000000002</v>
      </c>
      <c r="BO36" s="8">
        <v>5</v>
      </c>
      <c r="BP36" s="10" t="s">
        <v>46</v>
      </c>
    </row>
    <row r="37" spans="1:68" ht="14.5" customHeight="1" x14ac:dyDescent="0.35">
      <c r="A37" s="5">
        <v>36</v>
      </c>
      <c r="B37" s="6">
        <v>45169</v>
      </c>
      <c r="C37" s="5" t="s">
        <v>44</v>
      </c>
      <c r="D37" s="5" t="s">
        <v>45</v>
      </c>
      <c r="E37" s="5" t="s">
        <v>46</v>
      </c>
      <c r="F37" s="5" t="s">
        <v>67</v>
      </c>
      <c r="G37" s="7">
        <v>6.25E-2</v>
      </c>
      <c r="H37" s="7">
        <v>0.25</v>
      </c>
      <c r="I37" s="5">
        <v>1.2734000000000001</v>
      </c>
      <c r="J37" s="5">
        <v>1.2708999999999999</v>
      </c>
      <c r="K37" s="8">
        <v>-2.5</v>
      </c>
      <c r="L37" s="8">
        <v>5</v>
      </c>
      <c r="M37" s="5">
        <f t="shared" si="0"/>
        <v>1.2708999999999999</v>
      </c>
      <c r="N37" s="5">
        <f t="shared" si="1"/>
        <v>1.2784</v>
      </c>
      <c r="O37" s="5">
        <v>10</v>
      </c>
      <c r="P37" s="8">
        <v>0</v>
      </c>
      <c r="Q37" s="8">
        <v>-8.19</v>
      </c>
      <c r="R37" s="5">
        <v>0</v>
      </c>
      <c r="S37" s="5" t="s">
        <v>68</v>
      </c>
      <c r="T37" s="8">
        <v>-2.5</v>
      </c>
      <c r="U37" s="5"/>
      <c r="V37" s="5"/>
      <c r="W37" s="5"/>
      <c r="X37" s="5"/>
      <c r="Y37" s="5"/>
      <c r="Z37" s="5"/>
      <c r="AA37" s="6">
        <v>45170</v>
      </c>
      <c r="AB37" s="5" t="s">
        <v>52</v>
      </c>
      <c r="AC37" s="5" t="s">
        <v>52</v>
      </c>
      <c r="AD37" s="8" t="s">
        <v>46</v>
      </c>
      <c r="AE37" s="8" t="s">
        <v>46</v>
      </c>
      <c r="AF37" s="8" t="s">
        <v>46</v>
      </c>
      <c r="AG37" s="5">
        <v>0</v>
      </c>
      <c r="AH37" s="8">
        <v>0</v>
      </c>
      <c r="AI37" s="8">
        <v>0</v>
      </c>
      <c r="AJ37" s="8">
        <v>0</v>
      </c>
      <c r="AK37" s="10" t="s">
        <v>46</v>
      </c>
      <c r="AL37" s="5"/>
      <c r="AM37" s="5">
        <v>36</v>
      </c>
      <c r="AN37" s="6">
        <v>45169</v>
      </c>
      <c r="AO37" s="5" t="s">
        <v>53</v>
      </c>
      <c r="AP37" s="5" t="s">
        <v>45</v>
      </c>
      <c r="AQ37" s="5" t="s">
        <v>46</v>
      </c>
      <c r="AR37" s="5" t="s">
        <v>67</v>
      </c>
      <c r="AS37" s="7">
        <v>6.25E-2</v>
      </c>
      <c r="AT37" s="7">
        <v>0.25</v>
      </c>
      <c r="AU37" s="5">
        <v>1.2734000000000001</v>
      </c>
      <c r="AV37" s="5">
        <v>1.2703599999999999</v>
      </c>
      <c r="AW37" s="5">
        <f t="shared" si="2"/>
        <v>1.2704</v>
      </c>
      <c r="AX37" s="5">
        <f t="shared" si="3"/>
        <v>1.2784</v>
      </c>
      <c r="AY37" s="5">
        <f>12.17*2.5</f>
        <v>30.425000000000001</v>
      </c>
      <c r="AZ37" s="8">
        <v>-3.04</v>
      </c>
      <c r="BA37" s="5">
        <v>10</v>
      </c>
      <c r="BB37" s="8">
        <v>0</v>
      </c>
      <c r="BC37" s="8">
        <v>-8.19</v>
      </c>
      <c r="BD37" s="5">
        <v>0</v>
      </c>
      <c r="BE37" s="5" t="s">
        <v>68</v>
      </c>
      <c r="BF37" s="8">
        <v>-3.04</v>
      </c>
      <c r="BG37" s="6">
        <v>45170</v>
      </c>
      <c r="BH37" s="5" t="s">
        <v>52</v>
      </c>
      <c r="BI37" s="5" t="s">
        <v>52</v>
      </c>
      <c r="BJ37" s="8" t="s">
        <v>46</v>
      </c>
      <c r="BK37" s="8" t="s">
        <v>46</v>
      </c>
      <c r="BL37" s="8" t="s">
        <v>46</v>
      </c>
      <c r="BM37" s="8">
        <v>0</v>
      </c>
      <c r="BN37" s="8">
        <v>0</v>
      </c>
      <c r="BO37" s="8">
        <v>0</v>
      </c>
      <c r="BP37" s="10" t="s">
        <v>46</v>
      </c>
    </row>
    <row r="38" spans="1:68" ht="14.5" customHeight="1" x14ac:dyDescent="0.35">
      <c r="A38" s="5">
        <v>37</v>
      </c>
      <c r="B38" s="6">
        <v>45162</v>
      </c>
      <c r="C38" s="5" t="s">
        <v>44</v>
      </c>
      <c r="D38" s="5" t="s">
        <v>45</v>
      </c>
      <c r="E38" s="5" t="s">
        <v>46</v>
      </c>
      <c r="F38" s="5" t="s">
        <v>47</v>
      </c>
      <c r="G38" s="7">
        <v>0.41666666666666669</v>
      </c>
      <c r="H38" s="7">
        <v>0.72916666666666663</v>
      </c>
      <c r="I38" s="5">
        <v>1.2668000000000001</v>
      </c>
      <c r="J38" s="5">
        <v>1.2618</v>
      </c>
      <c r="K38" s="8">
        <v>-2.5</v>
      </c>
      <c r="L38" s="8">
        <v>5</v>
      </c>
      <c r="M38" s="5">
        <f t="shared" si="0"/>
        <v>1.2692999999999999</v>
      </c>
      <c r="N38" s="5">
        <f t="shared" si="1"/>
        <v>1.2618</v>
      </c>
      <c r="O38" s="5">
        <v>16</v>
      </c>
      <c r="P38" s="8">
        <v>8.24</v>
      </c>
      <c r="Q38" s="8">
        <v>-2.4700000000000002</v>
      </c>
      <c r="R38" s="5">
        <v>1</v>
      </c>
      <c r="S38" s="5" t="s">
        <v>48</v>
      </c>
      <c r="T38" s="8">
        <v>5</v>
      </c>
      <c r="U38" s="5"/>
      <c r="V38" s="5"/>
      <c r="W38" s="5"/>
      <c r="X38" s="5"/>
      <c r="Y38" s="5"/>
      <c r="Z38" s="5"/>
      <c r="AA38" s="6">
        <v>45163</v>
      </c>
      <c r="AB38" s="5" t="s">
        <v>52</v>
      </c>
      <c r="AC38" s="5" t="s">
        <v>52</v>
      </c>
      <c r="AD38" s="8" t="s">
        <v>46</v>
      </c>
      <c r="AE38" s="8" t="s">
        <v>46</v>
      </c>
      <c r="AF38" s="8" t="s">
        <v>46</v>
      </c>
      <c r="AG38" s="5">
        <v>0</v>
      </c>
      <c r="AH38" s="8">
        <v>0</v>
      </c>
      <c r="AI38" s="8">
        <v>0</v>
      </c>
      <c r="AJ38" s="8">
        <v>0</v>
      </c>
      <c r="AK38" s="10" t="s">
        <v>46</v>
      </c>
      <c r="AL38" s="5"/>
      <c r="AM38" s="5">
        <v>37</v>
      </c>
      <c r="AN38" s="6">
        <v>45162</v>
      </c>
      <c r="AO38" s="5" t="s">
        <v>53</v>
      </c>
      <c r="AP38" s="5" t="s">
        <v>45</v>
      </c>
      <c r="AQ38" s="5" t="s">
        <v>46</v>
      </c>
      <c r="AR38" s="5" t="s">
        <v>47</v>
      </c>
      <c r="AS38" s="7">
        <v>0.41666666666666669</v>
      </c>
      <c r="AT38" s="7">
        <v>0.72916666666666663</v>
      </c>
      <c r="AU38" s="5">
        <v>1.2668000000000001</v>
      </c>
      <c r="AV38" s="5">
        <v>1.2618</v>
      </c>
      <c r="AW38" s="5">
        <f t="shared" si="2"/>
        <v>1.2699</v>
      </c>
      <c r="AX38" s="5">
        <f t="shared" si="3"/>
        <v>1.2618</v>
      </c>
      <c r="AY38" s="5">
        <f>12.33*2.5</f>
        <v>30.824999999999999</v>
      </c>
      <c r="AZ38" s="8">
        <v>-3.08</v>
      </c>
      <c r="BA38" s="5">
        <v>16</v>
      </c>
      <c r="BB38" s="8">
        <v>8.24</v>
      </c>
      <c r="BC38" s="8">
        <v>-2.4700000000000002</v>
      </c>
      <c r="BD38" s="5">
        <v>1</v>
      </c>
      <c r="BE38" s="5" t="s">
        <v>48</v>
      </c>
      <c r="BF38" s="8">
        <v>5</v>
      </c>
      <c r="BG38" s="6">
        <v>45163</v>
      </c>
      <c r="BH38" s="5" t="s">
        <v>52</v>
      </c>
      <c r="BI38" s="5" t="s">
        <v>52</v>
      </c>
      <c r="BJ38" s="8" t="s">
        <v>46</v>
      </c>
      <c r="BK38" s="8" t="s">
        <v>46</v>
      </c>
      <c r="BL38" s="8" t="s">
        <v>46</v>
      </c>
      <c r="BM38" s="8">
        <v>0</v>
      </c>
      <c r="BN38" s="8">
        <v>0</v>
      </c>
      <c r="BO38" s="8">
        <v>0</v>
      </c>
      <c r="BP38" s="10" t="s">
        <v>46</v>
      </c>
    </row>
    <row r="39" spans="1:68" ht="14.5" customHeight="1" x14ac:dyDescent="0.35">
      <c r="A39" s="5">
        <v>38</v>
      </c>
      <c r="B39" s="6">
        <v>45161</v>
      </c>
      <c r="C39" s="5" t="s">
        <v>44</v>
      </c>
      <c r="D39" s="5" t="s">
        <v>45</v>
      </c>
      <c r="E39" s="5" t="s">
        <v>46</v>
      </c>
      <c r="F39" s="5" t="s">
        <v>47</v>
      </c>
      <c r="G39" s="7">
        <v>0.35416666666666669</v>
      </c>
      <c r="H39" s="7">
        <v>0.39583333333333331</v>
      </c>
      <c r="I39" s="5">
        <v>1.2689999999999999</v>
      </c>
      <c r="J39" s="5">
        <v>1.264</v>
      </c>
      <c r="K39" s="8">
        <v>-2.5</v>
      </c>
      <c r="L39" s="8">
        <v>5</v>
      </c>
      <c r="M39" s="5">
        <f t="shared" si="0"/>
        <v>1.2715000000000001</v>
      </c>
      <c r="N39" s="5">
        <f t="shared" si="1"/>
        <v>1.264</v>
      </c>
      <c r="O39" s="5">
        <v>3</v>
      </c>
      <c r="P39" s="8">
        <v>7.58</v>
      </c>
      <c r="Q39" s="8">
        <v>-4.26</v>
      </c>
      <c r="R39" s="5">
        <v>3</v>
      </c>
      <c r="S39" s="5" t="s">
        <v>48</v>
      </c>
      <c r="T39" s="8">
        <v>5</v>
      </c>
      <c r="U39" s="5"/>
      <c r="V39" s="5"/>
      <c r="W39" s="5"/>
      <c r="X39" s="5"/>
      <c r="Y39" s="5"/>
      <c r="Z39" s="5"/>
      <c r="AA39" s="6">
        <v>45162</v>
      </c>
      <c r="AB39" s="5" t="s">
        <v>52</v>
      </c>
      <c r="AC39" s="5" t="s">
        <v>45</v>
      </c>
      <c r="AD39" s="8" t="s">
        <v>46</v>
      </c>
      <c r="AE39" s="8" t="s">
        <v>46</v>
      </c>
      <c r="AF39" s="8" t="s">
        <v>46</v>
      </c>
      <c r="AG39" s="5">
        <v>2</v>
      </c>
      <c r="AH39" s="8">
        <v>0</v>
      </c>
      <c r="AI39" s="8">
        <v>0</v>
      </c>
      <c r="AJ39" s="8">
        <v>0</v>
      </c>
      <c r="AK39" s="10" t="s">
        <v>46</v>
      </c>
      <c r="AL39" s="5"/>
      <c r="AM39" s="5">
        <v>38</v>
      </c>
      <c r="AN39" s="6">
        <v>45161</v>
      </c>
      <c r="AO39" s="5" t="s">
        <v>53</v>
      </c>
      <c r="AP39" s="5" t="s">
        <v>45</v>
      </c>
      <c r="AQ39" s="5" t="s">
        <v>46</v>
      </c>
      <c r="AR39" s="5" t="s">
        <v>47</v>
      </c>
      <c r="AS39" s="7">
        <v>0.35416666666666669</v>
      </c>
      <c r="AT39" s="7">
        <v>0.39583333333333331</v>
      </c>
      <c r="AU39" s="5">
        <v>1.2689999999999999</v>
      </c>
      <c r="AV39" s="5">
        <v>1.264</v>
      </c>
      <c r="AW39" s="5">
        <f t="shared" si="2"/>
        <v>1.2721</v>
      </c>
      <c r="AX39" s="5">
        <f t="shared" si="3"/>
        <v>1.264</v>
      </c>
      <c r="AY39" s="5">
        <f>12.26*2.5</f>
        <v>30.65</v>
      </c>
      <c r="AZ39" s="8">
        <v>-3.06</v>
      </c>
      <c r="BA39" s="5">
        <v>3</v>
      </c>
      <c r="BB39" s="8">
        <v>7.58</v>
      </c>
      <c r="BC39" s="8">
        <v>-4.26</v>
      </c>
      <c r="BD39" s="5">
        <v>3</v>
      </c>
      <c r="BE39" s="5" t="s">
        <v>48</v>
      </c>
      <c r="BF39" s="8">
        <v>5</v>
      </c>
      <c r="BG39" s="6">
        <v>45162</v>
      </c>
      <c r="BH39" s="5" t="s">
        <v>52</v>
      </c>
      <c r="BI39" s="5" t="s">
        <v>45</v>
      </c>
      <c r="BJ39" s="8" t="s">
        <v>46</v>
      </c>
      <c r="BK39" s="8" t="s">
        <v>46</v>
      </c>
      <c r="BL39" s="8" t="s">
        <v>46</v>
      </c>
      <c r="BM39" s="8">
        <v>0</v>
      </c>
      <c r="BN39" s="8">
        <v>0</v>
      </c>
      <c r="BO39" s="8">
        <v>0</v>
      </c>
      <c r="BP39" s="10" t="s">
        <v>46</v>
      </c>
    </row>
    <row r="40" spans="1:68" ht="14.5" customHeight="1" x14ac:dyDescent="0.35">
      <c r="A40" s="5">
        <v>39</v>
      </c>
      <c r="B40" s="6">
        <v>45160</v>
      </c>
      <c r="C40" s="5" t="s">
        <v>44</v>
      </c>
      <c r="D40" s="5" t="s">
        <v>45</v>
      </c>
      <c r="E40" s="5" t="s">
        <v>46</v>
      </c>
      <c r="F40" s="5" t="s">
        <v>67</v>
      </c>
      <c r="G40" s="7">
        <v>4.1666666666666664E-2</v>
      </c>
      <c r="H40" s="7">
        <v>0.52083333333333337</v>
      </c>
      <c r="I40" s="5">
        <v>1.2767000000000002</v>
      </c>
      <c r="J40" s="5">
        <v>1.2742</v>
      </c>
      <c r="K40" s="8">
        <v>-2.5</v>
      </c>
      <c r="L40" s="8">
        <v>5</v>
      </c>
      <c r="M40" s="5">
        <f t="shared" si="0"/>
        <v>1.2742</v>
      </c>
      <c r="N40" s="5">
        <f t="shared" si="1"/>
        <v>1.2817000000000001</v>
      </c>
      <c r="O40" s="5">
        <v>24</v>
      </c>
      <c r="P40" s="8">
        <v>3.29</v>
      </c>
      <c r="Q40" s="8">
        <v>-4.9000000000000004</v>
      </c>
      <c r="R40" s="5">
        <v>7</v>
      </c>
      <c r="S40" s="5" t="s">
        <v>68</v>
      </c>
      <c r="T40" s="8">
        <v>-2.5</v>
      </c>
      <c r="U40" s="5"/>
      <c r="V40" s="5"/>
      <c r="W40" s="5"/>
      <c r="X40" s="5"/>
      <c r="Y40" s="5"/>
      <c r="Z40" s="5"/>
      <c r="AA40" s="6">
        <v>45161</v>
      </c>
      <c r="AB40" s="5" t="s">
        <v>52</v>
      </c>
      <c r="AC40" s="5" t="s">
        <v>52</v>
      </c>
      <c r="AD40" s="8" t="s">
        <v>46</v>
      </c>
      <c r="AE40" s="8" t="s">
        <v>46</v>
      </c>
      <c r="AF40" s="8" t="s">
        <v>46</v>
      </c>
      <c r="AG40" s="5">
        <v>0</v>
      </c>
      <c r="AH40" s="8">
        <v>0</v>
      </c>
      <c r="AI40" s="8">
        <v>0</v>
      </c>
      <c r="AJ40" s="8">
        <v>0</v>
      </c>
      <c r="AK40" s="10" t="s">
        <v>46</v>
      </c>
      <c r="AL40" s="5"/>
      <c r="AM40" s="5">
        <v>39</v>
      </c>
      <c r="AN40" s="6">
        <v>45160</v>
      </c>
      <c r="AO40" s="5" t="s">
        <v>53</v>
      </c>
      <c r="AP40" s="5" t="s">
        <v>45</v>
      </c>
      <c r="AQ40" s="5" t="s">
        <v>46</v>
      </c>
      <c r="AR40" s="5" t="s">
        <v>67</v>
      </c>
      <c r="AS40" s="7">
        <v>4.1666666666666664E-2</v>
      </c>
      <c r="AT40" s="7">
        <v>0.54166666666666663</v>
      </c>
      <c r="AU40" s="5">
        <v>1.2767000000000002</v>
      </c>
      <c r="AV40" s="5">
        <v>1.27363</v>
      </c>
      <c r="AW40" s="5">
        <f t="shared" si="2"/>
        <v>1.2736000000000001</v>
      </c>
      <c r="AX40" s="5">
        <f t="shared" si="3"/>
        <v>1.2817000000000001</v>
      </c>
      <c r="AY40" s="5">
        <f>12.29*2.5</f>
        <v>30.724999999999998</v>
      </c>
      <c r="AZ40" s="8">
        <v>-3.07</v>
      </c>
      <c r="BA40" s="5">
        <v>25</v>
      </c>
      <c r="BB40" s="8">
        <v>3.29</v>
      </c>
      <c r="BC40" s="8">
        <v>-4.9000000000000004</v>
      </c>
      <c r="BD40" s="5">
        <v>7</v>
      </c>
      <c r="BE40" s="5" t="s">
        <v>68</v>
      </c>
      <c r="BF40" s="8">
        <v>-3.07</v>
      </c>
      <c r="BG40" s="6">
        <v>45161</v>
      </c>
      <c r="BH40" s="5" t="s">
        <v>52</v>
      </c>
      <c r="BI40" s="5" t="s">
        <v>52</v>
      </c>
      <c r="BJ40" s="8" t="s">
        <v>46</v>
      </c>
      <c r="BK40" s="8" t="s">
        <v>46</v>
      </c>
      <c r="BL40" s="8" t="s">
        <v>46</v>
      </c>
      <c r="BM40" s="8">
        <v>0</v>
      </c>
      <c r="BN40" s="8">
        <v>0</v>
      </c>
      <c r="BO40" s="8">
        <v>0</v>
      </c>
      <c r="BP40" s="10" t="s">
        <v>46</v>
      </c>
    </row>
    <row r="41" spans="1:68" ht="14.5" customHeight="1" x14ac:dyDescent="0.35">
      <c r="A41" s="5">
        <v>40</v>
      </c>
      <c r="B41" s="6">
        <v>45155</v>
      </c>
      <c r="C41" s="5" t="s">
        <v>44</v>
      </c>
      <c r="D41" s="5" t="s">
        <v>45</v>
      </c>
      <c r="E41" s="5" t="s">
        <v>46</v>
      </c>
      <c r="F41" s="5" t="s">
        <v>67</v>
      </c>
      <c r="G41" s="7">
        <v>0.54166666666666663</v>
      </c>
      <c r="H41" s="7">
        <v>0.58333333333333337</v>
      </c>
      <c r="I41" s="5">
        <v>1.2785</v>
      </c>
      <c r="J41" s="5">
        <v>1.276</v>
      </c>
      <c r="K41" s="8">
        <v>-2.5</v>
      </c>
      <c r="L41" s="8">
        <v>5</v>
      </c>
      <c r="M41" s="5">
        <f t="shared" si="0"/>
        <v>1.276</v>
      </c>
      <c r="N41" s="5">
        <f t="shared" si="1"/>
        <v>1.2835000000000001</v>
      </c>
      <c r="O41" s="5">
        <v>3</v>
      </c>
      <c r="P41" s="8">
        <v>0.19</v>
      </c>
      <c r="Q41" s="8">
        <v>-5.84</v>
      </c>
      <c r="R41" s="5">
        <v>1</v>
      </c>
      <c r="S41" s="5" t="s">
        <v>68</v>
      </c>
      <c r="T41" s="8">
        <v>-2.5</v>
      </c>
      <c r="U41" s="5"/>
      <c r="V41" s="5"/>
      <c r="W41" s="5"/>
      <c r="X41" s="5"/>
      <c r="Y41" s="5"/>
      <c r="Z41" s="5"/>
      <c r="AA41" s="6">
        <v>45156</v>
      </c>
      <c r="AB41" s="5" t="s">
        <v>52</v>
      </c>
      <c r="AC41" s="5" t="s">
        <v>52</v>
      </c>
      <c r="AD41" s="8" t="s">
        <v>46</v>
      </c>
      <c r="AE41" s="8" t="s">
        <v>46</v>
      </c>
      <c r="AF41" s="8" t="s">
        <v>46</v>
      </c>
      <c r="AG41" s="5">
        <v>0</v>
      </c>
      <c r="AH41" s="8">
        <v>0</v>
      </c>
      <c r="AI41" s="8">
        <v>0</v>
      </c>
      <c r="AJ41" s="8">
        <v>0</v>
      </c>
      <c r="AK41" s="10" t="s">
        <v>46</v>
      </c>
      <c r="AL41" s="5"/>
      <c r="AM41" s="5">
        <v>40</v>
      </c>
      <c r="AN41" s="6">
        <v>45155</v>
      </c>
      <c r="AO41" s="5" t="s">
        <v>53</v>
      </c>
      <c r="AP41" s="5" t="s">
        <v>45</v>
      </c>
      <c r="AQ41" s="5" t="s">
        <v>46</v>
      </c>
      <c r="AR41" s="5" t="s">
        <v>67</v>
      </c>
      <c r="AS41" s="7">
        <v>0.54166666666666663</v>
      </c>
      <c r="AT41" s="7">
        <v>0.58333333333333337</v>
      </c>
      <c r="AU41" s="5">
        <v>1.2785</v>
      </c>
      <c r="AV41" s="5">
        <v>1.27542</v>
      </c>
      <c r="AW41" s="5">
        <f t="shared" si="2"/>
        <v>1.2753999999999999</v>
      </c>
      <c r="AX41" s="5">
        <f t="shared" si="3"/>
        <v>1.2835000000000001</v>
      </c>
      <c r="AY41" s="5">
        <f>12.34*2.5</f>
        <v>30.85</v>
      </c>
      <c r="AZ41" s="8">
        <v>-3.08</v>
      </c>
      <c r="BA41" s="5">
        <v>3</v>
      </c>
      <c r="BB41" s="8">
        <v>0.19</v>
      </c>
      <c r="BC41" s="8">
        <v>-5.84</v>
      </c>
      <c r="BD41" s="5">
        <v>1</v>
      </c>
      <c r="BE41" s="5" t="s">
        <v>68</v>
      </c>
      <c r="BF41" s="8">
        <v>-3.08</v>
      </c>
      <c r="BG41" s="6">
        <v>45156</v>
      </c>
      <c r="BH41" s="5" t="s">
        <v>52</v>
      </c>
      <c r="BI41" s="5" t="s">
        <v>52</v>
      </c>
      <c r="BJ41" s="8" t="s">
        <v>46</v>
      </c>
      <c r="BK41" s="8" t="s">
        <v>46</v>
      </c>
      <c r="BL41" s="8" t="s">
        <v>46</v>
      </c>
      <c r="BM41" s="8">
        <v>0</v>
      </c>
      <c r="BN41" s="8">
        <v>0</v>
      </c>
      <c r="BO41" s="8">
        <v>0</v>
      </c>
      <c r="BP41" s="10" t="s">
        <v>46</v>
      </c>
    </row>
    <row r="42" spans="1:68" ht="14.5" customHeight="1" x14ac:dyDescent="0.35">
      <c r="A42" s="5">
        <v>41</v>
      </c>
      <c r="B42" s="6">
        <v>45152</v>
      </c>
      <c r="C42" s="5" t="s">
        <v>44</v>
      </c>
      <c r="D42" s="5" t="s">
        <v>45</v>
      </c>
      <c r="E42" s="5" t="s">
        <v>46</v>
      </c>
      <c r="F42" s="5" t="s">
        <v>47</v>
      </c>
      <c r="G42" s="7">
        <v>8.3333333333333329E-2</v>
      </c>
      <c r="H42" s="7">
        <v>0.3125</v>
      </c>
      <c r="I42" s="5">
        <v>1.2668999999999999</v>
      </c>
      <c r="J42" s="5">
        <v>1.2694000000000001</v>
      </c>
      <c r="K42" s="8">
        <v>-2.5</v>
      </c>
      <c r="L42" s="8">
        <v>5</v>
      </c>
      <c r="M42" s="5">
        <f t="shared" si="0"/>
        <v>1.2694000000000001</v>
      </c>
      <c r="N42" s="5">
        <f t="shared" si="1"/>
        <v>1.2619</v>
      </c>
      <c r="O42" s="5">
        <v>12</v>
      </c>
      <c r="P42" s="8">
        <v>5.3</v>
      </c>
      <c r="Q42" s="8">
        <v>-4.53</v>
      </c>
      <c r="R42" s="5">
        <v>6</v>
      </c>
      <c r="S42" s="5" t="s">
        <v>68</v>
      </c>
      <c r="T42" s="8">
        <v>-2.5</v>
      </c>
      <c r="U42" s="5"/>
      <c r="V42" s="5"/>
      <c r="W42" s="5"/>
      <c r="X42" s="5"/>
      <c r="Y42" s="5"/>
      <c r="Z42" s="5"/>
      <c r="AA42" s="6">
        <v>45153</v>
      </c>
      <c r="AB42" s="5" t="s">
        <v>52</v>
      </c>
      <c r="AC42" s="5" t="s">
        <v>52</v>
      </c>
      <c r="AD42" s="8" t="s">
        <v>46</v>
      </c>
      <c r="AE42" s="8" t="s">
        <v>46</v>
      </c>
      <c r="AF42" s="8" t="s">
        <v>46</v>
      </c>
      <c r="AG42" s="5">
        <v>0</v>
      </c>
      <c r="AH42" s="8">
        <v>0</v>
      </c>
      <c r="AI42" s="8">
        <v>0</v>
      </c>
      <c r="AJ42" s="8">
        <v>0</v>
      </c>
      <c r="AK42" s="10" t="s">
        <v>46</v>
      </c>
      <c r="AL42" s="5"/>
      <c r="AM42" s="5">
        <v>41</v>
      </c>
      <c r="AN42" s="6">
        <v>45152</v>
      </c>
      <c r="AO42" s="5" t="s">
        <v>53</v>
      </c>
      <c r="AP42" s="5" t="s">
        <v>45</v>
      </c>
      <c r="AQ42" s="5" t="s">
        <v>46</v>
      </c>
      <c r="AR42" s="5" t="s">
        <v>47</v>
      </c>
      <c r="AS42" s="7">
        <v>8.3333333333333329E-2</v>
      </c>
      <c r="AT42" s="7">
        <v>0.3125</v>
      </c>
      <c r="AU42" s="5">
        <v>1.2668999999999999</v>
      </c>
      <c r="AV42" s="5">
        <v>1.27</v>
      </c>
      <c r="AW42" s="5">
        <f t="shared" si="2"/>
        <v>1.27</v>
      </c>
      <c r="AX42" s="5">
        <f t="shared" si="3"/>
        <v>1.2619</v>
      </c>
      <c r="AY42" s="5">
        <f>12.41*2.5</f>
        <v>31.024999999999999</v>
      </c>
      <c r="AZ42" s="8">
        <v>-3.1</v>
      </c>
      <c r="BA42" s="5">
        <v>12</v>
      </c>
      <c r="BB42" s="8">
        <v>5.3</v>
      </c>
      <c r="BC42" s="8">
        <v>-4.53</v>
      </c>
      <c r="BD42" s="5">
        <v>6</v>
      </c>
      <c r="BE42" s="5" t="s">
        <v>68</v>
      </c>
      <c r="BF42" s="8">
        <v>-3.1</v>
      </c>
      <c r="BG42" s="6">
        <v>45153</v>
      </c>
      <c r="BH42" s="5" t="s">
        <v>52</v>
      </c>
      <c r="BI42" s="5" t="s">
        <v>52</v>
      </c>
      <c r="BJ42" s="8" t="s">
        <v>46</v>
      </c>
      <c r="BK42" s="8" t="s">
        <v>46</v>
      </c>
      <c r="BL42" s="8" t="s">
        <v>46</v>
      </c>
      <c r="BM42" s="8">
        <v>0</v>
      </c>
      <c r="BN42" s="8">
        <v>0</v>
      </c>
      <c r="BO42" s="8">
        <v>0</v>
      </c>
      <c r="BP42" s="10" t="s">
        <v>46</v>
      </c>
    </row>
    <row r="43" spans="1:68" ht="14.5" customHeight="1" x14ac:dyDescent="0.35">
      <c r="A43" s="5">
        <v>42</v>
      </c>
      <c r="B43" s="6">
        <v>45152</v>
      </c>
      <c r="C43" s="5" t="s">
        <v>44</v>
      </c>
      <c r="D43" s="5" t="s">
        <v>45</v>
      </c>
      <c r="E43" s="5" t="s">
        <v>46</v>
      </c>
      <c r="F43" s="5" t="s">
        <v>47</v>
      </c>
      <c r="G43" s="7">
        <v>0.5</v>
      </c>
      <c r="H43" s="7">
        <v>0.5625</v>
      </c>
      <c r="I43" s="5">
        <v>1.2668999999999999</v>
      </c>
      <c r="J43" s="5">
        <v>1.2619</v>
      </c>
      <c r="K43" s="8">
        <v>-2.5</v>
      </c>
      <c r="L43" s="8">
        <v>5</v>
      </c>
      <c r="M43" s="5">
        <f t="shared" si="0"/>
        <v>1.2694000000000001</v>
      </c>
      <c r="N43" s="5">
        <f t="shared" si="1"/>
        <v>1.2619</v>
      </c>
      <c r="O43" s="5">
        <v>4</v>
      </c>
      <c r="P43" s="8">
        <v>5.3</v>
      </c>
      <c r="Q43" s="8">
        <v>-4.53</v>
      </c>
      <c r="R43" s="5">
        <v>6</v>
      </c>
      <c r="S43" s="5" t="s">
        <v>48</v>
      </c>
      <c r="T43" s="8">
        <v>5</v>
      </c>
      <c r="U43" s="5"/>
      <c r="V43" s="5"/>
      <c r="W43" s="5"/>
      <c r="X43" s="5"/>
      <c r="Y43" s="5"/>
      <c r="Z43" s="5"/>
      <c r="AA43" s="6">
        <v>45153</v>
      </c>
      <c r="AB43" s="5" t="s">
        <v>52</v>
      </c>
      <c r="AC43" s="5" t="s">
        <v>52</v>
      </c>
      <c r="AD43" s="8" t="s">
        <v>46</v>
      </c>
      <c r="AE43" s="8" t="s">
        <v>46</v>
      </c>
      <c r="AF43" s="8" t="s">
        <v>46</v>
      </c>
      <c r="AG43" s="5">
        <v>0</v>
      </c>
      <c r="AH43" s="8">
        <v>0</v>
      </c>
      <c r="AI43" s="8">
        <v>0</v>
      </c>
      <c r="AJ43" s="8">
        <v>0</v>
      </c>
      <c r="AK43" s="10" t="s">
        <v>46</v>
      </c>
      <c r="AL43" s="5"/>
      <c r="AM43" s="5">
        <v>42</v>
      </c>
      <c r="AN43" s="6">
        <v>45152</v>
      </c>
      <c r="AO43" s="5" t="s">
        <v>53</v>
      </c>
      <c r="AP43" s="5" t="s">
        <v>45</v>
      </c>
      <c r="AQ43" s="5" t="s">
        <v>46</v>
      </c>
      <c r="AR43" s="5" t="s">
        <v>47</v>
      </c>
      <c r="AS43" s="7">
        <v>0.5</v>
      </c>
      <c r="AT43" s="7">
        <v>0.5625</v>
      </c>
      <c r="AU43" s="5">
        <v>1.2668999999999999</v>
      </c>
      <c r="AV43" s="5">
        <v>1.2619</v>
      </c>
      <c r="AW43" s="5">
        <f t="shared" si="2"/>
        <v>1.27</v>
      </c>
      <c r="AX43" s="5">
        <f t="shared" si="3"/>
        <v>1.2619</v>
      </c>
      <c r="AY43" s="5">
        <f>12.41*2.5</f>
        <v>31.024999999999999</v>
      </c>
      <c r="AZ43" s="8">
        <v>-3.1</v>
      </c>
      <c r="BA43" s="5">
        <v>4</v>
      </c>
      <c r="BB43" s="8">
        <v>5.3</v>
      </c>
      <c r="BC43" s="8">
        <v>-4.53</v>
      </c>
      <c r="BD43" s="5">
        <v>6</v>
      </c>
      <c r="BE43" s="5" t="s">
        <v>48</v>
      </c>
      <c r="BF43" s="8">
        <v>5</v>
      </c>
      <c r="BG43" s="6">
        <v>45153</v>
      </c>
      <c r="BH43" s="5" t="s">
        <v>52</v>
      </c>
      <c r="BI43" s="5" t="s">
        <v>52</v>
      </c>
      <c r="BJ43" s="8" t="s">
        <v>46</v>
      </c>
      <c r="BK43" s="8" t="s">
        <v>46</v>
      </c>
      <c r="BL43" s="8" t="s">
        <v>46</v>
      </c>
      <c r="BM43" s="8">
        <v>0</v>
      </c>
      <c r="BN43" s="8">
        <v>0</v>
      </c>
      <c r="BO43" s="8">
        <v>0</v>
      </c>
      <c r="BP43" s="10" t="s">
        <v>46</v>
      </c>
    </row>
    <row r="44" spans="1:68" ht="14.5" customHeight="1" x14ac:dyDescent="0.35">
      <c r="A44" s="5">
        <v>43</v>
      </c>
      <c r="B44" s="6">
        <v>45148</v>
      </c>
      <c r="C44" s="5" t="s">
        <v>44</v>
      </c>
      <c r="D44" s="5" t="s">
        <v>45</v>
      </c>
      <c r="E44" s="5" t="s">
        <v>46</v>
      </c>
      <c r="F44" s="5" t="s">
        <v>67</v>
      </c>
      <c r="G44" s="7">
        <v>0.5</v>
      </c>
      <c r="H44" s="7">
        <v>0.52083333333333337</v>
      </c>
      <c r="I44" s="5">
        <v>1.2787999999999999</v>
      </c>
      <c r="J44" s="5">
        <v>1.2763</v>
      </c>
      <c r="K44" s="8">
        <v>-2.5</v>
      </c>
      <c r="L44" s="8">
        <v>5</v>
      </c>
      <c r="M44" s="5">
        <f t="shared" si="0"/>
        <v>1.2763</v>
      </c>
      <c r="N44" s="5">
        <f t="shared" si="1"/>
        <v>1.2838000000000001</v>
      </c>
      <c r="O44" s="5">
        <v>1</v>
      </c>
      <c r="P44" s="8">
        <v>3</v>
      </c>
      <c r="Q44" s="8">
        <v>-12.48</v>
      </c>
      <c r="R44" s="5">
        <v>1</v>
      </c>
      <c r="S44" s="5" t="s">
        <v>68</v>
      </c>
      <c r="T44" s="8">
        <v>-2.5</v>
      </c>
      <c r="U44" s="5"/>
      <c r="V44" s="5"/>
      <c r="W44" s="5"/>
      <c r="X44" s="5"/>
      <c r="Y44" s="5"/>
      <c r="Z44" s="5"/>
      <c r="AA44" s="6">
        <v>45149</v>
      </c>
      <c r="AB44" s="5" t="s">
        <v>52</v>
      </c>
      <c r="AC44" s="5" t="s">
        <v>52</v>
      </c>
      <c r="AD44" s="8" t="s">
        <v>46</v>
      </c>
      <c r="AE44" s="8" t="s">
        <v>46</v>
      </c>
      <c r="AF44" s="8" t="s">
        <v>46</v>
      </c>
      <c r="AG44" s="5">
        <v>0</v>
      </c>
      <c r="AH44" s="8">
        <v>0</v>
      </c>
      <c r="AI44" s="8">
        <v>0</v>
      </c>
      <c r="AJ44" s="8">
        <v>0</v>
      </c>
      <c r="AK44" s="10" t="s">
        <v>46</v>
      </c>
      <c r="AL44" s="5"/>
      <c r="AM44" s="5">
        <v>43</v>
      </c>
      <c r="AN44" s="6">
        <v>45148</v>
      </c>
      <c r="AO44" s="5" t="s">
        <v>53</v>
      </c>
      <c r="AP44" s="5" t="s">
        <v>45</v>
      </c>
      <c r="AQ44" s="5" t="s">
        <v>46</v>
      </c>
      <c r="AR44" s="5" t="s">
        <v>67</v>
      </c>
      <c r="AS44" s="7">
        <v>0.5</v>
      </c>
      <c r="AT44" s="7">
        <v>0.52083333333333337</v>
      </c>
      <c r="AU44" s="5">
        <v>1.2787999999999999</v>
      </c>
      <c r="AV44" s="5">
        <v>1.2757099999999999</v>
      </c>
      <c r="AW44" s="5">
        <f t="shared" si="2"/>
        <v>1.2757000000000001</v>
      </c>
      <c r="AX44" s="5">
        <f t="shared" si="3"/>
        <v>1.2838000000000001</v>
      </c>
      <c r="AY44" s="5">
        <f>12.38*2.5</f>
        <v>30.950000000000003</v>
      </c>
      <c r="AZ44" s="8">
        <v>-3.09</v>
      </c>
      <c r="BA44" s="5">
        <v>1</v>
      </c>
      <c r="BB44" s="8">
        <v>3</v>
      </c>
      <c r="BC44" s="8">
        <v>-12.48</v>
      </c>
      <c r="BD44" s="5">
        <v>1</v>
      </c>
      <c r="BE44" s="5" t="s">
        <v>68</v>
      </c>
      <c r="BF44" s="8">
        <v>-2.5</v>
      </c>
      <c r="BG44" s="6">
        <v>45149</v>
      </c>
      <c r="BH44" s="5" t="s">
        <v>52</v>
      </c>
      <c r="BI44" s="5" t="s">
        <v>52</v>
      </c>
      <c r="BJ44" s="8" t="s">
        <v>46</v>
      </c>
      <c r="BK44" s="8" t="s">
        <v>46</v>
      </c>
      <c r="BL44" s="8" t="s">
        <v>46</v>
      </c>
      <c r="BM44" s="8">
        <v>0</v>
      </c>
      <c r="BN44" s="8">
        <v>0</v>
      </c>
      <c r="BO44" s="8">
        <v>0</v>
      </c>
      <c r="BP44" s="10" t="s">
        <v>46</v>
      </c>
    </row>
    <row r="45" spans="1:68" ht="14.5" customHeight="1" x14ac:dyDescent="0.35">
      <c r="A45" s="5">
        <v>44</v>
      </c>
      <c r="B45" s="6">
        <v>45140</v>
      </c>
      <c r="C45" s="5" t="s">
        <v>44</v>
      </c>
      <c r="D45" s="5" t="s">
        <v>45</v>
      </c>
      <c r="E45" s="5" t="s">
        <v>46</v>
      </c>
      <c r="F45" s="5" t="s">
        <v>47</v>
      </c>
      <c r="G45" s="7">
        <v>0.5</v>
      </c>
      <c r="H45" s="7">
        <v>0.58333333333333337</v>
      </c>
      <c r="I45" s="5">
        <v>1.2745</v>
      </c>
      <c r="J45" s="5">
        <v>1.2695000000000001</v>
      </c>
      <c r="K45" s="8">
        <v>-2.5</v>
      </c>
      <c r="L45" s="8">
        <v>5</v>
      </c>
      <c r="M45" s="5">
        <f t="shared" si="0"/>
        <v>1.2770000000000001</v>
      </c>
      <c r="N45" s="5">
        <f t="shared" si="1"/>
        <v>1.2695000000000001</v>
      </c>
      <c r="O45" s="5">
        <v>5</v>
      </c>
      <c r="P45" s="8">
        <v>6.51</v>
      </c>
      <c r="Q45" s="8">
        <v>-0.25</v>
      </c>
      <c r="R45" s="5">
        <v>1</v>
      </c>
      <c r="S45" s="5" t="s">
        <v>48</v>
      </c>
      <c r="T45" s="8">
        <v>5</v>
      </c>
      <c r="U45" s="5"/>
      <c r="V45" s="5"/>
      <c r="W45" s="5"/>
      <c r="X45" s="5"/>
      <c r="Y45" s="5"/>
      <c r="Z45" s="5"/>
      <c r="AA45" s="6">
        <v>45141</v>
      </c>
      <c r="AB45" s="5" t="s">
        <v>52</v>
      </c>
      <c r="AC45" s="5" t="s">
        <v>45</v>
      </c>
      <c r="AD45" s="8" t="s">
        <v>46</v>
      </c>
      <c r="AE45" s="8" t="s">
        <v>46</v>
      </c>
      <c r="AF45" s="8" t="s">
        <v>46</v>
      </c>
      <c r="AG45" s="5">
        <v>0</v>
      </c>
      <c r="AH45" s="8">
        <v>0</v>
      </c>
      <c r="AI45" s="8">
        <v>0</v>
      </c>
      <c r="AJ45" s="8">
        <v>0</v>
      </c>
      <c r="AK45" s="10" t="s">
        <v>46</v>
      </c>
      <c r="AL45" s="5"/>
      <c r="AM45" s="5">
        <v>44</v>
      </c>
      <c r="AN45" s="6">
        <v>45140</v>
      </c>
      <c r="AO45" s="5" t="s">
        <v>53</v>
      </c>
      <c r="AP45" s="5" t="s">
        <v>45</v>
      </c>
      <c r="AQ45" s="5" t="s">
        <v>46</v>
      </c>
      <c r="AR45" s="5" t="s">
        <v>47</v>
      </c>
      <c r="AS45" s="7">
        <v>0.5</v>
      </c>
      <c r="AT45" s="7">
        <v>0.58333333333333337</v>
      </c>
      <c r="AU45" s="5">
        <v>1.2745</v>
      </c>
      <c r="AV45" s="5">
        <v>1.2695000000000001</v>
      </c>
      <c r="AW45" s="5">
        <f t="shared" si="2"/>
        <v>1.2776000000000001</v>
      </c>
      <c r="AX45" s="5">
        <f t="shared" si="3"/>
        <v>1.2695000000000001</v>
      </c>
      <c r="AY45" s="5">
        <f>12.37*2.5</f>
        <v>30.924999999999997</v>
      </c>
      <c r="AZ45" s="8">
        <v>-3.09</v>
      </c>
      <c r="BA45" s="5">
        <v>5</v>
      </c>
      <c r="BB45" s="8">
        <v>6.51</v>
      </c>
      <c r="BC45" s="8">
        <v>-0.25</v>
      </c>
      <c r="BD45" s="5">
        <v>1</v>
      </c>
      <c r="BE45" s="5" t="s">
        <v>48</v>
      </c>
      <c r="BF45" s="8">
        <v>5</v>
      </c>
      <c r="BG45" s="6">
        <v>45141</v>
      </c>
      <c r="BH45" s="5" t="s">
        <v>52</v>
      </c>
      <c r="BI45" s="5" t="s">
        <v>45</v>
      </c>
      <c r="BJ45" s="8" t="s">
        <v>46</v>
      </c>
      <c r="BK45" s="8" t="s">
        <v>46</v>
      </c>
      <c r="BL45" s="8" t="s">
        <v>46</v>
      </c>
      <c r="BM45" s="8">
        <v>0</v>
      </c>
      <c r="BN45" s="8">
        <v>0</v>
      </c>
      <c r="BO45" s="8">
        <v>0</v>
      </c>
      <c r="BP45" s="10" t="s">
        <v>46</v>
      </c>
    </row>
    <row r="46" spans="1:68" ht="14.5" customHeight="1" x14ac:dyDescent="0.35">
      <c r="A46" s="5">
        <v>45</v>
      </c>
      <c r="B46" s="6">
        <v>45139</v>
      </c>
      <c r="C46" s="5" t="s">
        <v>44</v>
      </c>
      <c r="D46" s="5" t="s">
        <v>45</v>
      </c>
      <c r="E46" s="5" t="s">
        <v>46</v>
      </c>
      <c r="F46" s="5" t="s">
        <v>47</v>
      </c>
      <c r="G46" s="7">
        <v>0.5</v>
      </c>
      <c r="H46" s="7">
        <v>0.91666666666666663</v>
      </c>
      <c r="I46" s="5">
        <v>1.2771999999999999</v>
      </c>
      <c r="J46" s="5">
        <v>1.2797000000000001</v>
      </c>
      <c r="K46" s="8">
        <v>-2.5</v>
      </c>
      <c r="L46" s="8">
        <v>5</v>
      </c>
      <c r="M46" s="5">
        <f t="shared" si="0"/>
        <v>1.2797000000000001</v>
      </c>
      <c r="N46" s="5">
        <f t="shared" si="1"/>
        <v>1.2722</v>
      </c>
      <c r="O46" s="5">
        <v>21</v>
      </c>
      <c r="P46" s="8">
        <v>3.13</v>
      </c>
      <c r="Q46" s="8">
        <v>-3.16</v>
      </c>
      <c r="R46" s="5">
        <v>8</v>
      </c>
      <c r="S46" s="5" t="s">
        <v>68</v>
      </c>
      <c r="T46" s="8">
        <v>-2.5</v>
      </c>
      <c r="U46" s="5"/>
      <c r="V46" s="5"/>
      <c r="W46" s="5"/>
      <c r="X46" s="5"/>
      <c r="Y46" s="5"/>
      <c r="Z46" s="5"/>
      <c r="AA46" s="6">
        <v>45140</v>
      </c>
      <c r="AB46" s="5" t="s">
        <v>52</v>
      </c>
      <c r="AC46" s="5" t="s">
        <v>45</v>
      </c>
      <c r="AD46" s="8" t="s">
        <v>46</v>
      </c>
      <c r="AE46" s="8" t="s">
        <v>46</v>
      </c>
      <c r="AF46" s="5" t="s">
        <v>45</v>
      </c>
      <c r="AG46" s="5">
        <v>14</v>
      </c>
      <c r="AH46" s="8">
        <v>0</v>
      </c>
      <c r="AI46" s="8">
        <v>0</v>
      </c>
      <c r="AJ46" s="8">
        <v>0</v>
      </c>
      <c r="AK46" s="10" t="s">
        <v>46</v>
      </c>
      <c r="AL46" s="5"/>
      <c r="AM46" s="5">
        <v>45</v>
      </c>
      <c r="AN46" s="6">
        <v>45139</v>
      </c>
      <c r="AO46" s="5" t="s">
        <v>53</v>
      </c>
      <c r="AP46" s="5" t="s">
        <v>45</v>
      </c>
      <c r="AQ46" s="5" t="s">
        <v>46</v>
      </c>
      <c r="AR46" s="5" t="s">
        <v>47</v>
      </c>
      <c r="AS46" s="7">
        <v>0.5</v>
      </c>
      <c r="AT46" s="7">
        <v>0.91666666666666663</v>
      </c>
      <c r="AU46" s="5">
        <v>1.2771999999999999</v>
      </c>
      <c r="AV46" s="5">
        <v>1.28024</v>
      </c>
      <c r="AW46" s="5">
        <f t="shared" si="2"/>
        <v>1.2802</v>
      </c>
      <c r="AX46" s="5">
        <f t="shared" si="3"/>
        <v>1.2722</v>
      </c>
      <c r="AY46" s="5">
        <f>12.17*2.5</f>
        <v>30.425000000000001</v>
      </c>
      <c r="AZ46" s="8">
        <v>-3.04</v>
      </c>
      <c r="BA46" s="5">
        <v>21</v>
      </c>
      <c r="BB46" s="8">
        <v>3.13</v>
      </c>
      <c r="BC46" s="8">
        <v>-3.16</v>
      </c>
      <c r="BD46" s="5">
        <v>8</v>
      </c>
      <c r="BE46" s="5" t="s">
        <v>68</v>
      </c>
      <c r="BF46" s="8">
        <v>-3.04</v>
      </c>
      <c r="BG46" s="6">
        <v>45140</v>
      </c>
      <c r="BH46" s="5" t="s">
        <v>52</v>
      </c>
      <c r="BI46" s="5" t="s">
        <v>45</v>
      </c>
      <c r="BJ46" s="8" t="s">
        <v>46</v>
      </c>
      <c r="BK46" s="8" t="s">
        <v>46</v>
      </c>
      <c r="BL46" s="5" t="s">
        <v>45</v>
      </c>
      <c r="BM46" s="8">
        <v>0</v>
      </c>
      <c r="BN46" s="8">
        <v>0</v>
      </c>
      <c r="BO46" s="8">
        <v>0</v>
      </c>
      <c r="BP46" s="10" t="s">
        <v>46</v>
      </c>
    </row>
    <row r="47" spans="1:68" ht="14.5" customHeight="1" x14ac:dyDescent="0.35">
      <c r="A47" s="5">
        <v>46</v>
      </c>
      <c r="B47" s="6">
        <v>45135</v>
      </c>
      <c r="C47" s="5" t="s">
        <v>44</v>
      </c>
      <c r="D47" s="5" t="s">
        <v>45</v>
      </c>
      <c r="E47" s="5" t="s">
        <v>46</v>
      </c>
      <c r="F47" s="5" t="s">
        <v>47</v>
      </c>
      <c r="G47" s="7">
        <v>0.16666666666666666</v>
      </c>
      <c r="H47" s="7">
        <v>0.35416666666666669</v>
      </c>
      <c r="I47" s="5">
        <v>1.2785</v>
      </c>
      <c r="J47" s="5">
        <v>1.2810000000000001</v>
      </c>
      <c r="K47" s="8">
        <v>-2.5</v>
      </c>
      <c r="L47" s="8">
        <v>5</v>
      </c>
      <c r="M47" s="5">
        <f t="shared" si="0"/>
        <v>1.2810000000000001</v>
      </c>
      <c r="N47" s="5">
        <f t="shared" si="1"/>
        <v>1.2735000000000001</v>
      </c>
      <c r="O47" s="5">
        <v>10</v>
      </c>
      <c r="P47" s="8">
        <v>2.23</v>
      </c>
      <c r="Q47" s="8">
        <v>-10.17</v>
      </c>
      <c r="R47" s="5">
        <v>6</v>
      </c>
      <c r="S47" s="5" t="s">
        <v>68</v>
      </c>
      <c r="T47" s="8">
        <v>-2.5</v>
      </c>
      <c r="U47" s="5"/>
      <c r="V47" s="5"/>
      <c r="W47" s="5"/>
      <c r="X47" s="5"/>
      <c r="Y47" s="5"/>
      <c r="Z47" s="5"/>
      <c r="AA47" s="6">
        <v>45138</v>
      </c>
      <c r="AB47" s="5" t="s">
        <v>52</v>
      </c>
      <c r="AC47" s="5" t="s">
        <v>52</v>
      </c>
      <c r="AD47" s="8" t="s">
        <v>46</v>
      </c>
      <c r="AE47" s="8" t="s">
        <v>46</v>
      </c>
      <c r="AF47" s="8" t="s">
        <v>46</v>
      </c>
      <c r="AG47" s="5">
        <v>0</v>
      </c>
      <c r="AH47" s="8">
        <v>0</v>
      </c>
      <c r="AI47" s="8">
        <v>0</v>
      </c>
      <c r="AJ47" s="8">
        <v>0</v>
      </c>
      <c r="AK47" s="10" t="s">
        <v>46</v>
      </c>
      <c r="AL47" s="5"/>
      <c r="AM47" s="5">
        <v>46</v>
      </c>
      <c r="AN47" s="6">
        <v>45135</v>
      </c>
      <c r="AO47" s="5" t="s">
        <v>53</v>
      </c>
      <c r="AP47" s="5" t="s">
        <v>45</v>
      </c>
      <c r="AQ47" s="5" t="s">
        <v>46</v>
      </c>
      <c r="AR47" s="5" t="s">
        <v>47</v>
      </c>
      <c r="AS47" s="7">
        <v>0.16666666666666666</v>
      </c>
      <c r="AT47" s="7">
        <v>0.35416666666666669</v>
      </c>
      <c r="AU47" s="5">
        <v>1.2785</v>
      </c>
      <c r="AV47" s="5">
        <v>1.2815099999999999</v>
      </c>
      <c r="AW47" s="5">
        <f t="shared" si="2"/>
        <v>1.2814999999999999</v>
      </c>
      <c r="AX47" s="5">
        <f t="shared" si="3"/>
        <v>1.2735000000000001</v>
      </c>
      <c r="AY47" s="5">
        <f>12.04*2.5</f>
        <v>30.099999999999998</v>
      </c>
      <c r="AZ47" s="8">
        <v>-3.01</v>
      </c>
      <c r="BA47" s="5">
        <v>10</v>
      </c>
      <c r="BB47" s="8">
        <v>2.23</v>
      </c>
      <c r="BC47" s="8">
        <v>-10.17</v>
      </c>
      <c r="BD47" s="5">
        <v>6</v>
      </c>
      <c r="BE47" s="5" t="s">
        <v>68</v>
      </c>
      <c r="BF47" s="8">
        <v>-3.01</v>
      </c>
      <c r="BG47" s="6">
        <v>45138</v>
      </c>
      <c r="BH47" s="5" t="s">
        <v>52</v>
      </c>
      <c r="BI47" s="5" t="s">
        <v>52</v>
      </c>
      <c r="BJ47" s="8" t="s">
        <v>46</v>
      </c>
      <c r="BK47" s="8" t="s">
        <v>46</v>
      </c>
      <c r="BL47" s="8" t="s">
        <v>46</v>
      </c>
      <c r="BM47" s="8">
        <v>0</v>
      </c>
      <c r="BN47" s="8">
        <v>0</v>
      </c>
      <c r="BO47" s="8">
        <v>0</v>
      </c>
      <c r="BP47" s="10" t="s">
        <v>46</v>
      </c>
    </row>
    <row r="48" spans="1:68" ht="14.5" customHeight="1" x14ac:dyDescent="0.35">
      <c r="A48" s="5">
        <v>47</v>
      </c>
      <c r="B48" s="6">
        <v>45134</v>
      </c>
      <c r="C48" s="5" t="s">
        <v>44</v>
      </c>
      <c r="D48" s="5" t="s">
        <v>45</v>
      </c>
      <c r="E48" s="5" t="s">
        <v>46</v>
      </c>
      <c r="F48" s="5" t="s">
        <v>67</v>
      </c>
      <c r="G48" s="7">
        <v>8.3333333333333329E-2</v>
      </c>
      <c r="H48" s="7">
        <v>0.5</v>
      </c>
      <c r="I48" s="5">
        <v>1.2961</v>
      </c>
      <c r="J48" s="5">
        <v>1.2936000000000001</v>
      </c>
      <c r="K48" s="8">
        <v>-2.5</v>
      </c>
      <c r="L48" s="8">
        <v>5</v>
      </c>
      <c r="M48" s="5">
        <f t="shared" si="0"/>
        <v>1.2936000000000001</v>
      </c>
      <c r="N48" s="5">
        <f t="shared" si="1"/>
        <v>1.3010999999999999</v>
      </c>
      <c r="O48" s="5">
        <v>21</v>
      </c>
      <c r="P48" s="8">
        <v>3.44</v>
      </c>
      <c r="Q48" s="8">
        <v>-17.93</v>
      </c>
      <c r="R48" s="5">
        <v>12</v>
      </c>
      <c r="S48" s="5" t="s">
        <v>68</v>
      </c>
      <c r="T48" s="8">
        <v>-2.5</v>
      </c>
      <c r="U48" s="5"/>
      <c r="V48" s="5"/>
      <c r="W48" s="5"/>
      <c r="X48" s="5"/>
      <c r="Y48" s="5"/>
      <c r="Z48" s="5"/>
      <c r="AA48" s="6">
        <v>45135</v>
      </c>
      <c r="AB48" s="5" t="s">
        <v>52</v>
      </c>
      <c r="AC48" s="5" t="s">
        <v>52</v>
      </c>
      <c r="AD48" s="8" t="s">
        <v>46</v>
      </c>
      <c r="AE48" s="8" t="s">
        <v>46</v>
      </c>
      <c r="AF48" s="8" t="s">
        <v>46</v>
      </c>
      <c r="AG48" s="5">
        <v>0</v>
      </c>
      <c r="AH48" s="8">
        <v>0</v>
      </c>
      <c r="AI48" s="8">
        <v>0</v>
      </c>
      <c r="AJ48" s="8">
        <v>0</v>
      </c>
      <c r="AK48" s="10" t="s">
        <v>46</v>
      </c>
      <c r="AL48" s="5"/>
      <c r="AM48" s="5">
        <v>47</v>
      </c>
      <c r="AN48" s="6">
        <v>45134</v>
      </c>
      <c r="AO48" s="5" t="s">
        <v>53</v>
      </c>
      <c r="AP48" s="5" t="s">
        <v>45</v>
      </c>
      <c r="AQ48" s="5" t="s">
        <v>46</v>
      </c>
      <c r="AR48" s="5" t="s">
        <v>67</v>
      </c>
      <c r="AS48" s="7">
        <v>8.3333333333333329E-2</v>
      </c>
      <c r="AT48" s="7">
        <v>0.5</v>
      </c>
      <c r="AU48" s="5">
        <v>1.2961</v>
      </c>
      <c r="AV48" s="5">
        <v>1.29314</v>
      </c>
      <c r="AW48" s="5">
        <f t="shared" si="2"/>
        <v>1.2930999999999999</v>
      </c>
      <c r="AX48" s="5">
        <f t="shared" si="3"/>
        <v>1.3010999999999999</v>
      </c>
      <c r="AY48" s="5">
        <f>11.85*2.5</f>
        <v>29.625</v>
      </c>
      <c r="AZ48" s="8">
        <v>-2.96</v>
      </c>
      <c r="BA48" s="5">
        <v>21</v>
      </c>
      <c r="BB48" s="8">
        <v>3.44</v>
      </c>
      <c r="BC48" s="8">
        <v>-17.93</v>
      </c>
      <c r="BD48" s="5">
        <v>12</v>
      </c>
      <c r="BE48" s="5" t="s">
        <v>68</v>
      </c>
      <c r="BF48" s="8">
        <v>-2.96</v>
      </c>
      <c r="BG48" s="6">
        <v>45135</v>
      </c>
      <c r="BH48" s="5" t="s">
        <v>52</v>
      </c>
      <c r="BI48" s="5" t="s">
        <v>52</v>
      </c>
      <c r="BJ48" s="8" t="s">
        <v>46</v>
      </c>
      <c r="BK48" s="8" t="s">
        <v>46</v>
      </c>
      <c r="BL48" s="8" t="s">
        <v>46</v>
      </c>
      <c r="BM48" s="8">
        <v>0</v>
      </c>
      <c r="BN48" s="8">
        <v>0</v>
      </c>
      <c r="BO48" s="8">
        <v>0</v>
      </c>
      <c r="BP48" s="10" t="s">
        <v>46</v>
      </c>
    </row>
    <row r="49" spans="1:68" ht="14.5" customHeight="1" x14ac:dyDescent="0.35">
      <c r="A49" s="5">
        <v>48</v>
      </c>
      <c r="B49" s="6">
        <v>45113</v>
      </c>
      <c r="C49" s="5" t="s">
        <v>44</v>
      </c>
      <c r="D49" s="5" t="s">
        <v>45</v>
      </c>
      <c r="E49" s="5" t="s">
        <v>46</v>
      </c>
      <c r="F49" s="5" t="s">
        <v>67</v>
      </c>
      <c r="G49" s="7">
        <v>0.41666666666666669</v>
      </c>
      <c r="H49" s="7">
        <v>0.58333333333333337</v>
      </c>
      <c r="I49" s="5">
        <v>1.2736000000000001</v>
      </c>
      <c r="J49" s="5">
        <v>1.2711000000000001</v>
      </c>
      <c r="K49" s="8">
        <v>-2.5</v>
      </c>
      <c r="L49" s="8">
        <v>5</v>
      </c>
      <c r="M49" s="5">
        <f t="shared" si="0"/>
        <v>1.2711000000000001</v>
      </c>
      <c r="N49" s="5">
        <f t="shared" si="1"/>
        <v>1.2786</v>
      </c>
      <c r="O49" s="5">
        <v>9</v>
      </c>
      <c r="P49" s="8">
        <v>3.72</v>
      </c>
      <c r="Q49" s="8">
        <v>-6.29</v>
      </c>
      <c r="R49" s="5">
        <v>10</v>
      </c>
      <c r="S49" s="5" t="s">
        <v>68</v>
      </c>
      <c r="T49" s="8">
        <v>-2.5</v>
      </c>
      <c r="U49" s="5"/>
      <c r="V49" s="5"/>
      <c r="W49" s="5"/>
      <c r="X49" s="5"/>
      <c r="Y49" s="5"/>
      <c r="Z49" s="5"/>
      <c r="AA49" s="6">
        <v>45114</v>
      </c>
      <c r="AB49" s="5" t="s">
        <v>52</v>
      </c>
      <c r="AC49" s="5" t="s">
        <v>45</v>
      </c>
      <c r="AD49" s="8" t="s">
        <v>46</v>
      </c>
      <c r="AE49" s="8" t="s">
        <v>46</v>
      </c>
      <c r="AF49" s="5" t="s">
        <v>45</v>
      </c>
      <c r="AG49" s="5">
        <v>9</v>
      </c>
      <c r="AH49" s="8">
        <v>0</v>
      </c>
      <c r="AI49" s="8">
        <v>0</v>
      </c>
      <c r="AJ49" s="8">
        <v>0</v>
      </c>
      <c r="AK49" s="10" t="s">
        <v>46</v>
      </c>
      <c r="AL49" s="5"/>
      <c r="AM49" s="5">
        <v>48</v>
      </c>
      <c r="AN49" s="6">
        <v>45113</v>
      </c>
      <c r="AO49" s="5" t="s">
        <v>53</v>
      </c>
      <c r="AP49" s="5" t="s">
        <v>45</v>
      </c>
      <c r="AQ49" s="5" t="s">
        <v>46</v>
      </c>
      <c r="AR49" s="5" t="s">
        <v>67</v>
      </c>
      <c r="AS49" s="7">
        <v>0.41666666666666669</v>
      </c>
      <c r="AT49" s="7">
        <v>0.58333333333333337</v>
      </c>
      <c r="AU49" s="5">
        <v>1.2736000000000001</v>
      </c>
      <c r="AV49" s="5">
        <v>1.27084</v>
      </c>
      <c r="AW49" s="5">
        <f t="shared" si="2"/>
        <v>1.2707999999999999</v>
      </c>
      <c r="AX49" s="5">
        <f t="shared" si="3"/>
        <v>1.2786</v>
      </c>
      <c r="AY49" s="5">
        <f>11.05*2.5</f>
        <v>27.625</v>
      </c>
      <c r="AZ49" s="8">
        <v>-2.76</v>
      </c>
      <c r="BA49" s="5">
        <v>9</v>
      </c>
      <c r="BB49" s="8">
        <v>3.72</v>
      </c>
      <c r="BC49" s="8">
        <v>-6.29</v>
      </c>
      <c r="BD49" s="5">
        <v>10</v>
      </c>
      <c r="BE49" s="5" t="s">
        <v>68</v>
      </c>
      <c r="BF49" s="8">
        <v>-2.76</v>
      </c>
      <c r="BG49" s="6">
        <v>45114</v>
      </c>
      <c r="BH49" s="5" t="s">
        <v>52</v>
      </c>
      <c r="BI49" s="5" t="s">
        <v>45</v>
      </c>
      <c r="BJ49" s="8" t="s">
        <v>46</v>
      </c>
      <c r="BK49" s="8" t="s">
        <v>46</v>
      </c>
      <c r="BL49" s="5" t="s">
        <v>45</v>
      </c>
      <c r="BM49" s="8">
        <v>0</v>
      </c>
      <c r="BN49" s="8">
        <v>0</v>
      </c>
      <c r="BO49" s="8">
        <v>0</v>
      </c>
      <c r="BP49" s="10" t="s">
        <v>46</v>
      </c>
    </row>
    <row r="50" spans="1:68" ht="14.5" customHeight="1" x14ac:dyDescent="0.35">
      <c r="A50" s="5">
        <v>49</v>
      </c>
      <c r="B50" s="6">
        <v>45113</v>
      </c>
      <c r="C50" s="5" t="s">
        <v>44</v>
      </c>
      <c r="D50" s="5" t="s">
        <v>45</v>
      </c>
      <c r="E50" s="5" t="s">
        <v>46</v>
      </c>
      <c r="F50" s="5" t="s">
        <v>67</v>
      </c>
      <c r="G50" s="7">
        <v>0.75</v>
      </c>
      <c r="H50" s="7">
        <v>0.97916666666666663</v>
      </c>
      <c r="I50" s="5">
        <v>1.2736000000000001</v>
      </c>
      <c r="J50" s="5">
        <v>1.27413</v>
      </c>
      <c r="K50" s="8">
        <v>-2.5</v>
      </c>
      <c r="L50" s="8">
        <v>5</v>
      </c>
      <c r="M50" s="5">
        <f t="shared" si="0"/>
        <v>1.2711000000000001</v>
      </c>
      <c r="N50" s="5">
        <f t="shared" si="1"/>
        <v>1.2786</v>
      </c>
      <c r="O50" s="5">
        <v>12</v>
      </c>
      <c r="P50" s="8">
        <v>3.72</v>
      </c>
      <c r="Q50" s="8">
        <v>-6.29</v>
      </c>
      <c r="R50" s="5">
        <v>10</v>
      </c>
      <c r="S50" s="5" t="s">
        <v>55</v>
      </c>
      <c r="T50" s="8">
        <v>0.53</v>
      </c>
      <c r="U50" s="5"/>
      <c r="V50" s="5"/>
      <c r="W50" s="5"/>
      <c r="X50" s="5"/>
      <c r="Y50" s="5"/>
      <c r="Z50" s="5"/>
      <c r="AA50" s="6">
        <v>45114</v>
      </c>
      <c r="AB50" s="5" t="s">
        <v>45</v>
      </c>
      <c r="AC50" s="5" t="s">
        <v>45</v>
      </c>
      <c r="AD50" s="5" t="s">
        <v>52</v>
      </c>
      <c r="AE50" s="5" t="s">
        <v>45</v>
      </c>
      <c r="AF50" s="5" t="s">
        <v>52</v>
      </c>
      <c r="AG50" s="5">
        <v>9</v>
      </c>
      <c r="AH50" s="8">
        <v>11.29</v>
      </c>
      <c r="AI50" s="8">
        <v>-1.05</v>
      </c>
      <c r="AJ50" s="8">
        <v>5</v>
      </c>
      <c r="AK50" s="10" t="s">
        <v>46</v>
      </c>
      <c r="AL50" s="5"/>
      <c r="AM50" s="5">
        <v>49</v>
      </c>
      <c r="AN50" s="6">
        <v>45113</v>
      </c>
      <c r="AO50" s="5" t="s">
        <v>53</v>
      </c>
      <c r="AP50" s="5" t="s">
        <v>45</v>
      </c>
      <c r="AQ50" s="5" t="s">
        <v>46</v>
      </c>
      <c r="AR50" s="5" t="s">
        <v>67</v>
      </c>
      <c r="AS50" s="7">
        <v>0.75</v>
      </c>
      <c r="AT50" s="7">
        <v>0.97916666666666663</v>
      </c>
      <c r="AU50" s="5">
        <v>1.2736000000000001</v>
      </c>
      <c r="AV50" s="5">
        <v>1.27413</v>
      </c>
      <c r="AW50" s="5">
        <f t="shared" si="2"/>
        <v>1.2707999999999999</v>
      </c>
      <c r="AX50" s="5">
        <f t="shared" si="3"/>
        <v>1.2786</v>
      </c>
      <c r="AY50" s="5">
        <f>11.05*2.5</f>
        <v>27.625</v>
      </c>
      <c r="AZ50" s="8">
        <v>-2.76</v>
      </c>
      <c r="BA50" s="5">
        <v>12</v>
      </c>
      <c r="BB50" s="8">
        <v>3.72</v>
      </c>
      <c r="BC50" s="8">
        <v>-6.29</v>
      </c>
      <c r="BD50" s="5">
        <v>10</v>
      </c>
      <c r="BE50" s="5" t="s">
        <v>55</v>
      </c>
      <c r="BF50" s="8">
        <v>0.53</v>
      </c>
      <c r="BG50" s="6">
        <v>45114</v>
      </c>
      <c r="BH50" s="5" t="s">
        <v>45</v>
      </c>
      <c r="BI50" s="5" t="s">
        <v>45</v>
      </c>
      <c r="BJ50" s="5" t="s">
        <v>52</v>
      </c>
      <c r="BK50" s="5" t="s">
        <v>45</v>
      </c>
      <c r="BL50" s="5" t="s">
        <v>52</v>
      </c>
      <c r="BM50" s="8">
        <v>11.29</v>
      </c>
      <c r="BN50" s="8">
        <v>-1.05</v>
      </c>
      <c r="BO50" s="8">
        <v>5</v>
      </c>
      <c r="BP50" s="10" t="s">
        <v>46</v>
      </c>
    </row>
    <row r="51" spans="1:68" ht="14.5" customHeight="1" x14ac:dyDescent="0.35">
      <c r="A51" s="5">
        <v>50</v>
      </c>
      <c r="B51" s="6">
        <v>45110</v>
      </c>
      <c r="C51" s="5" t="s">
        <v>44</v>
      </c>
      <c r="D51" s="5" t="s">
        <v>45</v>
      </c>
      <c r="E51" s="5" t="s">
        <v>46</v>
      </c>
      <c r="F51" s="5" t="s">
        <v>47</v>
      </c>
      <c r="G51" s="7">
        <v>0.25</v>
      </c>
      <c r="H51" s="7">
        <v>0.58333333333333337</v>
      </c>
      <c r="I51" s="5">
        <v>1.2682000000000002</v>
      </c>
      <c r="J51" s="5">
        <v>1.2706999999999999</v>
      </c>
      <c r="K51" s="8">
        <v>-2.5</v>
      </c>
      <c r="L51" s="8">
        <v>5</v>
      </c>
      <c r="M51" s="5">
        <f t="shared" si="0"/>
        <v>1.2706999999999999</v>
      </c>
      <c r="N51" s="5">
        <f t="shared" si="1"/>
        <v>1.2631999999999999</v>
      </c>
      <c r="O51" s="5">
        <v>17</v>
      </c>
      <c r="P51" s="8">
        <v>2.4000000000001802</v>
      </c>
      <c r="Q51" s="8">
        <v>-4.0799999999998597</v>
      </c>
      <c r="R51" s="5">
        <v>7</v>
      </c>
      <c r="S51" s="5" t="s">
        <v>68</v>
      </c>
      <c r="T51" s="8">
        <v>-2.5</v>
      </c>
      <c r="U51" s="5"/>
      <c r="V51" s="5"/>
      <c r="W51" s="5"/>
      <c r="X51" s="5"/>
      <c r="Y51" s="5"/>
      <c r="Z51" s="5"/>
      <c r="AA51" s="6">
        <v>45111</v>
      </c>
      <c r="AB51" s="5" t="s">
        <v>52</v>
      </c>
      <c r="AC51" s="5" t="s">
        <v>52</v>
      </c>
      <c r="AD51" s="8" t="s">
        <v>46</v>
      </c>
      <c r="AE51" s="8" t="s">
        <v>46</v>
      </c>
      <c r="AF51" s="8" t="s">
        <v>46</v>
      </c>
      <c r="AG51" s="5">
        <v>0</v>
      </c>
      <c r="AH51" s="8">
        <v>0</v>
      </c>
      <c r="AI51" s="8">
        <v>0</v>
      </c>
      <c r="AJ51" s="8">
        <v>0</v>
      </c>
      <c r="AK51" s="10" t="s">
        <v>46</v>
      </c>
      <c r="AL51" s="5"/>
      <c r="AM51" s="5">
        <v>50</v>
      </c>
      <c r="AN51" s="6">
        <v>45110</v>
      </c>
      <c r="AO51" s="5" t="s">
        <v>53</v>
      </c>
      <c r="AP51" s="5" t="s">
        <v>45</v>
      </c>
      <c r="AQ51" s="5" t="s">
        <v>46</v>
      </c>
      <c r="AR51" s="5" t="s">
        <v>47</v>
      </c>
      <c r="AS51" s="7">
        <v>0.25</v>
      </c>
      <c r="AT51" s="7">
        <v>0.58333333333333337</v>
      </c>
      <c r="AU51" s="5">
        <v>1.2682000000000002</v>
      </c>
      <c r="AV51" s="5">
        <v>1.2709999999999999</v>
      </c>
      <c r="AW51" s="5">
        <f t="shared" si="2"/>
        <v>1.2709999999999999</v>
      </c>
      <c r="AX51" s="5">
        <f t="shared" si="3"/>
        <v>1.2631999999999999</v>
      </c>
      <c r="AY51" s="5">
        <f>11.18*2.5</f>
        <v>27.95</v>
      </c>
      <c r="AZ51" s="8">
        <v>-2.79</v>
      </c>
      <c r="BA51" s="5">
        <v>17</v>
      </c>
      <c r="BB51" s="8">
        <v>2.4000000000001802</v>
      </c>
      <c r="BC51" s="8">
        <v>-4.0799999999998597</v>
      </c>
      <c r="BD51" s="5">
        <v>7</v>
      </c>
      <c r="BE51" s="5" t="s">
        <v>68</v>
      </c>
      <c r="BF51" s="8">
        <v>-2.79</v>
      </c>
      <c r="BG51" s="6">
        <v>45111</v>
      </c>
      <c r="BH51" s="5" t="s">
        <v>52</v>
      </c>
      <c r="BI51" s="5" t="s">
        <v>52</v>
      </c>
      <c r="BJ51" s="8" t="s">
        <v>46</v>
      </c>
      <c r="BK51" s="8" t="s">
        <v>46</v>
      </c>
      <c r="BL51" s="8" t="s">
        <v>46</v>
      </c>
      <c r="BM51" s="8">
        <v>0</v>
      </c>
      <c r="BN51" s="8">
        <v>0</v>
      </c>
      <c r="BO51" s="8">
        <v>0</v>
      </c>
      <c r="BP51" s="10" t="s">
        <v>46</v>
      </c>
    </row>
    <row r="52" spans="1:68" ht="14.5" customHeight="1" x14ac:dyDescent="0.35">
      <c r="A52" s="5">
        <v>51</v>
      </c>
      <c r="B52" s="6">
        <v>45110</v>
      </c>
      <c r="C52" s="5" t="s">
        <v>44</v>
      </c>
      <c r="D52" s="5" t="s">
        <v>45</v>
      </c>
      <c r="E52" s="5" t="s">
        <v>46</v>
      </c>
      <c r="F52" s="5" t="s">
        <v>47</v>
      </c>
      <c r="G52" s="7">
        <v>0.625</v>
      </c>
      <c r="H52" s="7">
        <v>0.97916666666666663</v>
      </c>
      <c r="I52" s="5">
        <v>1.2682000000000002</v>
      </c>
      <c r="J52" s="5">
        <v>1.2691600000000001</v>
      </c>
      <c r="K52" s="8">
        <v>-2.5</v>
      </c>
      <c r="L52" s="8">
        <v>5</v>
      </c>
      <c r="M52" s="5">
        <f t="shared" si="0"/>
        <v>1.2706999999999999</v>
      </c>
      <c r="N52" s="5">
        <f t="shared" si="1"/>
        <v>1.2631999999999999</v>
      </c>
      <c r="O52" s="5">
        <v>18</v>
      </c>
      <c r="P52" s="8">
        <v>2.4000000000001802</v>
      </c>
      <c r="Q52" s="8">
        <v>-4.0799999999998597</v>
      </c>
      <c r="R52" s="5">
        <v>7</v>
      </c>
      <c r="S52" s="5" t="s">
        <v>55</v>
      </c>
      <c r="T52" s="8">
        <v>-0.95999999999984997</v>
      </c>
      <c r="U52" s="5"/>
      <c r="V52" s="5"/>
      <c r="W52" s="5"/>
      <c r="X52" s="5"/>
      <c r="Y52" s="5"/>
      <c r="Z52" s="5"/>
      <c r="AA52" s="6">
        <v>45111</v>
      </c>
      <c r="AB52" s="5" t="s">
        <v>45</v>
      </c>
      <c r="AC52" s="5" t="s">
        <v>52</v>
      </c>
      <c r="AD52" s="5" t="s">
        <v>45</v>
      </c>
      <c r="AE52" s="5" t="s">
        <v>52</v>
      </c>
      <c r="AF52" s="5" t="s">
        <v>52</v>
      </c>
      <c r="AG52" s="5">
        <v>0</v>
      </c>
      <c r="AH52" s="8">
        <v>0</v>
      </c>
      <c r="AI52" s="8">
        <v>-5.6899999999997499</v>
      </c>
      <c r="AJ52" s="8">
        <v>-2.5</v>
      </c>
      <c r="AK52" s="10" t="s">
        <v>46</v>
      </c>
      <c r="AL52" s="5"/>
      <c r="AM52" s="5">
        <v>51</v>
      </c>
      <c r="AN52" s="6">
        <v>45110</v>
      </c>
      <c r="AO52" s="5" t="s">
        <v>53</v>
      </c>
      <c r="AP52" s="5" t="s">
        <v>45</v>
      </c>
      <c r="AQ52" s="5" t="s">
        <v>46</v>
      </c>
      <c r="AR52" s="5" t="s">
        <v>47</v>
      </c>
      <c r="AS52" s="7">
        <v>0.625</v>
      </c>
      <c r="AT52" s="7">
        <v>0.97916666666666663</v>
      </c>
      <c r="AU52" s="5">
        <v>1.2682000000000002</v>
      </c>
      <c r="AV52" s="5">
        <v>1.2691600000000001</v>
      </c>
      <c r="AW52" s="5">
        <f t="shared" si="2"/>
        <v>1.2709999999999999</v>
      </c>
      <c r="AX52" s="5">
        <f t="shared" si="3"/>
        <v>1.2631999999999999</v>
      </c>
      <c r="AY52" s="5">
        <f>11.18*2.5</f>
        <v>27.95</v>
      </c>
      <c r="AZ52" s="8">
        <v>-2.79</v>
      </c>
      <c r="BA52" s="5">
        <v>18</v>
      </c>
      <c r="BB52" s="8">
        <v>2.4000000000001802</v>
      </c>
      <c r="BC52" s="8">
        <v>-4.0799999999998597</v>
      </c>
      <c r="BD52" s="5">
        <v>7</v>
      </c>
      <c r="BE52" s="5" t="s">
        <v>55</v>
      </c>
      <c r="BF52" s="8">
        <v>-0.95999999999984997</v>
      </c>
      <c r="BG52" s="6">
        <v>45111</v>
      </c>
      <c r="BH52" s="5" t="s">
        <v>45</v>
      </c>
      <c r="BI52" s="5" t="s">
        <v>52</v>
      </c>
      <c r="BJ52" s="5" t="s">
        <v>45</v>
      </c>
      <c r="BK52" s="5" t="s">
        <v>52</v>
      </c>
      <c r="BL52" s="5" t="s">
        <v>52</v>
      </c>
      <c r="BM52" s="8">
        <v>0</v>
      </c>
      <c r="BN52" s="8">
        <v>-5.6899999999997499</v>
      </c>
      <c r="BO52" s="8">
        <v>-2.79</v>
      </c>
      <c r="BP52" s="10" t="s">
        <v>46</v>
      </c>
    </row>
    <row r="53" spans="1:68" ht="14.5" customHeight="1" x14ac:dyDescent="0.35">
      <c r="A53" s="5">
        <v>52</v>
      </c>
      <c r="B53" s="6">
        <v>45105</v>
      </c>
      <c r="C53" s="5" t="s">
        <v>44</v>
      </c>
      <c r="D53" s="5" t="s">
        <v>45</v>
      </c>
      <c r="E53" s="5" t="s">
        <v>46</v>
      </c>
      <c r="F53" s="5" t="s">
        <v>47</v>
      </c>
      <c r="G53" s="7">
        <v>0.45833333333333331</v>
      </c>
      <c r="H53" s="7">
        <v>0.52083333333333337</v>
      </c>
      <c r="I53" s="5">
        <v>1.2688999999999999</v>
      </c>
      <c r="J53" s="5">
        <v>1.2639</v>
      </c>
      <c r="K53" s="8">
        <v>-2.5</v>
      </c>
      <c r="L53" s="8">
        <v>5</v>
      </c>
      <c r="M53" s="5">
        <f t="shared" si="0"/>
        <v>1.2713999999999999</v>
      </c>
      <c r="N53" s="5">
        <f t="shared" si="1"/>
        <v>1.2639</v>
      </c>
      <c r="O53" s="5">
        <v>4</v>
      </c>
      <c r="P53" s="8">
        <v>8.2899999999999086</v>
      </c>
      <c r="Q53" s="8">
        <v>-1.2100000000001554</v>
      </c>
      <c r="R53" s="5">
        <v>1</v>
      </c>
      <c r="S53" s="5" t="s">
        <v>48</v>
      </c>
      <c r="T53" s="8">
        <v>5</v>
      </c>
      <c r="U53" s="5"/>
      <c r="V53" s="5"/>
      <c r="W53" s="5"/>
      <c r="X53" s="5"/>
      <c r="Y53" s="5"/>
      <c r="Z53" s="5"/>
      <c r="AA53" s="6">
        <v>45106</v>
      </c>
      <c r="AB53" s="5" t="s">
        <v>52</v>
      </c>
      <c r="AC53" s="5" t="s">
        <v>45</v>
      </c>
      <c r="AD53" s="8" t="s">
        <v>46</v>
      </c>
      <c r="AE53" s="8" t="s">
        <v>46</v>
      </c>
      <c r="AF53" s="8" t="s">
        <v>46</v>
      </c>
      <c r="AG53" s="5">
        <v>0</v>
      </c>
      <c r="AH53" s="8">
        <v>0</v>
      </c>
      <c r="AI53" s="8">
        <v>0</v>
      </c>
      <c r="AJ53" s="8">
        <v>0</v>
      </c>
      <c r="AK53" s="10" t="s">
        <v>46</v>
      </c>
      <c r="AL53" s="5"/>
      <c r="AM53" s="5">
        <v>52</v>
      </c>
      <c r="AN53" s="6">
        <v>45105</v>
      </c>
      <c r="AO53" s="5" t="s">
        <v>53</v>
      </c>
      <c r="AP53" s="5" t="s">
        <v>45</v>
      </c>
      <c r="AQ53" s="5" t="s">
        <v>46</v>
      </c>
      <c r="AR53" s="5" t="s">
        <v>47</v>
      </c>
      <c r="AS53" s="7">
        <v>0.45833333333333331</v>
      </c>
      <c r="AT53" s="7">
        <v>0.52083333333333337</v>
      </c>
      <c r="AU53" s="5">
        <v>1.2688999999999999</v>
      </c>
      <c r="AV53" s="5">
        <v>1.2639</v>
      </c>
      <c r="AW53" s="5">
        <f t="shared" si="2"/>
        <v>1.2717000000000001</v>
      </c>
      <c r="AX53" s="5">
        <f t="shared" si="3"/>
        <v>1.2639</v>
      </c>
      <c r="AY53" s="5">
        <f>11.29*2.5</f>
        <v>28.224999999999998</v>
      </c>
      <c r="AZ53" s="8">
        <v>-2.82</v>
      </c>
      <c r="BA53" s="5">
        <v>4</v>
      </c>
      <c r="BB53" s="8">
        <v>8.2899999999999086</v>
      </c>
      <c r="BC53" s="8">
        <v>-1.2100000000001554</v>
      </c>
      <c r="BD53" s="5">
        <v>1</v>
      </c>
      <c r="BE53" s="5" t="s">
        <v>48</v>
      </c>
      <c r="BF53" s="8">
        <v>5</v>
      </c>
      <c r="BG53" s="6">
        <v>45106</v>
      </c>
      <c r="BH53" s="5" t="s">
        <v>52</v>
      </c>
      <c r="BI53" s="5" t="s">
        <v>45</v>
      </c>
      <c r="BJ53" s="8" t="s">
        <v>46</v>
      </c>
      <c r="BK53" s="8" t="s">
        <v>46</v>
      </c>
      <c r="BL53" s="8" t="s">
        <v>46</v>
      </c>
      <c r="BM53" s="8">
        <v>0</v>
      </c>
      <c r="BN53" s="8">
        <v>0</v>
      </c>
      <c r="BO53" s="8">
        <v>0</v>
      </c>
      <c r="BP53" s="10" t="s">
        <v>46</v>
      </c>
    </row>
    <row r="54" spans="1:68" ht="14.5" customHeight="1" x14ac:dyDescent="0.35">
      <c r="A54" s="5">
        <v>53</v>
      </c>
      <c r="B54" s="6">
        <v>45103</v>
      </c>
      <c r="C54" s="5" t="s">
        <v>44</v>
      </c>
      <c r="D54" s="5" t="s">
        <v>45</v>
      </c>
      <c r="E54" s="5" t="s">
        <v>46</v>
      </c>
      <c r="F54" s="5" t="s">
        <v>47</v>
      </c>
      <c r="G54" s="7">
        <v>0.47916666666666669</v>
      </c>
      <c r="H54" s="7">
        <v>0.5</v>
      </c>
      <c r="I54" s="5">
        <v>1.2689999999999999</v>
      </c>
      <c r="J54" s="5">
        <v>1.2715000000000001</v>
      </c>
      <c r="K54" s="8">
        <v>-2.5</v>
      </c>
      <c r="L54" s="8">
        <v>5</v>
      </c>
      <c r="M54" s="5">
        <f t="shared" si="0"/>
        <v>1.2715000000000001</v>
      </c>
      <c r="N54" s="5">
        <f t="shared" si="1"/>
        <v>1.264</v>
      </c>
      <c r="O54" s="5">
        <v>1</v>
      </c>
      <c r="P54" s="8">
        <v>0.22999999999995246</v>
      </c>
      <c r="Q54" s="8">
        <v>-3.7300000000000111</v>
      </c>
      <c r="R54" s="5">
        <v>1</v>
      </c>
      <c r="S54" s="5" t="s">
        <v>68</v>
      </c>
      <c r="T54" s="8">
        <v>-2.5</v>
      </c>
      <c r="U54" s="5"/>
      <c r="V54" s="5"/>
      <c r="W54" s="5"/>
      <c r="X54" s="5"/>
      <c r="Y54" s="5"/>
      <c r="Z54" s="5"/>
      <c r="AA54" s="6">
        <v>45104</v>
      </c>
      <c r="AB54" s="5" t="s">
        <v>52</v>
      </c>
      <c r="AC54" s="5" t="s">
        <v>52</v>
      </c>
      <c r="AD54" s="8" t="s">
        <v>46</v>
      </c>
      <c r="AE54" s="8" t="s">
        <v>46</v>
      </c>
      <c r="AF54" s="8" t="s">
        <v>46</v>
      </c>
      <c r="AG54" s="5">
        <v>0</v>
      </c>
      <c r="AH54" s="8">
        <v>0</v>
      </c>
      <c r="AI54" s="8">
        <v>0</v>
      </c>
      <c r="AJ54" s="8">
        <v>0</v>
      </c>
      <c r="AK54" s="10" t="s">
        <v>46</v>
      </c>
      <c r="AL54" s="5"/>
      <c r="AM54" s="5">
        <v>53</v>
      </c>
      <c r="AN54" s="6">
        <v>45103</v>
      </c>
      <c r="AO54" s="5" t="s">
        <v>53</v>
      </c>
      <c r="AP54" s="5" t="s">
        <v>45</v>
      </c>
      <c r="AQ54" s="5" t="s">
        <v>46</v>
      </c>
      <c r="AR54" s="5" t="s">
        <v>47</v>
      </c>
      <c r="AS54" s="7">
        <v>0.47916666666666669</v>
      </c>
      <c r="AT54" s="7">
        <v>0.5</v>
      </c>
      <c r="AU54" s="5">
        <v>1.2689999999999999</v>
      </c>
      <c r="AV54" s="5">
        <v>1.2718</v>
      </c>
      <c r="AW54" s="5">
        <f t="shared" si="2"/>
        <v>1.2718</v>
      </c>
      <c r="AX54" s="5">
        <f t="shared" si="3"/>
        <v>1.264</v>
      </c>
      <c r="AY54" s="5">
        <v>27.975000000000001</v>
      </c>
      <c r="AZ54" s="8">
        <v>-2.79</v>
      </c>
      <c r="BA54" s="5">
        <v>1</v>
      </c>
      <c r="BB54" s="8">
        <v>0.22999999999995246</v>
      </c>
      <c r="BC54" s="8">
        <v>-3.7300000000000111</v>
      </c>
      <c r="BD54" s="5">
        <v>1</v>
      </c>
      <c r="BE54" s="5" t="s">
        <v>68</v>
      </c>
      <c r="BF54" s="8">
        <v>-2.79</v>
      </c>
      <c r="BG54" s="6">
        <v>45104</v>
      </c>
      <c r="BH54" s="5" t="s">
        <v>52</v>
      </c>
      <c r="BI54" s="5" t="s">
        <v>52</v>
      </c>
      <c r="BJ54" s="8" t="s">
        <v>46</v>
      </c>
      <c r="BK54" s="8" t="s">
        <v>46</v>
      </c>
      <c r="BL54" s="8" t="s">
        <v>46</v>
      </c>
      <c r="BM54" s="8">
        <v>0</v>
      </c>
      <c r="BN54" s="8">
        <v>0</v>
      </c>
      <c r="BO54" s="8">
        <v>0</v>
      </c>
      <c r="BP54" s="10" t="s">
        <v>46</v>
      </c>
    </row>
    <row r="55" spans="1:68" ht="14.5" customHeight="1" x14ac:dyDescent="0.35">
      <c r="A55" s="5">
        <v>54</v>
      </c>
      <c r="B55" s="6">
        <v>45100</v>
      </c>
      <c r="C55" s="5" t="s">
        <v>44</v>
      </c>
      <c r="D55" s="5" t="s">
        <v>45</v>
      </c>
      <c r="E55" s="5" t="s">
        <v>46</v>
      </c>
      <c r="F55" s="5" t="s">
        <v>47</v>
      </c>
      <c r="G55" s="7">
        <v>0.1875</v>
      </c>
      <c r="H55" s="7">
        <v>0.27083333333333331</v>
      </c>
      <c r="I55" s="5">
        <v>1.27</v>
      </c>
      <c r="J55" s="5">
        <v>1.2725</v>
      </c>
      <c r="K55" s="8">
        <v>-2.5</v>
      </c>
      <c r="L55" s="8">
        <v>5</v>
      </c>
      <c r="M55" s="5">
        <f t="shared" si="0"/>
        <v>1.2725</v>
      </c>
      <c r="N55" s="5">
        <f t="shared" si="1"/>
        <v>1.2650000000000001</v>
      </c>
      <c r="O55" s="5">
        <v>5</v>
      </c>
      <c r="P55" s="8">
        <v>1.5899999999999803</v>
      </c>
      <c r="Q55" s="8">
        <v>-3.6000000000000476</v>
      </c>
      <c r="R55" s="5">
        <v>7</v>
      </c>
      <c r="S55" s="5" t="s">
        <v>68</v>
      </c>
      <c r="T55" s="8">
        <v>-2.5</v>
      </c>
      <c r="U55" s="5"/>
      <c r="V55" s="5"/>
      <c r="W55" s="5"/>
      <c r="X55" s="5"/>
      <c r="Y55" s="5"/>
      <c r="Z55" s="5"/>
      <c r="AA55" s="6">
        <v>45103</v>
      </c>
      <c r="AB55" s="5" t="s">
        <v>52</v>
      </c>
      <c r="AC55" s="5" t="s">
        <v>52</v>
      </c>
      <c r="AD55" s="8" t="s">
        <v>46</v>
      </c>
      <c r="AE55" s="8" t="s">
        <v>46</v>
      </c>
      <c r="AF55" s="8" t="s">
        <v>46</v>
      </c>
      <c r="AG55" s="5">
        <v>0</v>
      </c>
      <c r="AH55" s="8">
        <v>0</v>
      </c>
      <c r="AI55" s="8">
        <v>0</v>
      </c>
      <c r="AJ55" s="8">
        <v>0</v>
      </c>
      <c r="AK55" s="10" t="s">
        <v>46</v>
      </c>
      <c r="AL55" s="5"/>
      <c r="AM55" s="5">
        <v>54</v>
      </c>
      <c r="AN55" s="6">
        <v>45100</v>
      </c>
      <c r="AO55" s="5" t="s">
        <v>53</v>
      </c>
      <c r="AP55" s="5" t="s">
        <v>45</v>
      </c>
      <c r="AQ55" s="5" t="s">
        <v>46</v>
      </c>
      <c r="AR55" s="5" t="s">
        <v>47</v>
      </c>
      <c r="AS55" s="7">
        <v>0.1875</v>
      </c>
      <c r="AT55" s="7">
        <v>0.27083333333333331</v>
      </c>
      <c r="AU55" s="5">
        <v>1.27</v>
      </c>
      <c r="AV55" s="5">
        <v>1.2727999999999999</v>
      </c>
      <c r="AW55" s="5">
        <f t="shared" si="2"/>
        <v>1.2727999999999999</v>
      </c>
      <c r="AX55" s="5">
        <f t="shared" si="3"/>
        <v>1.2650000000000001</v>
      </c>
      <c r="AY55" s="5">
        <f>11.13*2.5</f>
        <v>27.825000000000003</v>
      </c>
      <c r="AZ55" s="8">
        <v>-2.78</v>
      </c>
      <c r="BA55" s="5">
        <v>5</v>
      </c>
      <c r="BB55" s="8">
        <v>1.5899999999999803</v>
      </c>
      <c r="BC55" s="8">
        <v>-3.6000000000000476</v>
      </c>
      <c r="BD55" s="5">
        <v>7</v>
      </c>
      <c r="BE55" s="5" t="s">
        <v>68</v>
      </c>
      <c r="BF55" s="8">
        <v>-2.78</v>
      </c>
      <c r="BG55" s="6">
        <v>45103</v>
      </c>
      <c r="BH55" s="5" t="s">
        <v>52</v>
      </c>
      <c r="BI55" s="5" t="s">
        <v>52</v>
      </c>
      <c r="BJ55" s="8" t="s">
        <v>46</v>
      </c>
      <c r="BK55" s="8" t="s">
        <v>46</v>
      </c>
      <c r="BL55" s="8" t="s">
        <v>46</v>
      </c>
      <c r="BM55" s="8">
        <v>0</v>
      </c>
      <c r="BN55" s="8">
        <v>0</v>
      </c>
      <c r="BO55" s="8">
        <v>0</v>
      </c>
      <c r="BP55" s="10" t="s">
        <v>46</v>
      </c>
    </row>
    <row r="56" spans="1:68" ht="14.5" customHeight="1" x14ac:dyDescent="0.35">
      <c r="A56" s="5">
        <v>55</v>
      </c>
      <c r="B56" s="6">
        <v>45100</v>
      </c>
      <c r="C56" s="5" t="s">
        <v>44</v>
      </c>
      <c r="D56" s="5" t="s">
        <v>45</v>
      </c>
      <c r="E56" s="5" t="s">
        <v>46</v>
      </c>
      <c r="F56" s="5" t="s">
        <v>47</v>
      </c>
      <c r="G56" s="7">
        <v>0.29166666666666669</v>
      </c>
      <c r="H56" s="7">
        <v>0.4375</v>
      </c>
      <c r="I56" s="5">
        <v>1.27</v>
      </c>
      <c r="J56" s="5">
        <v>1.2725</v>
      </c>
      <c r="K56" s="8">
        <v>-2.5</v>
      </c>
      <c r="L56" s="8">
        <v>5</v>
      </c>
      <c r="M56" s="5">
        <f t="shared" si="0"/>
        <v>1.2725</v>
      </c>
      <c r="N56" s="5">
        <f t="shared" si="1"/>
        <v>1.2650000000000001</v>
      </c>
      <c r="O56" s="5">
        <v>8</v>
      </c>
      <c r="P56" s="8">
        <v>1.5899999999999803</v>
      </c>
      <c r="Q56" s="8">
        <v>-3.6000000000000476</v>
      </c>
      <c r="R56" s="5">
        <v>7</v>
      </c>
      <c r="S56" s="5" t="s">
        <v>68</v>
      </c>
      <c r="T56" s="8">
        <v>-2.5</v>
      </c>
      <c r="U56" s="5"/>
      <c r="V56" s="5"/>
      <c r="W56" s="5"/>
      <c r="X56" s="5"/>
      <c r="Y56" s="5"/>
      <c r="Z56" s="5"/>
      <c r="AA56" s="6">
        <v>45103</v>
      </c>
      <c r="AB56" s="5" t="s">
        <v>52</v>
      </c>
      <c r="AC56" s="5" t="s">
        <v>52</v>
      </c>
      <c r="AD56" s="8" t="s">
        <v>46</v>
      </c>
      <c r="AE56" s="8" t="s">
        <v>46</v>
      </c>
      <c r="AF56" s="8" t="s">
        <v>46</v>
      </c>
      <c r="AG56" s="5">
        <v>0</v>
      </c>
      <c r="AH56" s="8">
        <v>0</v>
      </c>
      <c r="AI56" s="8">
        <v>0</v>
      </c>
      <c r="AJ56" s="8">
        <v>0</v>
      </c>
      <c r="AK56" s="10" t="s">
        <v>46</v>
      </c>
      <c r="AL56" s="5"/>
      <c r="AM56" s="5">
        <v>55</v>
      </c>
      <c r="AN56" s="6">
        <v>45100</v>
      </c>
      <c r="AO56" s="5" t="s">
        <v>53</v>
      </c>
      <c r="AP56" s="5" t="s">
        <v>45</v>
      </c>
      <c r="AQ56" s="5" t="s">
        <v>46</v>
      </c>
      <c r="AR56" s="5" t="s">
        <v>47</v>
      </c>
      <c r="AS56" s="7">
        <v>0.29166666666666669</v>
      </c>
      <c r="AT56" s="7">
        <v>0.4375</v>
      </c>
      <c r="AU56" s="5">
        <v>1.27</v>
      </c>
      <c r="AV56" s="5">
        <v>1.2725</v>
      </c>
      <c r="AW56" s="5">
        <f t="shared" si="2"/>
        <v>1.2727999999999999</v>
      </c>
      <c r="AX56" s="5">
        <f t="shared" si="3"/>
        <v>1.2650000000000001</v>
      </c>
      <c r="AY56" s="5">
        <f>11.13*2.5</f>
        <v>27.825000000000003</v>
      </c>
      <c r="AZ56" s="8">
        <v>-2.78</v>
      </c>
      <c r="BA56" s="5">
        <v>8</v>
      </c>
      <c r="BB56" s="8">
        <v>1.5899999999999803</v>
      </c>
      <c r="BC56" s="8">
        <v>-3.6000000000000476</v>
      </c>
      <c r="BD56" s="5">
        <v>7</v>
      </c>
      <c r="BE56" s="5" t="s">
        <v>68</v>
      </c>
      <c r="BF56" s="8">
        <v>-2.78</v>
      </c>
      <c r="BG56" s="6">
        <v>45103</v>
      </c>
      <c r="BH56" s="5" t="s">
        <v>52</v>
      </c>
      <c r="BI56" s="5" t="s">
        <v>52</v>
      </c>
      <c r="BJ56" s="8" t="s">
        <v>46</v>
      </c>
      <c r="BK56" s="8" t="s">
        <v>46</v>
      </c>
      <c r="BL56" s="8" t="s">
        <v>46</v>
      </c>
      <c r="BM56" s="8">
        <v>0</v>
      </c>
      <c r="BN56" s="8">
        <v>0</v>
      </c>
      <c r="BO56" s="8">
        <v>0</v>
      </c>
      <c r="BP56" s="10" t="s">
        <v>46</v>
      </c>
    </row>
    <row r="57" spans="1:68" ht="14.5" customHeight="1" x14ac:dyDescent="0.35">
      <c r="A57" s="5">
        <v>56</v>
      </c>
      <c r="B57" s="6">
        <v>45091</v>
      </c>
      <c r="C57" s="5" t="s">
        <v>44</v>
      </c>
      <c r="D57" s="5" t="s">
        <v>45</v>
      </c>
      <c r="E57" s="5" t="s">
        <v>46</v>
      </c>
      <c r="F57" s="5" t="s">
        <v>67</v>
      </c>
      <c r="G57" s="7">
        <v>0.3125</v>
      </c>
      <c r="H57" s="7">
        <v>0.52083333333333337</v>
      </c>
      <c r="I57" s="5">
        <v>1.2621</v>
      </c>
      <c r="J57" s="5">
        <v>1.2671000000000001</v>
      </c>
      <c r="K57" s="8">
        <v>-2.5</v>
      </c>
      <c r="L57" s="8">
        <v>5</v>
      </c>
      <c r="M57" s="5">
        <f t="shared" si="0"/>
        <v>1.2596000000000001</v>
      </c>
      <c r="N57" s="5">
        <f t="shared" si="1"/>
        <v>1.2671000000000001</v>
      </c>
      <c r="O57" s="5">
        <v>11</v>
      </c>
      <c r="P57" s="8">
        <v>7.5600000000000112</v>
      </c>
      <c r="Q57" s="8">
        <v>0</v>
      </c>
      <c r="R57" s="5">
        <v>1</v>
      </c>
      <c r="S57" s="5" t="s">
        <v>48</v>
      </c>
      <c r="T57" s="8">
        <v>5</v>
      </c>
      <c r="U57" s="5"/>
      <c r="V57" s="5"/>
      <c r="W57" s="5"/>
      <c r="X57" s="5"/>
      <c r="Y57" s="5"/>
      <c r="Z57" s="5"/>
      <c r="AA57" s="6">
        <v>45092</v>
      </c>
      <c r="AB57" s="5" t="s">
        <v>52</v>
      </c>
      <c r="AC57" s="5" t="s">
        <v>45</v>
      </c>
      <c r="AD57" s="8" t="s">
        <v>46</v>
      </c>
      <c r="AE57" s="8" t="s">
        <v>46</v>
      </c>
      <c r="AF57" s="8" t="s">
        <v>46</v>
      </c>
      <c r="AG57" s="5">
        <v>0</v>
      </c>
      <c r="AH57" s="8">
        <v>0</v>
      </c>
      <c r="AI57" s="8">
        <v>0</v>
      </c>
      <c r="AJ57" s="8">
        <v>0</v>
      </c>
      <c r="AK57" s="10" t="s">
        <v>46</v>
      </c>
      <c r="AL57" s="5"/>
      <c r="AM57" s="5">
        <v>56</v>
      </c>
      <c r="AN57" s="6">
        <v>45091</v>
      </c>
      <c r="AO57" s="5" t="s">
        <v>53</v>
      </c>
      <c r="AP57" s="5" t="s">
        <v>45</v>
      </c>
      <c r="AQ57" s="5" t="s">
        <v>46</v>
      </c>
      <c r="AR57" s="5" t="s">
        <v>67</v>
      </c>
      <c r="AS57" s="7">
        <v>0.3125</v>
      </c>
      <c r="AT57" s="7">
        <v>0.52083333333333337</v>
      </c>
      <c r="AU57" s="5">
        <v>1.2621</v>
      </c>
      <c r="AV57" s="5">
        <v>1.2671000000000001</v>
      </c>
      <c r="AW57" s="5">
        <f t="shared" si="2"/>
        <v>1.2593000000000001</v>
      </c>
      <c r="AX57" s="5">
        <f t="shared" si="3"/>
        <v>1.2671000000000001</v>
      </c>
      <c r="AY57" s="5">
        <f>11.11*2.5</f>
        <v>27.774999999999999</v>
      </c>
      <c r="AZ57" s="8">
        <v>-2.77</v>
      </c>
      <c r="BA57" s="5">
        <v>11</v>
      </c>
      <c r="BB57" s="8">
        <v>7.5600000000000112</v>
      </c>
      <c r="BC57" s="8">
        <v>0</v>
      </c>
      <c r="BD57" s="5">
        <v>1</v>
      </c>
      <c r="BE57" s="5" t="s">
        <v>48</v>
      </c>
      <c r="BF57" s="8">
        <v>5</v>
      </c>
      <c r="BG57" s="6">
        <v>45092</v>
      </c>
      <c r="BH57" s="5" t="s">
        <v>52</v>
      </c>
      <c r="BI57" s="5" t="s">
        <v>45</v>
      </c>
      <c r="BJ57" s="8" t="s">
        <v>46</v>
      </c>
      <c r="BK57" s="8" t="s">
        <v>46</v>
      </c>
      <c r="BL57" s="8" t="s">
        <v>46</v>
      </c>
      <c r="BM57" s="8">
        <v>0</v>
      </c>
      <c r="BN57" s="8">
        <v>0</v>
      </c>
      <c r="BO57" s="8">
        <v>0</v>
      </c>
      <c r="BP57" s="10" t="s">
        <v>46</v>
      </c>
    </row>
    <row r="58" spans="1:68" ht="14.5" customHeight="1" x14ac:dyDescent="0.35">
      <c r="A58" s="5">
        <v>57</v>
      </c>
      <c r="B58" s="6">
        <v>45090</v>
      </c>
      <c r="C58" s="5" t="s">
        <v>44</v>
      </c>
      <c r="D58" s="5" t="s">
        <v>45</v>
      </c>
      <c r="E58" s="5" t="s">
        <v>46</v>
      </c>
      <c r="F58" s="5" t="s">
        <v>67</v>
      </c>
      <c r="G58" s="7">
        <v>0.125</v>
      </c>
      <c r="H58" s="7">
        <v>0.5</v>
      </c>
      <c r="I58" s="5">
        <v>1.2528000000000001</v>
      </c>
      <c r="J58" s="5">
        <v>1.2578</v>
      </c>
      <c r="K58" s="8">
        <v>-2.5</v>
      </c>
      <c r="L58" s="8">
        <v>5</v>
      </c>
      <c r="M58" s="5">
        <f t="shared" si="0"/>
        <v>1.2503</v>
      </c>
      <c r="N58" s="5">
        <f t="shared" si="1"/>
        <v>1.2578</v>
      </c>
      <c r="O58" s="5">
        <v>19</v>
      </c>
      <c r="P58" s="8">
        <v>9.6299999999998054</v>
      </c>
      <c r="Q58" s="8">
        <v>-7.000000000023654E-2</v>
      </c>
      <c r="R58" s="5">
        <v>4</v>
      </c>
      <c r="S58" s="5" t="s">
        <v>48</v>
      </c>
      <c r="T58" s="8">
        <v>5</v>
      </c>
      <c r="U58" s="5"/>
      <c r="V58" s="5"/>
      <c r="W58" s="5"/>
      <c r="X58" s="5"/>
      <c r="Y58" s="5"/>
      <c r="Z58" s="5"/>
      <c r="AA58" s="6">
        <v>45091</v>
      </c>
      <c r="AB58" s="5" t="s">
        <v>52</v>
      </c>
      <c r="AC58" s="5" t="s">
        <v>45</v>
      </c>
      <c r="AD58" s="8" t="s">
        <v>46</v>
      </c>
      <c r="AE58" s="8" t="s">
        <v>46</v>
      </c>
      <c r="AF58" s="8" t="s">
        <v>46</v>
      </c>
      <c r="AG58" s="5">
        <v>0</v>
      </c>
      <c r="AH58" s="8">
        <v>0</v>
      </c>
      <c r="AI58" s="8">
        <v>0</v>
      </c>
      <c r="AJ58" s="8">
        <v>0</v>
      </c>
      <c r="AK58" s="10" t="s">
        <v>46</v>
      </c>
      <c r="AL58" s="5"/>
      <c r="AM58" s="5">
        <v>57</v>
      </c>
      <c r="AN58" s="6">
        <v>45090</v>
      </c>
      <c r="AO58" s="5" t="s">
        <v>53</v>
      </c>
      <c r="AP58" s="5" t="s">
        <v>45</v>
      </c>
      <c r="AQ58" s="5" t="s">
        <v>46</v>
      </c>
      <c r="AR58" s="5" t="s">
        <v>67</v>
      </c>
      <c r="AS58" s="7">
        <v>0.125</v>
      </c>
      <c r="AT58" s="7">
        <v>0.5</v>
      </c>
      <c r="AU58" s="5">
        <v>1.2528000000000001</v>
      </c>
      <c r="AV58" s="5">
        <v>1.2578</v>
      </c>
      <c r="AW58" s="5">
        <f t="shared" si="2"/>
        <v>1.25</v>
      </c>
      <c r="AX58" s="5">
        <f t="shared" si="3"/>
        <v>1.2578</v>
      </c>
      <c r="AY58" s="5">
        <f>11.17*2.5</f>
        <v>27.925000000000001</v>
      </c>
      <c r="AZ58" s="8">
        <v>-2.79</v>
      </c>
      <c r="BA58" s="5">
        <v>19</v>
      </c>
      <c r="BB58" s="8">
        <v>9.6299999999998054</v>
      </c>
      <c r="BC58" s="8">
        <v>-7.000000000023654E-2</v>
      </c>
      <c r="BD58" s="5">
        <v>4</v>
      </c>
      <c r="BE58" s="5" t="s">
        <v>48</v>
      </c>
      <c r="BF58" s="8">
        <v>5</v>
      </c>
      <c r="BG58" s="6">
        <v>45091</v>
      </c>
      <c r="BH58" s="5" t="s">
        <v>52</v>
      </c>
      <c r="BI58" s="5" t="s">
        <v>45</v>
      </c>
      <c r="BJ58" s="8" t="s">
        <v>46</v>
      </c>
      <c r="BK58" s="8" t="s">
        <v>46</v>
      </c>
      <c r="BL58" s="8" t="s">
        <v>46</v>
      </c>
      <c r="BM58" s="8">
        <v>0</v>
      </c>
      <c r="BN58" s="8">
        <v>0</v>
      </c>
      <c r="BO58" s="8">
        <v>0</v>
      </c>
      <c r="BP58" s="10" t="s">
        <v>46</v>
      </c>
    </row>
    <row r="59" spans="1:68" ht="14.5" customHeight="1" x14ac:dyDescent="0.35">
      <c r="A59" s="5">
        <v>58</v>
      </c>
      <c r="B59" s="6">
        <v>45086</v>
      </c>
      <c r="C59" s="5" t="s">
        <v>44</v>
      </c>
      <c r="D59" s="5" t="s">
        <v>45</v>
      </c>
      <c r="E59" s="5" t="s">
        <v>46</v>
      </c>
      <c r="F59" s="5" t="s">
        <v>67</v>
      </c>
      <c r="G59" s="7">
        <v>0.27083333333333331</v>
      </c>
      <c r="H59" s="7">
        <v>0.33333333333333331</v>
      </c>
      <c r="I59" s="5">
        <v>1.2560000000000002</v>
      </c>
      <c r="J59" s="5">
        <v>1.2535000000000001</v>
      </c>
      <c r="K59" s="8">
        <v>-2.5</v>
      </c>
      <c r="L59" s="8">
        <v>5</v>
      </c>
      <c r="M59" s="5">
        <f t="shared" si="0"/>
        <v>1.2535000000000001</v>
      </c>
      <c r="N59" s="5">
        <f t="shared" si="1"/>
        <v>1.2610000000000001</v>
      </c>
      <c r="O59" s="5">
        <v>4</v>
      </c>
      <c r="P59" s="8">
        <v>2.9799999999997606</v>
      </c>
      <c r="Q59" s="8">
        <v>-2.6400000000001977</v>
      </c>
      <c r="R59" s="5">
        <v>3</v>
      </c>
      <c r="S59" s="5" t="s">
        <v>68</v>
      </c>
      <c r="T59" s="8">
        <v>-2.5</v>
      </c>
      <c r="U59" s="5"/>
      <c r="V59" s="5"/>
      <c r="W59" s="5"/>
      <c r="X59" s="5"/>
      <c r="Y59" s="5"/>
      <c r="Z59" s="5"/>
      <c r="AA59" s="6">
        <v>45089</v>
      </c>
      <c r="AB59" s="5" t="s">
        <v>52</v>
      </c>
      <c r="AC59" s="5" t="s">
        <v>45</v>
      </c>
      <c r="AD59" s="8" t="s">
        <v>46</v>
      </c>
      <c r="AE59" s="8" t="s">
        <v>46</v>
      </c>
      <c r="AF59" s="8" t="s">
        <v>46</v>
      </c>
      <c r="AG59" s="5">
        <v>3</v>
      </c>
      <c r="AH59" s="8">
        <v>0</v>
      </c>
      <c r="AI59" s="8">
        <v>0</v>
      </c>
      <c r="AJ59" s="8">
        <v>0</v>
      </c>
      <c r="AK59" s="10" t="s">
        <v>46</v>
      </c>
      <c r="AL59" s="5"/>
      <c r="AM59" s="5">
        <v>58</v>
      </c>
      <c r="AN59" s="6">
        <v>45086</v>
      </c>
      <c r="AO59" s="5" t="s">
        <v>53</v>
      </c>
      <c r="AP59" s="5" t="s">
        <v>45</v>
      </c>
      <c r="AQ59" s="5" t="s">
        <v>46</v>
      </c>
      <c r="AR59" s="5" t="s">
        <v>67</v>
      </c>
      <c r="AS59" s="7">
        <v>0.27083333333333331</v>
      </c>
      <c r="AT59" s="7">
        <v>0.85416666666666663</v>
      </c>
      <c r="AU59" s="5">
        <v>1.2560000000000002</v>
      </c>
      <c r="AV59">
        <v>1.2579100000000001</v>
      </c>
      <c r="AW59" s="5">
        <f t="shared" si="2"/>
        <v>1.2532000000000001</v>
      </c>
      <c r="AX59" s="5">
        <f t="shared" si="3"/>
        <v>1.2610000000000001</v>
      </c>
      <c r="AY59" s="5">
        <f>11.26*2.5</f>
        <v>28.15</v>
      </c>
      <c r="AZ59" s="8">
        <v>-2.81</v>
      </c>
      <c r="BA59" s="5">
        <v>29</v>
      </c>
      <c r="BB59" s="8">
        <v>2.9799999999997606</v>
      </c>
      <c r="BC59" s="8">
        <v>-2.6400000000001977</v>
      </c>
      <c r="BD59" s="5">
        <v>3</v>
      </c>
      <c r="BE59" s="5" t="s">
        <v>55</v>
      </c>
      <c r="BF59" s="8">
        <v>1.9099999999998563</v>
      </c>
      <c r="BG59" s="6">
        <v>45089</v>
      </c>
      <c r="BH59" s="5" t="s">
        <v>45</v>
      </c>
      <c r="BI59" s="5" t="s">
        <v>45</v>
      </c>
      <c r="BJ59" s="5" t="s">
        <v>45</v>
      </c>
      <c r="BK59" s="5" t="s">
        <v>52</v>
      </c>
      <c r="BL59" s="5" t="s">
        <v>45</v>
      </c>
      <c r="BM59" s="8">
        <v>3.8999999999997925</v>
      </c>
      <c r="BN59" s="8">
        <v>-7.3300000000002816</v>
      </c>
      <c r="BO59" s="8">
        <v>-2.81</v>
      </c>
      <c r="BP59" s="10" t="s">
        <v>46</v>
      </c>
    </row>
    <row r="60" spans="1:68" ht="14.5" customHeight="1" x14ac:dyDescent="0.35">
      <c r="A60" s="5">
        <v>59</v>
      </c>
      <c r="B60" s="6">
        <v>45085</v>
      </c>
      <c r="C60" s="5" t="s">
        <v>44</v>
      </c>
      <c r="D60" s="5" t="s">
        <v>45</v>
      </c>
      <c r="E60" s="5" t="s">
        <v>46</v>
      </c>
      <c r="F60" s="5" t="s">
        <v>67</v>
      </c>
      <c r="G60" s="7">
        <v>0.60416666666666663</v>
      </c>
      <c r="H60" s="7">
        <v>0.97916666666666663</v>
      </c>
      <c r="I60" s="5">
        <v>1.2542000000000002</v>
      </c>
      <c r="J60" s="5">
        <v>1.25576</v>
      </c>
      <c r="K60" s="8">
        <v>-2.5</v>
      </c>
      <c r="L60" s="8">
        <v>5</v>
      </c>
      <c r="M60" s="5">
        <f t="shared" si="0"/>
        <v>1.2517</v>
      </c>
      <c r="N60" s="5">
        <f t="shared" si="1"/>
        <v>1.2591999999999999</v>
      </c>
      <c r="O60" s="5">
        <v>19</v>
      </c>
      <c r="P60" s="8">
        <v>2.1099999999998342</v>
      </c>
      <c r="Q60" s="8">
        <v>-1.1200000000002319</v>
      </c>
      <c r="R60" s="5">
        <v>2</v>
      </c>
      <c r="S60" s="5" t="s">
        <v>55</v>
      </c>
      <c r="T60" s="8">
        <v>1.5599999999997838</v>
      </c>
      <c r="U60" s="5"/>
      <c r="V60" s="5"/>
      <c r="W60" s="5"/>
      <c r="X60" s="5"/>
      <c r="Y60" s="5"/>
      <c r="Z60" s="5"/>
      <c r="AA60" s="6">
        <v>45086</v>
      </c>
      <c r="AB60" s="5" t="s">
        <v>45</v>
      </c>
      <c r="AC60" s="5" t="s">
        <v>45</v>
      </c>
      <c r="AD60" s="5" t="s">
        <v>52</v>
      </c>
      <c r="AE60" s="5" t="s">
        <v>52</v>
      </c>
      <c r="AF60" s="8" t="s">
        <v>46</v>
      </c>
      <c r="AG60" s="5">
        <v>7</v>
      </c>
      <c r="AH60" s="8">
        <v>4.7799999999997844</v>
      </c>
      <c r="AI60" s="8">
        <v>-0.84000000000017394</v>
      </c>
      <c r="AJ60" s="8">
        <v>3.7099999999998801</v>
      </c>
      <c r="AK60" s="10" t="s">
        <v>46</v>
      </c>
      <c r="AL60" s="5"/>
      <c r="AM60" s="5">
        <v>59</v>
      </c>
      <c r="AN60" s="6">
        <v>45085</v>
      </c>
      <c r="AO60" s="5" t="s">
        <v>53</v>
      </c>
      <c r="AP60" s="5" t="s">
        <v>45</v>
      </c>
      <c r="AQ60" s="5" t="s">
        <v>46</v>
      </c>
      <c r="AR60" s="5" t="s">
        <v>67</v>
      </c>
      <c r="AS60" s="7">
        <v>0.60416666666666663</v>
      </c>
      <c r="AT60" s="7">
        <v>0.97916666666666663</v>
      </c>
      <c r="AU60" s="5">
        <v>1.2542000000000002</v>
      </c>
      <c r="AV60" s="5">
        <v>1.25576</v>
      </c>
      <c r="AW60" s="5">
        <f t="shared" si="2"/>
        <v>1.2514000000000001</v>
      </c>
      <c r="AX60" s="5">
        <f t="shared" si="3"/>
        <v>1.2591999999999999</v>
      </c>
      <c r="AY60" s="5">
        <f>11.37*2.5</f>
        <v>28.424999999999997</v>
      </c>
      <c r="AZ60" s="8">
        <v>-2.84</v>
      </c>
      <c r="BA60" s="5">
        <v>19</v>
      </c>
      <c r="BB60" s="8">
        <v>2.1099999999998342</v>
      </c>
      <c r="BC60" s="8">
        <v>-1.1200000000002319</v>
      </c>
      <c r="BD60" s="5">
        <v>2</v>
      </c>
      <c r="BE60" s="5" t="s">
        <v>55</v>
      </c>
      <c r="BF60" s="8">
        <v>1.5599999999997838</v>
      </c>
      <c r="BG60" s="6">
        <v>45086</v>
      </c>
      <c r="BH60" s="5" t="s">
        <v>45</v>
      </c>
      <c r="BI60" s="5" t="s">
        <v>45</v>
      </c>
      <c r="BJ60" s="5" t="s">
        <v>52</v>
      </c>
      <c r="BK60" s="5" t="s">
        <v>52</v>
      </c>
      <c r="BL60" s="8" t="s">
        <v>46</v>
      </c>
      <c r="BM60" s="8">
        <v>4.7799999999997844</v>
      </c>
      <c r="BN60" s="8">
        <v>-0.84000000000017394</v>
      </c>
      <c r="BO60" s="8">
        <v>3.7099999999998801</v>
      </c>
      <c r="BP60" s="10" t="s">
        <v>46</v>
      </c>
    </row>
    <row r="61" spans="1:68" ht="14.5" customHeight="1" x14ac:dyDescent="0.35">
      <c r="A61" s="5">
        <v>60</v>
      </c>
      <c r="B61" s="6">
        <v>45078</v>
      </c>
      <c r="C61" s="5" t="s">
        <v>44</v>
      </c>
      <c r="D61" s="5" t="s">
        <v>45</v>
      </c>
      <c r="E61" s="5" t="s">
        <v>46</v>
      </c>
      <c r="F61" s="5" t="s">
        <v>67</v>
      </c>
      <c r="G61" s="7">
        <v>0.39583333333333331</v>
      </c>
      <c r="H61" s="7">
        <v>0.5625</v>
      </c>
      <c r="I61" s="5">
        <v>1.2448000000000001</v>
      </c>
      <c r="J61" s="5">
        <v>1.2498</v>
      </c>
      <c r="K61" s="8">
        <v>-2.5</v>
      </c>
      <c r="L61" s="8">
        <v>5</v>
      </c>
      <c r="M61" s="5">
        <f t="shared" si="0"/>
        <v>1.2423</v>
      </c>
      <c r="N61" s="5">
        <f t="shared" si="1"/>
        <v>1.2498</v>
      </c>
      <c r="O61" s="5">
        <v>9</v>
      </c>
      <c r="P61" s="8">
        <v>9.1099999999999515</v>
      </c>
      <c r="Q61" s="8">
        <v>-9.0000000000145519E-2</v>
      </c>
      <c r="R61" s="5">
        <v>2</v>
      </c>
      <c r="S61" s="5" t="s">
        <v>48</v>
      </c>
      <c r="T61" s="8">
        <v>5</v>
      </c>
      <c r="U61" s="5"/>
      <c r="V61" s="5"/>
      <c r="W61" s="5"/>
      <c r="X61" s="5"/>
      <c r="Y61" s="5"/>
      <c r="Z61" s="5"/>
      <c r="AA61" s="6">
        <v>45079</v>
      </c>
      <c r="AB61" s="5" t="s">
        <v>52</v>
      </c>
      <c r="AC61" s="5" t="s">
        <v>52</v>
      </c>
      <c r="AD61" s="8" t="s">
        <v>46</v>
      </c>
      <c r="AE61" s="8" t="s">
        <v>46</v>
      </c>
      <c r="AF61" s="8" t="s">
        <v>46</v>
      </c>
      <c r="AG61" s="5">
        <v>5</v>
      </c>
      <c r="AH61" s="8">
        <v>0</v>
      </c>
      <c r="AI61" s="8">
        <v>0</v>
      </c>
      <c r="AJ61" s="8">
        <v>0</v>
      </c>
      <c r="AK61" s="10" t="s">
        <v>46</v>
      </c>
      <c r="AL61" s="5"/>
      <c r="AM61" s="5">
        <v>60</v>
      </c>
      <c r="AN61" s="6">
        <v>45078</v>
      </c>
      <c r="AO61" s="5" t="s">
        <v>53</v>
      </c>
      <c r="AP61" s="5" t="s">
        <v>45</v>
      </c>
      <c r="AQ61" s="5" t="s">
        <v>46</v>
      </c>
      <c r="AR61" s="5" t="s">
        <v>67</v>
      </c>
      <c r="AS61" s="7">
        <v>0.39583333333333331</v>
      </c>
      <c r="AT61" s="7">
        <v>0.5625</v>
      </c>
      <c r="AU61" s="5">
        <v>1.2448000000000001</v>
      </c>
      <c r="AV61" s="5">
        <v>1.2498</v>
      </c>
      <c r="AW61" s="5">
        <f t="shared" si="2"/>
        <v>1.242</v>
      </c>
      <c r="AX61" s="5">
        <f t="shared" si="3"/>
        <v>1.2498</v>
      </c>
      <c r="AY61" s="5">
        <f>11.25*2.5</f>
        <v>28.125</v>
      </c>
      <c r="AZ61" s="8">
        <v>-2.81</v>
      </c>
      <c r="BA61" s="5">
        <v>9</v>
      </c>
      <c r="BB61" s="8">
        <v>9.1099999999999515</v>
      </c>
      <c r="BC61" s="8">
        <v>-9.0000000000145519E-2</v>
      </c>
      <c r="BD61" s="5">
        <v>2</v>
      </c>
      <c r="BE61" s="5" t="s">
        <v>48</v>
      </c>
      <c r="BF61" s="8">
        <v>5</v>
      </c>
      <c r="BG61" s="6">
        <v>45079</v>
      </c>
      <c r="BH61" s="5" t="s">
        <v>52</v>
      </c>
      <c r="BI61" s="5" t="s">
        <v>52</v>
      </c>
      <c r="BJ61" s="8" t="s">
        <v>46</v>
      </c>
      <c r="BK61" s="8" t="s">
        <v>46</v>
      </c>
      <c r="BL61" s="8" t="s">
        <v>46</v>
      </c>
      <c r="BM61" s="8">
        <v>0</v>
      </c>
      <c r="BN61" s="8">
        <v>0</v>
      </c>
      <c r="BO61" s="8">
        <v>0</v>
      </c>
      <c r="BP61" s="10" t="s">
        <v>46</v>
      </c>
    </row>
    <row r="62" spans="1:68" ht="14.5" customHeight="1" x14ac:dyDescent="0.35">
      <c r="A62" s="5">
        <v>61</v>
      </c>
      <c r="B62" s="6">
        <v>45071</v>
      </c>
      <c r="C62" s="5" t="s">
        <v>44</v>
      </c>
      <c r="D62" s="5" t="s">
        <v>45</v>
      </c>
      <c r="E62" s="5" t="s">
        <v>46</v>
      </c>
      <c r="F62" s="5" t="s">
        <v>47</v>
      </c>
      <c r="G62" s="7">
        <v>2.0833333333333332E-2</v>
      </c>
      <c r="H62" s="7">
        <v>0.39583333333333331</v>
      </c>
      <c r="I62" s="5">
        <v>1.2357</v>
      </c>
      <c r="J62" s="5">
        <v>1.2382</v>
      </c>
      <c r="K62" s="8">
        <v>-2.5</v>
      </c>
      <c r="L62" s="8">
        <v>5</v>
      </c>
      <c r="M62" s="5">
        <f t="shared" si="0"/>
        <v>1.2382</v>
      </c>
      <c r="N62" s="5">
        <f t="shared" si="1"/>
        <v>1.2306999999999999</v>
      </c>
      <c r="O62" s="5">
        <v>19</v>
      </c>
      <c r="P62" s="8">
        <v>4.930000000000101</v>
      </c>
      <c r="Q62" s="8">
        <v>-2.9399999999999427</v>
      </c>
      <c r="R62" s="5">
        <v>8</v>
      </c>
      <c r="S62" s="5" t="s">
        <v>68</v>
      </c>
      <c r="T62" s="8">
        <v>-2.5</v>
      </c>
      <c r="U62" s="5"/>
      <c r="V62" s="5"/>
      <c r="W62" s="5"/>
      <c r="X62" s="5"/>
      <c r="Y62" s="5"/>
      <c r="Z62" s="5"/>
      <c r="AA62" s="6">
        <v>45072</v>
      </c>
      <c r="AB62" s="5" t="s">
        <v>52</v>
      </c>
      <c r="AC62" s="5" t="s">
        <v>52</v>
      </c>
      <c r="AD62" s="8" t="s">
        <v>46</v>
      </c>
      <c r="AE62" s="8" t="s">
        <v>46</v>
      </c>
      <c r="AF62" s="8" t="s">
        <v>46</v>
      </c>
      <c r="AG62" s="5">
        <v>9</v>
      </c>
      <c r="AH62" s="8">
        <v>0</v>
      </c>
      <c r="AI62" s="8">
        <v>0</v>
      </c>
      <c r="AJ62" s="8">
        <v>0</v>
      </c>
      <c r="AK62" s="10" t="s">
        <v>46</v>
      </c>
      <c r="AL62" s="5"/>
      <c r="AM62" s="5">
        <v>61</v>
      </c>
      <c r="AN62" s="6">
        <v>45071</v>
      </c>
      <c r="AO62" s="5" t="s">
        <v>53</v>
      </c>
      <c r="AP62" s="5" t="s">
        <v>45</v>
      </c>
      <c r="AQ62" s="5" t="s">
        <v>46</v>
      </c>
      <c r="AR62" s="5" t="s">
        <v>47</v>
      </c>
      <c r="AS62" s="7">
        <v>2.0833333333333332E-2</v>
      </c>
      <c r="AT62" s="7">
        <v>0.39583333333333331</v>
      </c>
      <c r="AU62" s="5">
        <v>1.2357</v>
      </c>
      <c r="AV62" s="5">
        <v>1.2385999999999999</v>
      </c>
      <c r="AW62" s="5">
        <f t="shared" si="2"/>
        <v>1.2385999999999999</v>
      </c>
      <c r="AX62" s="5">
        <f t="shared" si="3"/>
        <v>1.2306999999999999</v>
      </c>
      <c r="AY62" s="5">
        <f>11.64*2.5</f>
        <v>29.1</v>
      </c>
      <c r="AZ62" s="8">
        <v>-2.91</v>
      </c>
      <c r="BA62" s="5">
        <v>19</v>
      </c>
      <c r="BB62" s="8">
        <v>4.930000000000101</v>
      </c>
      <c r="BC62" s="8">
        <v>-2.9399999999999427</v>
      </c>
      <c r="BD62" s="5">
        <v>8</v>
      </c>
      <c r="BE62" s="5" t="s">
        <v>68</v>
      </c>
      <c r="BF62" s="8">
        <v>-2.91</v>
      </c>
      <c r="BG62" s="6">
        <v>45072</v>
      </c>
      <c r="BH62" s="5" t="s">
        <v>52</v>
      </c>
      <c r="BI62" s="5" t="s">
        <v>52</v>
      </c>
      <c r="BJ62" s="8" t="s">
        <v>46</v>
      </c>
      <c r="BK62" s="8" t="s">
        <v>46</v>
      </c>
      <c r="BL62" s="8" t="s">
        <v>46</v>
      </c>
      <c r="BM62" s="8">
        <v>0</v>
      </c>
      <c r="BN62" s="8">
        <v>0</v>
      </c>
      <c r="BO62" s="8">
        <v>0</v>
      </c>
      <c r="BP62" s="10" t="s">
        <v>46</v>
      </c>
    </row>
    <row r="63" spans="1:68" ht="14.5" customHeight="1" x14ac:dyDescent="0.35">
      <c r="A63" s="5">
        <v>62</v>
      </c>
      <c r="B63" s="6">
        <v>45071</v>
      </c>
      <c r="C63" s="5" t="s">
        <v>44</v>
      </c>
      <c r="D63" s="5" t="s">
        <v>45</v>
      </c>
      <c r="E63" s="5" t="s">
        <v>46</v>
      </c>
      <c r="F63" s="5" t="s">
        <v>47</v>
      </c>
      <c r="G63" s="7">
        <v>0.4375</v>
      </c>
      <c r="H63" s="7">
        <v>0.97916666666666663</v>
      </c>
      <c r="I63" s="5">
        <v>1.2357</v>
      </c>
      <c r="J63" s="5">
        <v>1.2316100000000001</v>
      </c>
      <c r="K63" s="8">
        <v>-2.5</v>
      </c>
      <c r="L63" s="8">
        <v>5</v>
      </c>
      <c r="M63" s="5">
        <f t="shared" si="0"/>
        <v>1.2382</v>
      </c>
      <c r="N63" s="5">
        <f t="shared" si="1"/>
        <v>1.2306999999999999</v>
      </c>
      <c r="O63" s="5">
        <v>27</v>
      </c>
      <c r="P63" s="8">
        <v>4.930000000000101</v>
      </c>
      <c r="Q63" s="8">
        <v>-2.9399999999999427</v>
      </c>
      <c r="R63" s="5">
        <v>8</v>
      </c>
      <c r="S63" s="5" t="s">
        <v>55</v>
      </c>
      <c r="T63" s="8">
        <v>4.089999999999927</v>
      </c>
      <c r="U63" s="5"/>
      <c r="V63" s="5"/>
      <c r="W63" s="5"/>
      <c r="X63" s="5"/>
      <c r="Y63" s="5"/>
      <c r="Z63" s="5"/>
      <c r="AA63" s="6">
        <v>45072</v>
      </c>
      <c r="AB63" s="5" t="s">
        <v>45</v>
      </c>
      <c r="AC63" s="5" t="s">
        <v>52</v>
      </c>
      <c r="AD63" s="5" t="s">
        <v>45</v>
      </c>
      <c r="AE63" s="5" t="s">
        <v>52</v>
      </c>
      <c r="AF63" s="5" t="s">
        <v>52</v>
      </c>
      <c r="AG63" s="5">
        <v>9</v>
      </c>
      <c r="AH63" s="8">
        <v>4.629999999999912</v>
      </c>
      <c r="AI63" s="8">
        <v>-3.8000000000000256</v>
      </c>
      <c r="AJ63" s="8">
        <v>-2.5</v>
      </c>
      <c r="AK63" s="10" t="s">
        <v>46</v>
      </c>
      <c r="AL63" s="5"/>
      <c r="AM63" s="5">
        <v>62</v>
      </c>
      <c r="AN63" s="6">
        <v>45071</v>
      </c>
      <c r="AO63" s="5" t="s">
        <v>53</v>
      </c>
      <c r="AP63" s="5" t="s">
        <v>45</v>
      </c>
      <c r="AQ63" s="5" t="s">
        <v>46</v>
      </c>
      <c r="AR63" s="5" t="s">
        <v>47</v>
      </c>
      <c r="AS63" s="7">
        <v>0.4375</v>
      </c>
      <c r="AT63" s="7">
        <v>0.97916666666666663</v>
      </c>
      <c r="AU63" s="5">
        <v>1.2357</v>
      </c>
      <c r="AV63" s="5">
        <v>1.2316100000000001</v>
      </c>
      <c r="AW63" s="5">
        <f t="shared" si="2"/>
        <v>1.2385999999999999</v>
      </c>
      <c r="AX63" s="5">
        <f t="shared" si="3"/>
        <v>1.2306999999999999</v>
      </c>
      <c r="AY63" s="5">
        <f>11.64*2.5</f>
        <v>29.1</v>
      </c>
      <c r="AZ63" s="8">
        <v>-2.91</v>
      </c>
      <c r="BA63" s="5">
        <v>27</v>
      </c>
      <c r="BB63" s="8">
        <v>4.930000000000101</v>
      </c>
      <c r="BC63" s="8">
        <v>-2.9399999999999427</v>
      </c>
      <c r="BD63" s="5">
        <v>8</v>
      </c>
      <c r="BE63" s="5" t="s">
        <v>55</v>
      </c>
      <c r="BF63" s="8">
        <v>4.089999999999927</v>
      </c>
      <c r="BG63" s="6">
        <v>45072</v>
      </c>
      <c r="BH63" s="5" t="s">
        <v>45</v>
      </c>
      <c r="BI63" s="5" t="s">
        <v>52</v>
      </c>
      <c r="BJ63" s="5" t="s">
        <v>45</v>
      </c>
      <c r="BK63" s="5" t="s">
        <v>52</v>
      </c>
      <c r="BL63" s="5" t="s">
        <v>52</v>
      </c>
      <c r="BM63" s="8">
        <v>4.629999999999912</v>
      </c>
      <c r="BN63" s="8">
        <v>-3.8000000000000256</v>
      </c>
      <c r="BO63" s="8">
        <v>-2.91</v>
      </c>
      <c r="BP63" s="10" t="s">
        <v>46</v>
      </c>
    </row>
    <row r="64" spans="1:68" ht="14.5" customHeight="1" x14ac:dyDescent="0.35">
      <c r="A64" s="5">
        <v>63</v>
      </c>
      <c r="B64" s="6">
        <v>45070</v>
      </c>
      <c r="C64" s="5" t="s">
        <v>44</v>
      </c>
      <c r="D64" s="5" t="s">
        <v>45</v>
      </c>
      <c r="E64" s="5" t="s">
        <v>46</v>
      </c>
      <c r="F64" s="5" t="s">
        <v>47</v>
      </c>
      <c r="G64" s="7">
        <v>0.41666666666666669</v>
      </c>
      <c r="H64" s="7">
        <v>0.5</v>
      </c>
      <c r="I64" s="5">
        <v>1.2377</v>
      </c>
      <c r="J64" s="5">
        <v>1.2402</v>
      </c>
      <c r="K64" s="8">
        <v>-2.5</v>
      </c>
      <c r="L64" s="8">
        <v>5</v>
      </c>
      <c r="M64" s="5">
        <f t="shared" si="0"/>
        <v>1.2402</v>
      </c>
      <c r="N64" s="5">
        <f t="shared" si="1"/>
        <v>1.2326999999999999</v>
      </c>
      <c r="O64" s="5">
        <v>5</v>
      </c>
      <c r="P64" s="8">
        <v>2.5200000000000777</v>
      </c>
      <c r="Q64" s="8">
        <v>-3.7400000000000766</v>
      </c>
      <c r="R64" s="5">
        <v>6</v>
      </c>
      <c r="S64" s="5" t="s">
        <v>68</v>
      </c>
      <c r="T64" s="8">
        <v>-2.5</v>
      </c>
      <c r="U64" s="5"/>
      <c r="V64" s="5"/>
      <c r="W64" s="5"/>
      <c r="X64" s="5"/>
      <c r="Y64" s="5"/>
      <c r="Z64" s="5"/>
      <c r="AA64" s="6">
        <v>45071</v>
      </c>
      <c r="AB64" s="5" t="s">
        <v>52</v>
      </c>
      <c r="AC64" s="5" t="s">
        <v>45</v>
      </c>
      <c r="AD64" s="8" t="s">
        <v>46</v>
      </c>
      <c r="AE64" s="8" t="s">
        <v>46</v>
      </c>
      <c r="AF64" s="5" t="s">
        <v>45</v>
      </c>
      <c r="AG64" s="5">
        <v>4</v>
      </c>
      <c r="AH64" s="8">
        <v>0</v>
      </c>
      <c r="AI64" s="8">
        <v>0</v>
      </c>
      <c r="AJ64" s="8">
        <v>0</v>
      </c>
      <c r="AK64" s="10" t="s">
        <v>46</v>
      </c>
      <c r="AL64" s="5"/>
      <c r="AM64" s="5">
        <v>63</v>
      </c>
      <c r="AN64" s="6">
        <v>45070</v>
      </c>
      <c r="AO64" s="5" t="s">
        <v>53</v>
      </c>
      <c r="AP64" s="5" t="s">
        <v>45</v>
      </c>
      <c r="AQ64" s="5" t="s">
        <v>46</v>
      </c>
      <c r="AR64" s="5" t="s">
        <v>47</v>
      </c>
      <c r="AS64" s="7">
        <v>0.41666666666666669</v>
      </c>
      <c r="AT64" s="7">
        <v>0.5</v>
      </c>
      <c r="AU64" s="5">
        <v>1.2377</v>
      </c>
      <c r="AV64" s="5">
        <v>1.2405999999999999</v>
      </c>
      <c r="AW64" s="5">
        <f t="shared" si="2"/>
        <v>1.2405999999999999</v>
      </c>
      <c r="AX64" s="5">
        <f t="shared" si="3"/>
        <v>1.2326999999999999</v>
      </c>
      <c r="AY64" s="5">
        <f>11.53*2.5</f>
        <v>28.824999999999999</v>
      </c>
      <c r="AZ64" s="8">
        <v>-2.88</v>
      </c>
      <c r="BA64" s="5">
        <v>5</v>
      </c>
      <c r="BB64" s="8">
        <v>2.5200000000000777</v>
      </c>
      <c r="BC64" s="8">
        <v>-3.7400000000000766</v>
      </c>
      <c r="BD64" s="5">
        <v>6</v>
      </c>
      <c r="BE64" s="5" t="s">
        <v>68</v>
      </c>
      <c r="BF64" s="8">
        <v>-2.88</v>
      </c>
      <c r="BG64" s="6">
        <v>45071</v>
      </c>
      <c r="BH64" s="5" t="s">
        <v>52</v>
      </c>
      <c r="BI64" s="5" t="s">
        <v>45</v>
      </c>
      <c r="BJ64" s="8" t="s">
        <v>46</v>
      </c>
      <c r="BK64" s="8" t="s">
        <v>46</v>
      </c>
      <c r="BL64" s="5" t="s">
        <v>45</v>
      </c>
      <c r="BM64" s="8">
        <v>0</v>
      </c>
      <c r="BN64" s="8">
        <v>0</v>
      </c>
      <c r="BO64" s="8">
        <v>0</v>
      </c>
      <c r="BP64" s="10" t="s">
        <v>46</v>
      </c>
    </row>
    <row r="65" spans="1:68" ht="14.5" customHeight="1" x14ac:dyDescent="0.35">
      <c r="A65" s="5">
        <v>64</v>
      </c>
      <c r="B65" s="6">
        <v>45070</v>
      </c>
      <c r="C65" s="5" t="s">
        <v>44</v>
      </c>
      <c r="D65" s="5" t="s">
        <v>45</v>
      </c>
      <c r="E65" s="5" t="s">
        <v>46</v>
      </c>
      <c r="F65" s="5" t="s">
        <v>47</v>
      </c>
      <c r="G65" s="7">
        <v>0.58333333333333337</v>
      </c>
      <c r="H65" s="7">
        <v>0.97916666666666663</v>
      </c>
      <c r="I65" s="5">
        <v>1.2377</v>
      </c>
      <c r="J65" s="5">
        <v>1.2369399999999999</v>
      </c>
      <c r="K65" s="8">
        <v>-2.5</v>
      </c>
      <c r="L65" s="8">
        <v>5</v>
      </c>
      <c r="M65" s="5">
        <f t="shared" si="0"/>
        <v>1.2402</v>
      </c>
      <c r="N65" s="5">
        <f t="shared" si="1"/>
        <v>1.2326999999999999</v>
      </c>
      <c r="O65" s="5">
        <v>21</v>
      </c>
      <c r="P65" s="8">
        <v>2.5200000000000777</v>
      </c>
      <c r="Q65" s="8">
        <v>-3.7400000000000766</v>
      </c>
      <c r="R65" s="5">
        <v>6</v>
      </c>
      <c r="S65" s="5" t="s">
        <v>55</v>
      </c>
      <c r="T65" s="8">
        <v>0.76000000000009393</v>
      </c>
      <c r="U65" s="5"/>
      <c r="V65" s="5"/>
      <c r="W65" s="5"/>
      <c r="X65" s="5"/>
      <c r="Y65" s="5"/>
      <c r="Z65" s="5"/>
      <c r="AA65" s="6">
        <v>45071</v>
      </c>
      <c r="AB65" s="5" t="s">
        <v>45</v>
      </c>
      <c r="AC65" s="5" t="s">
        <v>45</v>
      </c>
      <c r="AD65" s="5" t="s">
        <v>52</v>
      </c>
      <c r="AE65" s="5" t="s">
        <v>45</v>
      </c>
      <c r="AF65" s="5" t="s">
        <v>46</v>
      </c>
      <c r="AG65" s="5">
        <v>4</v>
      </c>
      <c r="AH65" s="8">
        <v>6.9300000000001036</v>
      </c>
      <c r="AI65" s="8">
        <v>-0.93999999999994088</v>
      </c>
      <c r="AJ65" s="8">
        <v>5</v>
      </c>
      <c r="AK65" s="10" t="s">
        <v>46</v>
      </c>
      <c r="AL65" s="5"/>
      <c r="AM65" s="5">
        <v>64</v>
      </c>
      <c r="AN65" s="6">
        <v>45070</v>
      </c>
      <c r="AO65" s="5" t="s">
        <v>53</v>
      </c>
      <c r="AP65" s="5" t="s">
        <v>45</v>
      </c>
      <c r="AQ65" s="5" t="s">
        <v>46</v>
      </c>
      <c r="AR65" s="5" t="s">
        <v>47</v>
      </c>
      <c r="AS65" s="7">
        <v>0.58333333333333337</v>
      </c>
      <c r="AT65" s="7">
        <v>0.97916666666666663</v>
      </c>
      <c r="AU65" s="5">
        <v>1.2377</v>
      </c>
      <c r="AV65" s="5">
        <v>1.2369399999999999</v>
      </c>
      <c r="AW65" s="5">
        <f t="shared" si="2"/>
        <v>1.2405999999999999</v>
      </c>
      <c r="AX65" s="5">
        <f t="shared" si="3"/>
        <v>1.2326999999999999</v>
      </c>
      <c r="AY65" s="5">
        <f>11.53*2.5</f>
        <v>28.824999999999999</v>
      </c>
      <c r="AZ65" s="8">
        <v>-2.88</v>
      </c>
      <c r="BA65" s="5">
        <v>21</v>
      </c>
      <c r="BB65" s="8">
        <v>2.5200000000000777</v>
      </c>
      <c r="BC65" s="8">
        <v>-3.7400000000000766</v>
      </c>
      <c r="BD65" s="5">
        <v>6</v>
      </c>
      <c r="BE65" s="5" t="s">
        <v>55</v>
      </c>
      <c r="BF65" s="8">
        <v>0.76000000000009393</v>
      </c>
      <c r="BG65" s="6">
        <v>45071</v>
      </c>
      <c r="BH65" s="5" t="s">
        <v>45</v>
      </c>
      <c r="BI65" s="5" t="s">
        <v>45</v>
      </c>
      <c r="BJ65" s="5" t="s">
        <v>52</v>
      </c>
      <c r="BK65" s="5" t="s">
        <v>45</v>
      </c>
      <c r="BL65" s="5" t="s">
        <v>46</v>
      </c>
      <c r="BM65" s="8">
        <v>6.9300000000001036</v>
      </c>
      <c r="BN65" s="8">
        <v>-0.93999999999994088</v>
      </c>
      <c r="BO65" s="8">
        <v>5</v>
      </c>
      <c r="BP65" s="10" t="s">
        <v>46</v>
      </c>
    </row>
    <row r="66" spans="1:68" ht="14.5" customHeight="1" x14ac:dyDescent="0.35">
      <c r="A66" s="5">
        <v>65</v>
      </c>
      <c r="B66" s="6">
        <v>45069</v>
      </c>
      <c r="C66" s="5" t="s">
        <v>44</v>
      </c>
      <c r="D66" s="5" t="s">
        <v>45</v>
      </c>
      <c r="E66" s="5" t="s">
        <v>46</v>
      </c>
      <c r="F66" s="5" t="s">
        <v>47</v>
      </c>
      <c r="G66" s="7">
        <v>0.33333333333333331</v>
      </c>
      <c r="H66" s="7">
        <v>0.5625</v>
      </c>
      <c r="I66" s="5">
        <v>1.2393000000000001</v>
      </c>
      <c r="J66" s="5">
        <v>1.2418</v>
      </c>
      <c r="K66" s="8">
        <v>-2.5</v>
      </c>
      <c r="L66" s="8">
        <v>5</v>
      </c>
      <c r="M66" s="5">
        <f t="shared" ref="M66:M110" si="4">IF(F66="Sell", INT(I66) + (ROUND(MOD(I66,1) + 0.0025, 4)), IF(F66="Buy", INT(I66) + (ROUND(MOD(I66,1) - 0.0025, 4)), "Invalid Direction"))</f>
        <v>1.2418</v>
      </c>
      <c r="N66" s="5">
        <f t="shared" ref="N66:N110" si="5">IF(F66="Sell", INT(I66) + (ROUND(MOD(I66,1) - 0.005, 4)), IF(F66="Buy", INT(I66) + (ROUND(MOD(I66,1) + 0.005, 4)), "Invalid Direction"))</f>
        <v>1.2343</v>
      </c>
      <c r="O66" s="5">
        <v>12</v>
      </c>
      <c r="P66" s="8">
        <v>2.0400000000000418</v>
      </c>
      <c r="Q66" s="8">
        <v>-4.0799999999998624</v>
      </c>
      <c r="R66" s="5">
        <v>5</v>
      </c>
      <c r="S66" s="5" t="s">
        <v>68</v>
      </c>
      <c r="T66" s="8">
        <v>-2.5</v>
      </c>
      <c r="U66" s="5"/>
      <c r="V66" s="5"/>
      <c r="W66" s="5"/>
      <c r="X66" s="5"/>
      <c r="Y66" s="5"/>
      <c r="Z66" s="5"/>
      <c r="AA66" s="6">
        <v>45070</v>
      </c>
      <c r="AB66" s="5" t="s">
        <v>52</v>
      </c>
      <c r="AC66" s="5" t="s">
        <v>45</v>
      </c>
      <c r="AD66" s="8" t="s">
        <v>46</v>
      </c>
      <c r="AE66" s="8" t="s">
        <v>46</v>
      </c>
      <c r="AF66" s="8" t="s">
        <v>46</v>
      </c>
      <c r="AG66" s="5">
        <v>4</v>
      </c>
      <c r="AH66" s="8">
        <v>0</v>
      </c>
      <c r="AI66" s="8">
        <v>0</v>
      </c>
      <c r="AJ66" s="8">
        <v>0</v>
      </c>
      <c r="AK66" s="10" t="s">
        <v>46</v>
      </c>
      <c r="AL66" s="5"/>
      <c r="AM66" s="5">
        <v>65</v>
      </c>
      <c r="AN66" s="6">
        <v>45069</v>
      </c>
      <c r="AO66" s="5" t="s">
        <v>53</v>
      </c>
      <c r="AP66" s="5" t="s">
        <v>45</v>
      </c>
      <c r="AQ66" s="5" t="s">
        <v>46</v>
      </c>
      <c r="AR66" s="5" t="s">
        <v>47</v>
      </c>
      <c r="AS66" s="7">
        <v>0.33333333333333331</v>
      </c>
      <c r="AT66" s="7">
        <v>0.5625</v>
      </c>
      <c r="AU66" s="5">
        <v>1.2393000000000001</v>
      </c>
      <c r="AV66" s="5">
        <v>1.2422</v>
      </c>
      <c r="AW66" s="5">
        <f t="shared" ref="AW66:AW110" si="6">IF(AR66="Sell",
   INT(AU66) + (ROUND(MOD(AU66,1) + (AY66/10000), 4)),
   IF(AR66="Buy",
      INT(AU66) + (ROUND(MOD(AU66,1) - (AY66/10000), 4)),
      "Invalid Direction"))</f>
        <v>1.2422</v>
      </c>
      <c r="AX66" s="5">
        <f t="shared" ref="AX66:AX110" si="7">IF(AR66="Sell", INT(AU66) + (ROUND(MOD(AU66,1) - 0.005, 4)), IF(AR66="Buy", INT(AU66) + (ROUND(MOD(AU66,1) + 0.005, 4)), "Invalid Direction"))</f>
        <v>1.2343</v>
      </c>
      <c r="AY66" s="5">
        <f>11.54*2.5</f>
        <v>28.849999999999998</v>
      </c>
      <c r="AZ66" s="8">
        <v>-2.88</v>
      </c>
      <c r="BA66" s="5">
        <v>12</v>
      </c>
      <c r="BB66" s="8">
        <v>2.0400000000000418</v>
      </c>
      <c r="BC66" s="8">
        <v>-4.0799999999998624</v>
      </c>
      <c r="BD66" s="5">
        <v>5</v>
      </c>
      <c r="BE66" s="5" t="s">
        <v>68</v>
      </c>
      <c r="BF66" s="8">
        <v>-2.88</v>
      </c>
      <c r="BG66" s="6">
        <v>45070</v>
      </c>
      <c r="BH66" s="5" t="s">
        <v>52</v>
      </c>
      <c r="BI66" s="5" t="s">
        <v>45</v>
      </c>
      <c r="BJ66" s="8" t="s">
        <v>46</v>
      </c>
      <c r="BK66" s="8" t="s">
        <v>46</v>
      </c>
      <c r="BL66" s="8" t="s">
        <v>46</v>
      </c>
      <c r="BM66" s="8">
        <v>0</v>
      </c>
      <c r="BN66" s="8">
        <v>0</v>
      </c>
      <c r="BO66" s="8">
        <v>0</v>
      </c>
      <c r="BP66" s="10" t="s">
        <v>46</v>
      </c>
    </row>
    <row r="67" spans="1:68" ht="14.5" customHeight="1" x14ac:dyDescent="0.35">
      <c r="A67" s="5">
        <v>66</v>
      </c>
      <c r="B67" s="6">
        <v>45065</v>
      </c>
      <c r="C67" s="5" t="s">
        <v>44</v>
      </c>
      <c r="D67" s="5" t="s">
        <v>45</v>
      </c>
      <c r="E67" s="5" t="s">
        <v>46</v>
      </c>
      <c r="F67" s="5" t="s">
        <v>47</v>
      </c>
      <c r="G67" s="7">
        <v>4.1666666666666664E-2</v>
      </c>
      <c r="H67" s="7">
        <v>0.25</v>
      </c>
      <c r="I67" s="5">
        <v>1.2396</v>
      </c>
      <c r="J67" s="5">
        <v>1.2421</v>
      </c>
      <c r="K67" s="8">
        <v>-2.5</v>
      </c>
      <c r="L67" s="8">
        <v>5</v>
      </c>
      <c r="M67" s="5">
        <f t="shared" si="4"/>
        <v>1.2421</v>
      </c>
      <c r="N67" s="5">
        <f t="shared" si="5"/>
        <v>1.2345999999999999</v>
      </c>
      <c r="O67" s="5">
        <v>11</v>
      </c>
      <c r="P67" s="8">
        <v>0.12999999999996348</v>
      </c>
      <c r="Q67" s="8">
        <v>-9.0500000000000025</v>
      </c>
      <c r="R67" s="5">
        <v>8</v>
      </c>
      <c r="S67" s="5" t="s">
        <v>68</v>
      </c>
      <c r="T67" s="8">
        <v>-2.5</v>
      </c>
      <c r="U67" s="5"/>
      <c r="V67" s="5"/>
      <c r="W67" s="5"/>
      <c r="X67" s="5"/>
      <c r="Y67" s="5"/>
      <c r="Z67" s="5"/>
      <c r="AA67" s="6">
        <v>45068</v>
      </c>
      <c r="AB67" s="5" t="s">
        <v>52</v>
      </c>
      <c r="AC67" s="5" t="s">
        <v>52</v>
      </c>
      <c r="AD67" s="8" t="s">
        <v>46</v>
      </c>
      <c r="AE67" s="8" t="s">
        <v>46</v>
      </c>
      <c r="AF67" s="8" t="s">
        <v>46</v>
      </c>
      <c r="AG67" s="5">
        <v>0</v>
      </c>
      <c r="AH67" s="8">
        <v>0</v>
      </c>
      <c r="AI67" s="8">
        <v>0</v>
      </c>
      <c r="AJ67" s="8">
        <v>0</v>
      </c>
      <c r="AK67" s="10" t="s">
        <v>46</v>
      </c>
      <c r="AL67" s="5"/>
      <c r="AM67" s="5">
        <v>66</v>
      </c>
      <c r="AN67" s="6">
        <v>45065</v>
      </c>
      <c r="AO67" s="5" t="s">
        <v>53</v>
      </c>
      <c r="AP67" s="5" t="s">
        <v>45</v>
      </c>
      <c r="AQ67" s="5" t="s">
        <v>46</v>
      </c>
      <c r="AR67" s="5" t="s">
        <v>47</v>
      </c>
      <c r="AS67" s="7">
        <v>4.1666666666666664E-2</v>
      </c>
      <c r="AT67" s="7">
        <v>0.25</v>
      </c>
      <c r="AU67" s="5">
        <v>1.2396</v>
      </c>
      <c r="AV67" s="5">
        <v>1.2424999999999999</v>
      </c>
      <c r="AW67" s="5">
        <f t="shared" si="6"/>
        <v>1.2424999999999999</v>
      </c>
      <c r="AX67" s="5">
        <f t="shared" si="7"/>
        <v>1.2345999999999999</v>
      </c>
      <c r="AY67" s="5">
        <f>11.45*2.5</f>
        <v>28.625</v>
      </c>
      <c r="AZ67" s="8">
        <v>-2.86</v>
      </c>
      <c r="BA67" s="5">
        <v>11</v>
      </c>
      <c r="BB67" s="8">
        <v>0.12999999999996348</v>
      </c>
      <c r="BC67" s="8">
        <v>-9.0500000000000025</v>
      </c>
      <c r="BD67" s="5">
        <v>8</v>
      </c>
      <c r="BE67" s="5" t="s">
        <v>68</v>
      </c>
      <c r="BF67" s="8">
        <v>-2.86</v>
      </c>
      <c r="BG67" s="6">
        <v>45068</v>
      </c>
      <c r="BH67" s="5" t="s">
        <v>52</v>
      </c>
      <c r="BI67" s="5" t="s">
        <v>52</v>
      </c>
      <c r="BJ67" s="8" t="s">
        <v>46</v>
      </c>
      <c r="BK67" s="8" t="s">
        <v>46</v>
      </c>
      <c r="BL67" s="8" t="s">
        <v>46</v>
      </c>
      <c r="BM67" s="8">
        <v>0</v>
      </c>
      <c r="BN67" s="8">
        <v>0</v>
      </c>
      <c r="BO67" s="8">
        <v>0</v>
      </c>
      <c r="BP67" s="10" t="s">
        <v>46</v>
      </c>
    </row>
    <row r="68" spans="1:68" ht="14.5" customHeight="1" x14ac:dyDescent="0.35">
      <c r="A68" s="5">
        <v>67</v>
      </c>
      <c r="B68" s="6">
        <v>45057</v>
      </c>
      <c r="C68" s="5" t="s">
        <v>44</v>
      </c>
      <c r="D68" s="5" t="s">
        <v>45</v>
      </c>
      <c r="E68" s="5" t="s">
        <v>46</v>
      </c>
      <c r="F68" s="5" t="s">
        <v>47</v>
      </c>
      <c r="G68" s="7">
        <v>0.54166666666666663</v>
      </c>
      <c r="H68" s="7">
        <v>0.58333333333333337</v>
      </c>
      <c r="I68" s="5">
        <v>1.2553000000000001</v>
      </c>
      <c r="J68" s="5">
        <v>1.2503</v>
      </c>
      <c r="K68" s="8">
        <v>-2.5</v>
      </c>
      <c r="L68" s="8">
        <v>5</v>
      </c>
      <c r="M68" s="5">
        <f t="shared" si="4"/>
        <v>1.2578</v>
      </c>
      <c r="N68" s="5">
        <f t="shared" si="5"/>
        <v>1.2503</v>
      </c>
      <c r="O68" s="5">
        <v>3</v>
      </c>
      <c r="P68" s="8">
        <v>5.6700000000000648</v>
      </c>
      <c r="Q68" s="8">
        <v>0</v>
      </c>
      <c r="R68" s="5">
        <v>0</v>
      </c>
      <c r="S68" s="5" t="s">
        <v>48</v>
      </c>
      <c r="T68" s="8">
        <v>5</v>
      </c>
      <c r="U68" s="5"/>
      <c r="V68" s="5"/>
      <c r="W68" s="5"/>
      <c r="X68" s="5"/>
      <c r="Y68" s="5"/>
      <c r="Z68" s="5"/>
      <c r="AA68" s="6">
        <v>45058</v>
      </c>
      <c r="AB68" s="5" t="s">
        <v>52</v>
      </c>
      <c r="AC68" s="5" t="s">
        <v>45</v>
      </c>
      <c r="AD68" s="8" t="s">
        <v>46</v>
      </c>
      <c r="AE68" s="8" t="s">
        <v>46</v>
      </c>
      <c r="AF68" s="8" t="s">
        <v>46</v>
      </c>
      <c r="AG68" s="5">
        <v>0</v>
      </c>
      <c r="AH68" s="8">
        <v>0</v>
      </c>
      <c r="AI68" s="8">
        <v>0</v>
      </c>
      <c r="AJ68" s="8">
        <v>0</v>
      </c>
      <c r="AK68" s="10" t="s">
        <v>46</v>
      </c>
      <c r="AL68" s="5"/>
      <c r="AM68" s="5">
        <v>67</v>
      </c>
      <c r="AN68" s="6">
        <v>45057</v>
      </c>
      <c r="AO68" s="5" t="s">
        <v>53</v>
      </c>
      <c r="AP68" s="5" t="s">
        <v>45</v>
      </c>
      <c r="AQ68" s="5" t="s">
        <v>46</v>
      </c>
      <c r="AR68" s="5" t="s">
        <v>47</v>
      </c>
      <c r="AS68" s="7">
        <v>0.54166666666666663</v>
      </c>
      <c r="AT68" s="7">
        <v>0.58333333333333337</v>
      </c>
      <c r="AU68" s="5">
        <v>1.2553000000000001</v>
      </c>
      <c r="AV68" s="5">
        <v>1.2503</v>
      </c>
      <c r="AW68" s="5">
        <f t="shared" si="6"/>
        <v>1.2582</v>
      </c>
      <c r="AX68" s="5">
        <f t="shared" si="7"/>
        <v>1.2503</v>
      </c>
      <c r="AY68" s="5">
        <f>11.52*2.5</f>
        <v>28.799999999999997</v>
      </c>
      <c r="AZ68" s="8">
        <v>-2.88</v>
      </c>
      <c r="BA68" s="5">
        <v>3</v>
      </c>
      <c r="BB68" s="8">
        <v>5.6700000000000648</v>
      </c>
      <c r="BC68" s="8">
        <v>0</v>
      </c>
      <c r="BD68" s="5">
        <v>0</v>
      </c>
      <c r="BE68" s="5" t="s">
        <v>48</v>
      </c>
      <c r="BF68" s="8">
        <v>5</v>
      </c>
      <c r="BG68" s="6">
        <v>45058</v>
      </c>
      <c r="BH68" s="5" t="s">
        <v>52</v>
      </c>
      <c r="BI68" s="5" t="s">
        <v>45</v>
      </c>
      <c r="BJ68" s="8" t="s">
        <v>46</v>
      </c>
      <c r="BK68" s="8" t="s">
        <v>46</v>
      </c>
      <c r="BL68" s="8" t="s">
        <v>46</v>
      </c>
      <c r="BM68" s="8">
        <v>0</v>
      </c>
      <c r="BN68" s="8">
        <v>0</v>
      </c>
      <c r="BO68" s="8">
        <v>0</v>
      </c>
      <c r="BP68" s="10" t="s">
        <v>46</v>
      </c>
    </row>
    <row r="69" spans="1:68" ht="14.5" customHeight="1" x14ac:dyDescent="0.35">
      <c r="A69" s="5">
        <v>68</v>
      </c>
      <c r="B69" s="6">
        <v>45054</v>
      </c>
      <c r="C69" s="5" t="s">
        <v>44</v>
      </c>
      <c r="D69" s="5" t="s">
        <v>45</v>
      </c>
      <c r="E69" s="5" t="s">
        <v>46</v>
      </c>
      <c r="F69" s="5" t="s">
        <v>67</v>
      </c>
      <c r="G69" s="7">
        <v>0.16666666666666666</v>
      </c>
      <c r="H69" s="7">
        <v>0.75</v>
      </c>
      <c r="I69" s="5">
        <v>1.2647000000000002</v>
      </c>
      <c r="J69" s="5">
        <v>1.2622</v>
      </c>
      <c r="K69" s="8">
        <v>-2.5</v>
      </c>
      <c r="L69" s="8">
        <v>5</v>
      </c>
      <c r="M69" s="5">
        <f t="shared" si="4"/>
        <v>1.2622</v>
      </c>
      <c r="N69" s="5">
        <f t="shared" si="5"/>
        <v>1.2697000000000001</v>
      </c>
      <c r="O69" s="5">
        <v>29</v>
      </c>
      <c r="P69" s="8">
        <v>2.1399999999998087</v>
      </c>
      <c r="Q69" s="8">
        <v>-4.0600000000001746</v>
      </c>
      <c r="R69" s="5">
        <v>11</v>
      </c>
      <c r="S69" s="5" t="s">
        <v>68</v>
      </c>
      <c r="T69" s="8">
        <v>-2.5</v>
      </c>
      <c r="U69" s="5"/>
      <c r="V69" s="5"/>
      <c r="W69" s="5"/>
      <c r="X69" s="5"/>
      <c r="Y69" s="5"/>
      <c r="Z69" s="5"/>
      <c r="AA69" s="6">
        <v>45055</v>
      </c>
      <c r="AB69" s="5" t="s">
        <v>52</v>
      </c>
      <c r="AC69" s="5" t="s">
        <v>52</v>
      </c>
      <c r="AD69" s="8" t="s">
        <v>46</v>
      </c>
      <c r="AE69" s="8" t="s">
        <v>46</v>
      </c>
      <c r="AF69" s="8" t="s">
        <v>46</v>
      </c>
      <c r="AG69" s="5">
        <v>0</v>
      </c>
      <c r="AH69" s="8">
        <v>0</v>
      </c>
      <c r="AI69" s="8">
        <v>0</v>
      </c>
      <c r="AJ69" s="8">
        <v>0</v>
      </c>
      <c r="AK69" s="10" t="s">
        <v>46</v>
      </c>
      <c r="AL69" s="5"/>
      <c r="AM69" s="5">
        <v>68</v>
      </c>
      <c r="AN69" s="6">
        <v>45054</v>
      </c>
      <c r="AO69" s="5" t="s">
        <v>53</v>
      </c>
      <c r="AP69" s="5" t="s">
        <v>45</v>
      </c>
      <c r="AQ69" s="5" t="s">
        <v>46</v>
      </c>
      <c r="AR69" s="5" t="s">
        <v>67</v>
      </c>
      <c r="AS69" s="7">
        <v>0.16666666666666666</v>
      </c>
      <c r="AT69" s="7">
        <v>0.75</v>
      </c>
      <c r="AU69" s="5">
        <v>1.2647000000000002</v>
      </c>
      <c r="AV69" s="5">
        <v>1.2618</v>
      </c>
      <c r="AW69" s="5">
        <f t="shared" si="6"/>
        <v>1.2618</v>
      </c>
      <c r="AX69" s="5">
        <f t="shared" si="7"/>
        <v>1.2697000000000001</v>
      </c>
      <c r="AY69" s="5">
        <f>11.77*2.5</f>
        <v>29.424999999999997</v>
      </c>
      <c r="AZ69" s="8">
        <v>-2.94</v>
      </c>
      <c r="BA69" s="5">
        <v>29</v>
      </c>
      <c r="BB69" s="8">
        <v>2.1399999999998087</v>
      </c>
      <c r="BC69" s="8">
        <v>-4.0600000000001746</v>
      </c>
      <c r="BD69" s="5">
        <v>11</v>
      </c>
      <c r="BE69" s="5" t="s">
        <v>68</v>
      </c>
      <c r="BF69" s="8">
        <v>-2.94</v>
      </c>
      <c r="BG69" s="6">
        <v>45055</v>
      </c>
      <c r="BH69" s="5" t="s">
        <v>52</v>
      </c>
      <c r="BI69" s="5" t="s">
        <v>52</v>
      </c>
      <c r="BJ69" s="8" t="s">
        <v>46</v>
      </c>
      <c r="BK69" s="8" t="s">
        <v>46</v>
      </c>
      <c r="BL69" s="8" t="s">
        <v>46</v>
      </c>
      <c r="BM69" s="8">
        <v>0</v>
      </c>
      <c r="BN69" s="8">
        <v>0</v>
      </c>
      <c r="BO69" s="8">
        <v>0</v>
      </c>
      <c r="BP69" s="10" t="s">
        <v>46</v>
      </c>
    </row>
    <row r="70" spans="1:68" ht="14.5" customHeight="1" x14ac:dyDescent="0.35">
      <c r="A70" s="5">
        <v>69</v>
      </c>
      <c r="B70" s="6">
        <v>45051</v>
      </c>
      <c r="C70" s="5" t="s">
        <v>44</v>
      </c>
      <c r="D70" s="5" t="s">
        <v>45</v>
      </c>
      <c r="E70" s="5" t="s">
        <v>46</v>
      </c>
      <c r="F70" s="5" t="s">
        <v>67</v>
      </c>
      <c r="G70" s="7">
        <v>0.125</v>
      </c>
      <c r="H70" s="7">
        <v>0.52083333333333337</v>
      </c>
      <c r="I70" s="5">
        <v>1.2597</v>
      </c>
      <c r="J70" s="5">
        <v>1.2572000000000001</v>
      </c>
      <c r="K70" s="8">
        <v>-2.5</v>
      </c>
      <c r="L70" s="8">
        <v>5</v>
      </c>
      <c r="M70" s="5">
        <f t="shared" si="4"/>
        <v>1.2572000000000001</v>
      </c>
      <c r="N70" s="5">
        <f t="shared" si="5"/>
        <v>1.2646999999999999</v>
      </c>
      <c r="O70" s="5">
        <v>20</v>
      </c>
      <c r="P70" s="8">
        <v>5.4899999999999949</v>
      </c>
      <c r="Q70" s="8">
        <v>-3.9700000000000291</v>
      </c>
      <c r="R70" s="5">
        <v>4</v>
      </c>
      <c r="S70" s="5" t="s">
        <v>68</v>
      </c>
      <c r="T70" s="8">
        <v>-2.5</v>
      </c>
      <c r="U70" s="5"/>
      <c r="V70" s="5"/>
      <c r="W70" s="5"/>
      <c r="X70" s="5"/>
      <c r="Y70" s="5"/>
      <c r="Z70" s="5"/>
      <c r="AA70" s="6">
        <v>45054</v>
      </c>
      <c r="AB70" s="5" t="s">
        <v>52</v>
      </c>
      <c r="AC70" s="5" t="s">
        <v>45</v>
      </c>
      <c r="AD70" s="8" t="s">
        <v>46</v>
      </c>
      <c r="AE70" s="8" t="s">
        <v>46</v>
      </c>
      <c r="AF70" s="8" t="s">
        <v>46</v>
      </c>
      <c r="AG70" s="5">
        <v>0</v>
      </c>
      <c r="AH70" s="8">
        <v>0</v>
      </c>
      <c r="AI70" s="8">
        <v>0</v>
      </c>
      <c r="AJ70" s="8">
        <v>0</v>
      </c>
      <c r="AK70" s="10" t="s">
        <v>46</v>
      </c>
      <c r="AL70" s="5"/>
      <c r="AM70" s="5">
        <v>69</v>
      </c>
      <c r="AN70" s="6">
        <v>45051</v>
      </c>
      <c r="AO70" s="5" t="s">
        <v>53</v>
      </c>
      <c r="AP70" s="5" t="s">
        <v>45</v>
      </c>
      <c r="AQ70" s="5" t="s">
        <v>46</v>
      </c>
      <c r="AR70" s="5" t="s">
        <v>67</v>
      </c>
      <c r="AS70" s="7">
        <v>0.125</v>
      </c>
      <c r="AT70" s="7">
        <v>0.52083333333333337</v>
      </c>
      <c r="AU70" s="5">
        <v>1.2597</v>
      </c>
      <c r="AV70" s="5">
        <v>1.2567999999999999</v>
      </c>
      <c r="AW70" s="5">
        <f t="shared" si="6"/>
        <v>1.2567999999999999</v>
      </c>
      <c r="AX70" s="5">
        <f t="shared" si="7"/>
        <v>1.2646999999999999</v>
      </c>
      <c r="AY70" s="5">
        <f>11.59*2.5</f>
        <v>28.975000000000001</v>
      </c>
      <c r="AZ70" s="8">
        <v>-2.89</v>
      </c>
      <c r="BA70" s="5">
        <v>20</v>
      </c>
      <c r="BB70" s="8">
        <v>5.4899999999999949</v>
      </c>
      <c r="BC70" s="8">
        <v>-3.9700000000000291</v>
      </c>
      <c r="BD70" s="5">
        <v>4</v>
      </c>
      <c r="BE70" s="5" t="s">
        <v>68</v>
      </c>
      <c r="BF70" s="8">
        <v>-2.89</v>
      </c>
      <c r="BG70" s="6">
        <v>45054</v>
      </c>
      <c r="BH70" s="5" t="s">
        <v>52</v>
      </c>
      <c r="BI70" s="5" t="s">
        <v>52</v>
      </c>
      <c r="BJ70" s="8" t="s">
        <v>46</v>
      </c>
      <c r="BK70" s="8" t="s">
        <v>46</v>
      </c>
      <c r="BL70" s="8" t="s">
        <v>46</v>
      </c>
      <c r="BM70" s="8">
        <v>0</v>
      </c>
      <c r="BN70" s="8">
        <v>0</v>
      </c>
      <c r="BO70" s="8">
        <v>0</v>
      </c>
      <c r="BP70" s="10" t="s">
        <v>46</v>
      </c>
    </row>
    <row r="71" spans="1:68" ht="14.5" customHeight="1" x14ac:dyDescent="0.35">
      <c r="A71" s="5">
        <v>70</v>
      </c>
      <c r="B71" s="6">
        <v>45051</v>
      </c>
      <c r="C71" s="5" t="s">
        <v>44</v>
      </c>
      <c r="D71" s="5" t="s">
        <v>45</v>
      </c>
      <c r="E71" s="5" t="s">
        <v>46</v>
      </c>
      <c r="F71" s="5" t="s">
        <v>67</v>
      </c>
      <c r="G71" s="7">
        <v>0.5625</v>
      </c>
      <c r="H71" s="7">
        <v>0.64583333333333337</v>
      </c>
      <c r="I71" s="5">
        <v>1.2597</v>
      </c>
      <c r="J71" s="5">
        <v>1.2646999999999999</v>
      </c>
      <c r="K71" s="8">
        <v>-2.5</v>
      </c>
      <c r="L71" s="8">
        <v>5</v>
      </c>
      <c r="M71" s="5">
        <f t="shared" si="4"/>
        <v>1.2572000000000001</v>
      </c>
      <c r="N71" s="5">
        <f t="shared" si="5"/>
        <v>1.2646999999999999</v>
      </c>
      <c r="O71" s="5">
        <v>5</v>
      </c>
      <c r="P71" s="8">
        <v>5.4899999999999949</v>
      </c>
      <c r="Q71" s="8">
        <v>-3.9700000000000291</v>
      </c>
      <c r="R71" s="5">
        <v>4</v>
      </c>
      <c r="S71" s="5" t="s">
        <v>48</v>
      </c>
      <c r="T71" s="8">
        <v>5</v>
      </c>
      <c r="U71" s="5"/>
      <c r="V71" s="5"/>
      <c r="W71" s="5"/>
      <c r="X71" s="5"/>
      <c r="Y71" s="5"/>
      <c r="Z71" s="5"/>
      <c r="AA71" s="6">
        <v>45054</v>
      </c>
      <c r="AB71" s="5" t="s">
        <v>52</v>
      </c>
      <c r="AC71" s="5" t="s">
        <v>52</v>
      </c>
      <c r="AD71" s="8" t="s">
        <v>46</v>
      </c>
      <c r="AE71" s="8" t="s">
        <v>46</v>
      </c>
      <c r="AF71" s="8" t="s">
        <v>46</v>
      </c>
      <c r="AG71" s="5">
        <v>0</v>
      </c>
      <c r="AH71" s="8">
        <v>0</v>
      </c>
      <c r="AI71" s="8">
        <v>0</v>
      </c>
      <c r="AJ71" s="8">
        <v>0</v>
      </c>
      <c r="AK71" s="10" t="s">
        <v>46</v>
      </c>
      <c r="AL71" s="5"/>
      <c r="AM71" s="5">
        <v>70</v>
      </c>
      <c r="AN71" s="6">
        <v>45051</v>
      </c>
      <c r="AO71" s="5" t="s">
        <v>53</v>
      </c>
      <c r="AP71" s="5" t="s">
        <v>45</v>
      </c>
      <c r="AQ71" s="5" t="s">
        <v>46</v>
      </c>
      <c r="AR71" s="5" t="s">
        <v>67</v>
      </c>
      <c r="AS71" s="7">
        <v>0.5625</v>
      </c>
      <c r="AT71" s="7">
        <v>0.64583333333333337</v>
      </c>
      <c r="AU71" s="5">
        <v>1.2597</v>
      </c>
      <c r="AV71" s="5">
        <v>1.2646999999999999</v>
      </c>
      <c r="AW71" s="5">
        <f t="shared" si="6"/>
        <v>1.2567999999999999</v>
      </c>
      <c r="AX71" s="5">
        <f t="shared" si="7"/>
        <v>1.2646999999999999</v>
      </c>
      <c r="AY71" s="5">
        <f>11.59*2.5</f>
        <v>28.975000000000001</v>
      </c>
      <c r="AZ71" s="8">
        <v>-2.89</v>
      </c>
      <c r="BA71" s="5">
        <v>5</v>
      </c>
      <c r="BB71" s="8">
        <v>5.4899999999999949</v>
      </c>
      <c r="BC71" s="8">
        <v>-3.9700000000000291</v>
      </c>
      <c r="BD71" s="5">
        <v>4</v>
      </c>
      <c r="BE71" s="5" t="s">
        <v>48</v>
      </c>
      <c r="BF71" s="8">
        <v>5</v>
      </c>
      <c r="BG71" s="6">
        <v>45054</v>
      </c>
      <c r="BH71" s="5" t="s">
        <v>52</v>
      </c>
      <c r="BI71" s="5" t="s">
        <v>52</v>
      </c>
      <c r="BJ71" s="8" t="s">
        <v>46</v>
      </c>
      <c r="BK71" s="8" t="s">
        <v>46</v>
      </c>
      <c r="BL71" s="8" t="s">
        <v>46</v>
      </c>
      <c r="BM71" s="8">
        <v>0</v>
      </c>
      <c r="BN71" s="8">
        <v>0</v>
      </c>
      <c r="BO71" s="8">
        <v>0</v>
      </c>
      <c r="BP71" s="10" t="s">
        <v>46</v>
      </c>
    </row>
    <row r="72" spans="1:68" ht="14.5" customHeight="1" x14ac:dyDescent="0.35">
      <c r="A72" s="5">
        <v>71</v>
      </c>
      <c r="B72" s="6">
        <v>45050</v>
      </c>
      <c r="C72" s="5" t="s">
        <v>44</v>
      </c>
      <c r="D72" s="5" t="s">
        <v>45</v>
      </c>
      <c r="E72" s="5" t="s">
        <v>46</v>
      </c>
      <c r="F72" s="5" t="s">
        <v>67</v>
      </c>
      <c r="G72" s="7">
        <v>0.25</v>
      </c>
      <c r="H72" s="7">
        <v>0.375</v>
      </c>
      <c r="I72" s="5">
        <v>1.2581</v>
      </c>
      <c r="J72" s="5">
        <v>1.2556</v>
      </c>
      <c r="K72" s="8">
        <v>-2.5</v>
      </c>
      <c r="L72" s="8">
        <v>5</v>
      </c>
      <c r="M72" s="5">
        <f t="shared" si="4"/>
        <v>1.2556</v>
      </c>
      <c r="N72" s="5">
        <f t="shared" si="5"/>
        <v>1.2631000000000001</v>
      </c>
      <c r="O72" s="5">
        <v>7</v>
      </c>
      <c r="P72" s="8">
        <v>1.7199999999999438</v>
      </c>
      <c r="Q72" s="8">
        <v>-3.3300000000000551</v>
      </c>
      <c r="R72" s="5">
        <v>9</v>
      </c>
      <c r="S72" s="5" t="s">
        <v>68</v>
      </c>
      <c r="T72" s="8">
        <v>-2.5</v>
      </c>
      <c r="U72" s="5"/>
      <c r="V72" s="5"/>
      <c r="W72" s="5"/>
      <c r="X72" s="5"/>
      <c r="Y72" s="5"/>
      <c r="Z72" s="5"/>
      <c r="AA72" s="6">
        <v>45051</v>
      </c>
      <c r="AB72" s="5" t="s">
        <v>52</v>
      </c>
      <c r="AC72" s="5" t="s">
        <v>45</v>
      </c>
      <c r="AD72" s="8" t="s">
        <v>46</v>
      </c>
      <c r="AE72" s="8" t="s">
        <v>46</v>
      </c>
      <c r="AF72" s="5" t="s">
        <v>45</v>
      </c>
      <c r="AG72" s="5">
        <v>5</v>
      </c>
      <c r="AH72" s="8">
        <v>0</v>
      </c>
      <c r="AI72" s="8">
        <v>0</v>
      </c>
      <c r="AJ72" s="8">
        <v>0</v>
      </c>
      <c r="AK72" s="10" t="s">
        <v>46</v>
      </c>
      <c r="AL72" s="5"/>
      <c r="AM72" s="5">
        <v>71</v>
      </c>
      <c r="AN72" s="6">
        <v>45050</v>
      </c>
      <c r="AO72" s="5" t="s">
        <v>53</v>
      </c>
      <c r="AP72" s="5" t="s">
        <v>45</v>
      </c>
      <c r="AQ72" s="5" t="s">
        <v>46</v>
      </c>
      <c r="AR72" s="5" t="s">
        <v>67</v>
      </c>
      <c r="AS72" s="7">
        <v>0.25</v>
      </c>
      <c r="AT72" s="7">
        <v>0.52083333333333337</v>
      </c>
      <c r="AU72" s="5">
        <v>1.2581</v>
      </c>
      <c r="AV72" s="5">
        <v>1.2551999999999999</v>
      </c>
      <c r="AW72" s="5">
        <f t="shared" si="6"/>
        <v>1.2551999999999999</v>
      </c>
      <c r="AX72" s="5">
        <f t="shared" si="7"/>
        <v>1.2631000000000001</v>
      </c>
      <c r="AY72" s="5">
        <f>11.54*2.5</f>
        <v>28.849999999999998</v>
      </c>
      <c r="AZ72" s="8">
        <v>-2.88</v>
      </c>
      <c r="BA72" s="5">
        <v>14</v>
      </c>
      <c r="BB72" s="8">
        <v>1.7199999999999438</v>
      </c>
      <c r="BC72" s="8">
        <v>-3.3300000000000551</v>
      </c>
      <c r="BD72" s="5">
        <v>9</v>
      </c>
      <c r="BE72" s="5" t="s">
        <v>68</v>
      </c>
      <c r="BF72" s="8">
        <v>-2.88</v>
      </c>
      <c r="BG72" s="6">
        <v>45051</v>
      </c>
      <c r="BH72" s="5" t="s">
        <v>52</v>
      </c>
      <c r="BI72" s="5" t="s">
        <v>45</v>
      </c>
      <c r="BJ72" s="8" t="s">
        <v>46</v>
      </c>
      <c r="BK72" s="8" t="s">
        <v>46</v>
      </c>
      <c r="BL72" s="5" t="s">
        <v>45</v>
      </c>
      <c r="BM72" s="8">
        <v>0</v>
      </c>
      <c r="BN72" s="8">
        <v>0</v>
      </c>
      <c r="BO72" s="8">
        <v>0</v>
      </c>
      <c r="BP72" s="10" t="s">
        <v>46</v>
      </c>
    </row>
    <row r="73" spans="1:68" ht="14.5" customHeight="1" x14ac:dyDescent="0.35">
      <c r="A73" s="5">
        <v>72</v>
      </c>
      <c r="B73" s="6">
        <v>45050</v>
      </c>
      <c r="C73" s="5" t="s">
        <v>44</v>
      </c>
      <c r="D73" s="5" t="s">
        <v>45</v>
      </c>
      <c r="E73" s="5" t="s">
        <v>46</v>
      </c>
      <c r="F73" s="5" t="s">
        <v>67</v>
      </c>
      <c r="G73" s="7">
        <v>0.47916666666666669</v>
      </c>
      <c r="H73" s="7">
        <v>0.52083333333333337</v>
      </c>
      <c r="I73" s="5">
        <v>1.2581</v>
      </c>
      <c r="J73" s="5">
        <v>1.2556</v>
      </c>
      <c r="K73" s="8">
        <v>-2.5</v>
      </c>
      <c r="L73" s="8">
        <v>5</v>
      </c>
      <c r="M73" s="5">
        <f t="shared" si="4"/>
        <v>1.2556</v>
      </c>
      <c r="N73" s="5">
        <f t="shared" si="5"/>
        <v>1.2631000000000001</v>
      </c>
      <c r="O73" s="5">
        <v>3</v>
      </c>
      <c r="P73" s="8">
        <v>1.7199999999999438</v>
      </c>
      <c r="Q73" s="8">
        <v>-3.3300000000000551</v>
      </c>
      <c r="R73" s="5">
        <v>9</v>
      </c>
      <c r="S73" s="5" t="s">
        <v>68</v>
      </c>
      <c r="T73" s="8">
        <v>-2.5</v>
      </c>
      <c r="U73" s="5"/>
      <c r="V73" s="5"/>
      <c r="W73" s="5"/>
      <c r="X73" s="5"/>
      <c r="Y73" s="5"/>
      <c r="Z73" s="5"/>
      <c r="AA73" s="6">
        <v>45051</v>
      </c>
      <c r="AB73" s="5" t="s">
        <v>52</v>
      </c>
      <c r="AC73" s="5" t="s">
        <v>45</v>
      </c>
      <c r="AD73" s="8" t="s">
        <v>46</v>
      </c>
      <c r="AE73" s="8" t="s">
        <v>46</v>
      </c>
      <c r="AF73" s="5" t="s">
        <v>45</v>
      </c>
      <c r="AG73" s="5">
        <v>5</v>
      </c>
      <c r="AH73" s="8">
        <v>0</v>
      </c>
      <c r="AI73" s="8">
        <v>0</v>
      </c>
      <c r="AJ73" s="8">
        <v>0</v>
      </c>
      <c r="AK73" s="10" t="s">
        <v>46</v>
      </c>
      <c r="AL73" s="5"/>
      <c r="AM73" s="5">
        <v>72</v>
      </c>
      <c r="AN73" s="6">
        <v>45050</v>
      </c>
      <c r="AO73" s="5" t="s">
        <v>53</v>
      </c>
      <c r="AP73" s="5" t="s">
        <v>45</v>
      </c>
      <c r="AQ73" s="5" t="s">
        <v>46</v>
      </c>
      <c r="AR73" s="5" t="s">
        <v>67</v>
      </c>
      <c r="AS73" s="7">
        <v>0.58333333333333337</v>
      </c>
      <c r="AT73" s="7">
        <v>0.97916666666666663</v>
      </c>
      <c r="AU73" s="5">
        <v>1.2581</v>
      </c>
      <c r="AV73" s="5">
        <v>1.25824</v>
      </c>
      <c r="AW73" s="5">
        <f t="shared" si="6"/>
        <v>1.2551999999999999</v>
      </c>
      <c r="AX73" s="5">
        <f t="shared" si="7"/>
        <v>1.2631000000000001</v>
      </c>
      <c r="AY73" s="5">
        <f>11.54*2.5</f>
        <v>28.849999999999998</v>
      </c>
      <c r="AZ73" s="8">
        <v>-2.88</v>
      </c>
      <c r="BA73" s="5">
        <v>20</v>
      </c>
      <c r="BB73" s="8">
        <v>1.7199999999999438</v>
      </c>
      <c r="BC73" s="8">
        <v>-3.3300000000000551</v>
      </c>
      <c r="BD73" s="5">
        <v>9</v>
      </c>
      <c r="BE73" s="5" t="s">
        <v>55</v>
      </c>
      <c r="BF73" s="8">
        <v>0.14000000000002899</v>
      </c>
      <c r="BG73" s="6">
        <v>45051</v>
      </c>
      <c r="BH73" s="5" t="s">
        <v>52</v>
      </c>
      <c r="BI73" s="5" t="s">
        <v>45</v>
      </c>
      <c r="BJ73" s="5" t="s">
        <v>52</v>
      </c>
      <c r="BK73" s="5" t="s">
        <v>45</v>
      </c>
      <c r="BL73" s="5" t="s">
        <v>52</v>
      </c>
      <c r="BM73" s="8">
        <v>7.0900000000000407</v>
      </c>
      <c r="BN73" s="8">
        <v>-2.3699999999999832</v>
      </c>
      <c r="BO73" s="8">
        <v>5</v>
      </c>
      <c r="BP73" s="10" t="s">
        <v>46</v>
      </c>
    </row>
    <row r="74" spans="1:68" ht="14.5" customHeight="1" x14ac:dyDescent="0.35">
      <c r="A74" s="5">
        <v>73</v>
      </c>
      <c r="B74" s="6">
        <v>45044</v>
      </c>
      <c r="C74" s="5" t="s">
        <v>44</v>
      </c>
      <c r="D74" s="5" t="s">
        <v>45</v>
      </c>
      <c r="E74" s="5" t="s">
        <v>46</v>
      </c>
      <c r="F74" s="5" t="s">
        <v>67</v>
      </c>
      <c r="G74" s="7">
        <v>0.54166666666666663</v>
      </c>
      <c r="H74" s="7">
        <v>0.60416666666666663</v>
      </c>
      <c r="I74" s="5">
        <v>1.2506000000000002</v>
      </c>
      <c r="J74" s="5">
        <v>1.2556</v>
      </c>
      <c r="K74" s="8">
        <v>-2.5</v>
      </c>
      <c r="L74" s="8">
        <v>5</v>
      </c>
      <c r="M74" s="5">
        <f t="shared" si="4"/>
        <v>1.2481</v>
      </c>
      <c r="N74" s="5">
        <f t="shared" si="5"/>
        <v>1.2556</v>
      </c>
      <c r="O74" s="5">
        <v>4</v>
      </c>
      <c r="P74" s="8">
        <v>7.7499999999999236</v>
      </c>
      <c r="Q74" s="8">
        <v>-1.0800000000001919</v>
      </c>
      <c r="R74" s="5">
        <v>2</v>
      </c>
      <c r="S74" s="5" t="s">
        <v>48</v>
      </c>
      <c r="T74" s="8">
        <v>5</v>
      </c>
      <c r="U74" s="5"/>
      <c r="V74" s="5"/>
      <c r="W74" s="5"/>
      <c r="X74" s="5"/>
      <c r="Y74" s="5"/>
      <c r="Z74" s="5"/>
      <c r="AA74" s="6">
        <v>45047</v>
      </c>
      <c r="AB74" s="5" t="s">
        <v>52</v>
      </c>
      <c r="AC74" s="5" t="s">
        <v>52</v>
      </c>
      <c r="AD74" s="8" t="s">
        <v>46</v>
      </c>
      <c r="AE74" s="8" t="s">
        <v>46</v>
      </c>
      <c r="AF74" s="8" t="s">
        <v>46</v>
      </c>
      <c r="AG74" s="5">
        <v>1</v>
      </c>
      <c r="AH74" s="8">
        <v>0</v>
      </c>
      <c r="AI74" s="8">
        <v>0</v>
      </c>
      <c r="AJ74" s="8">
        <v>0</v>
      </c>
      <c r="AK74" s="10" t="s">
        <v>46</v>
      </c>
      <c r="AL74" s="5"/>
      <c r="AM74" s="5">
        <v>73</v>
      </c>
      <c r="AN74" s="6">
        <v>45044</v>
      </c>
      <c r="AO74" s="5" t="s">
        <v>53</v>
      </c>
      <c r="AP74" s="5" t="s">
        <v>45</v>
      </c>
      <c r="AQ74" s="5" t="s">
        <v>46</v>
      </c>
      <c r="AR74" s="5" t="s">
        <v>67</v>
      </c>
      <c r="AS74" s="7">
        <v>0.54166666666666663</v>
      </c>
      <c r="AT74" s="7">
        <v>0.60416666666666663</v>
      </c>
      <c r="AU74" s="5">
        <v>1.2506000000000002</v>
      </c>
      <c r="AV74" s="5">
        <v>1.2556</v>
      </c>
      <c r="AW74" s="5">
        <f t="shared" si="6"/>
        <v>1.2477</v>
      </c>
      <c r="AX74" s="5">
        <f t="shared" si="7"/>
        <v>1.2556</v>
      </c>
      <c r="AY74" s="5">
        <f>11.69*2.5</f>
        <v>29.224999999999998</v>
      </c>
      <c r="AZ74" s="8">
        <v>-2.92</v>
      </c>
      <c r="BA74" s="5">
        <v>4</v>
      </c>
      <c r="BB74" s="8">
        <v>7.7499999999999236</v>
      </c>
      <c r="BC74" s="8">
        <v>-1.0800000000001919</v>
      </c>
      <c r="BD74" s="5">
        <v>2</v>
      </c>
      <c r="BE74" s="5" t="s">
        <v>48</v>
      </c>
      <c r="BF74" s="8">
        <v>5</v>
      </c>
      <c r="BG74" s="6">
        <v>45047</v>
      </c>
      <c r="BH74" s="5" t="s">
        <v>52</v>
      </c>
      <c r="BI74" s="5" t="s">
        <v>52</v>
      </c>
      <c r="BJ74" s="8" t="s">
        <v>46</v>
      </c>
      <c r="BK74" s="8" t="s">
        <v>46</v>
      </c>
      <c r="BL74" s="8" t="s">
        <v>46</v>
      </c>
      <c r="BM74" s="8">
        <v>0</v>
      </c>
      <c r="BN74" s="8">
        <v>0</v>
      </c>
      <c r="BO74" s="8">
        <v>0</v>
      </c>
      <c r="BP74" s="10" t="s">
        <v>46</v>
      </c>
    </row>
    <row r="75" spans="1:68" ht="14.5" customHeight="1" x14ac:dyDescent="0.35">
      <c r="A75" s="5">
        <v>74</v>
      </c>
      <c r="B75" s="6">
        <v>45042</v>
      </c>
      <c r="C75" s="5" t="s">
        <v>44</v>
      </c>
      <c r="D75" s="5" t="s">
        <v>45</v>
      </c>
      <c r="E75" s="5" t="s">
        <v>46</v>
      </c>
      <c r="F75" s="5" t="s">
        <v>67</v>
      </c>
      <c r="G75" s="7">
        <v>0.54166666666666663</v>
      </c>
      <c r="H75" s="7">
        <v>0.60416666666666663</v>
      </c>
      <c r="I75" s="5">
        <v>1.2492000000000001</v>
      </c>
      <c r="J75" s="5">
        <v>1.2466999999999999</v>
      </c>
      <c r="K75" s="8">
        <v>-2.5</v>
      </c>
      <c r="L75" s="8">
        <v>5</v>
      </c>
      <c r="M75" s="5">
        <f t="shared" si="4"/>
        <v>1.2466999999999999</v>
      </c>
      <c r="N75" s="5">
        <f t="shared" si="5"/>
        <v>1.2542</v>
      </c>
      <c r="O75" s="5">
        <v>4</v>
      </c>
      <c r="P75" s="8">
        <v>2.2999999999999687</v>
      </c>
      <c r="Q75" s="8">
        <v>-3.9100000000000805</v>
      </c>
      <c r="R75" s="5">
        <v>2</v>
      </c>
      <c r="S75" s="5" t="s">
        <v>68</v>
      </c>
      <c r="T75" s="8">
        <v>-2.5</v>
      </c>
      <c r="U75" s="5"/>
      <c r="V75" s="5"/>
      <c r="W75" s="5"/>
      <c r="X75" s="5"/>
      <c r="Y75" s="5"/>
      <c r="Z75" s="5"/>
      <c r="AA75" s="6">
        <v>45043</v>
      </c>
      <c r="AB75" s="5" t="s">
        <v>52</v>
      </c>
      <c r="AC75" s="5" t="s">
        <v>52</v>
      </c>
      <c r="AD75" s="8" t="s">
        <v>46</v>
      </c>
      <c r="AE75" s="8" t="s">
        <v>46</v>
      </c>
      <c r="AF75" s="8" t="s">
        <v>46</v>
      </c>
      <c r="AG75" s="5">
        <v>10</v>
      </c>
      <c r="AH75" s="8">
        <v>0</v>
      </c>
      <c r="AI75" s="8">
        <v>0</v>
      </c>
      <c r="AJ75" s="8">
        <v>0</v>
      </c>
      <c r="AK75" s="10" t="s">
        <v>46</v>
      </c>
      <c r="AL75" s="5"/>
      <c r="AM75" s="5">
        <v>74</v>
      </c>
      <c r="AN75" s="6">
        <v>45042</v>
      </c>
      <c r="AO75" s="5" t="s">
        <v>53</v>
      </c>
      <c r="AP75" s="5" t="s">
        <v>45</v>
      </c>
      <c r="AQ75" s="5" t="s">
        <v>46</v>
      </c>
      <c r="AR75" s="5" t="s">
        <v>67</v>
      </c>
      <c r="AS75" s="7">
        <v>0.54166666666666663</v>
      </c>
      <c r="AT75" s="7">
        <v>0.60416666666666663</v>
      </c>
      <c r="AU75" s="5">
        <v>1.2492000000000001</v>
      </c>
      <c r="AV75" s="5">
        <v>1.2463</v>
      </c>
      <c r="AW75" s="5">
        <f t="shared" si="6"/>
        <v>1.2463</v>
      </c>
      <c r="AX75" s="5">
        <f t="shared" si="7"/>
        <v>1.2542</v>
      </c>
      <c r="AY75" s="5">
        <f>11.6*2.5</f>
        <v>29</v>
      </c>
      <c r="AZ75" s="8">
        <v>-2.9</v>
      </c>
      <c r="BA75" s="5">
        <v>4</v>
      </c>
      <c r="BB75" s="8">
        <v>2.2999999999999687</v>
      </c>
      <c r="BC75" s="8">
        <v>-3.9100000000000805</v>
      </c>
      <c r="BD75" s="5">
        <v>2</v>
      </c>
      <c r="BE75" s="5" t="s">
        <v>68</v>
      </c>
      <c r="BF75" s="8">
        <v>-2.9</v>
      </c>
      <c r="BG75" s="6">
        <v>45043</v>
      </c>
      <c r="BH75" s="5" t="s">
        <v>52</v>
      </c>
      <c r="BI75" s="5" t="s">
        <v>52</v>
      </c>
      <c r="BJ75" s="8" t="s">
        <v>46</v>
      </c>
      <c r="BK75" s="8" t="s">
        <v>46</v>
      </c>
      <c r="BL75" s="8" t="s">
        <v>46</v>
      </c>
      <c r="BM75" s="8">
        <v>0</v>
      </c>
      <c r="BN75" s="8">
        <v>0</v>
      </c>
      <c r="BO75" s="8">
        <v>0</v>
      </c>
      <c r="BP75" s="10" t="s">
        <v>46</v>
      </c>
    </row>
    <row r="76" spans="1:68" ht="14.5" customHeight="1" x14ac:dyDescent="0.35">
      <c r="A76" s="5">
        <v>75</v>
      </c>
      <c r="B76" s="6">
        <v>45040</v>
      </c>
      <c r="C76" s="5" t="s">
        <v>44</v>
      </c>
      <c r="D76" s="5" t="s">
        <v>45</v>
      </c>
      <c r="E76" s="5" t="s">
        <v>46</v>
      </c>
      <c r="F76" s="5" t="s">
        <v>67</v>
      </c>
      <c r="G76" s="7">
        <v>0.70833333333333337</v>
      </c>
      <c r="H76" s="7">
        <v>0.97916666666666663</v>
      </c>
      <c r="I76" s="5">
        <v>1.2471000000000001</v>
      </c>
      <c r="J76" s="5">
        <v>1.2498400000000001</v>
      </c>
      <c r="K76" s="8">
        <v>-2.5</v>
      </c>
      <c r="L76" s="8">
        <v>5</v>
      </c>
      <c r="M76" s="5">
        <f t="shared" si="4"/>
        <v>1.2445999999999999</v>
      </c>
      <c r="N76" s="5">
        <f t="shared" si="5"/>
        <v>1.2521</v>
      </c>
      <c r="O76" s="5">
        <v>14</v>
      </c>
      <c r="P76" s="8">
        <v>2.8199999999998226</v>
      </c>
      <c r="Q76" s="8">
        <v>-4.0000000000040004E-2</v>
      </c>
      <c r="R76" s="5">
        <v>1</v>
      </c>
      <c r="S76" s="5" t="s">
        <v>55</v>
      </c>
      <c r="T76" s="8">
        <v>2.7399999999999647</v>
      </c>
      <c r="U76" s="5"/>
      <c r="V76" s="5"/>
      <c r="W76" s="5"/>
      <c r="X76" s="5"/>
      <c r="Y76" s="5"/>
      <c r="Z76" s="5"/>
      <c r="AA76" s="6">
        <v>45041</v>
      </c>
      <c r="AB76" s="5" t="s">
        <v>45</v>
      </c>
      <c r="AC76" s="5" t="s">
        <v>52</v>
      </c>
      <c r="AD76" s="5" t="s">
        <v>45</v>
      </c>
      <c r="AE76" s="5" t="s">
        <v>52</v>
      </c>
      <c r="AF76" s="5" t="s">
        <v>52</v>
      </c>
      <c r="AG76" s="5">
        <v>6</v>
      </c>
      <c r="AH76" s="8">
        <v>3.5899999999999821</v>
      </c>
      <c r="AI76" s="8">
        <v>-8.4600000000001341</v>
      </c>
      <c r="AJ76" s="8">
        <v>-2.5</v>
      </c>
      <c r="AK76" s="10" t="s">
        <v>46</v>
      </c>
      <c r="AL76" s="5"/>
      <c r="AM76" s="5">
        <v>75</v>
      </c>
      <c r="AN76" s="6">
        <v>45040</v>
      </c>
      <c r="AO76" s="5" t="s">
        <v>53</v>
      </c>
      <c r="AP76" s="5" t="s">
        <v>45</v>
      </c>
      <c r="AQ76" s="5" t="s">
        <v>46</v>
      </c>
      <c r="AR76" s="5" t="s">
        <v>67</v>
      </c>
      <c r="AS76" s="7">
        <v>0.70833333333333337</v>
      </c>
      <c r="AT76" s="7">
        <v>0.97916666666666663</v>
      </c>
      <c r="AU76" s="5">
        <v>1.2471000000000001</v>
      </c>
      <c r="AV76" s="5">
        <v>1.2498400000000001</v>
      </c>
      <c r="AW76" s="5">
        <f t="shared" si="6"/>
        <v>1.2442</v>
      </c>
      <c r="AX76" s="5">
        <f t="shared" si="7"/>
        <v>1.2521</v>
      </c>
      <c r="AY76" s="5">
        <f>11.6*2.5</f>
        <v>29</v>
      </c>
      <c r="AZ76" s="8">
        <v>-2.9</v>
      </c>
      <c r="BA76" s="5">
        <v>14</v>
      </c>
      <c r="BB76" s="8">
        <v>2.8199999999998226</v>
      </c>
      <c r="BC76" s="8">
        <v>-4.0000000000040004E-2</v>
      </c>
      <c r="BD76" s="5">
        <v>1</v>
      </c>
      <c r="BE76" s="5" t="s">
        <v>55</v>
      </c>
      <c r="BF76" s="8">
        <v>2.7399999999999647</v>
      </c>
      <c r="BG76" s="6">
        <v>45041</v>
      </c>
      <c r="BH76" s="5" t="s">
        <v>45</v>
      </c>
      <c r="BI76" s="5" t="s">
        <v>52</v>
      </c>
      <c r="BJ76" s="5" t="s">
        <v>45</v>
      </c>
      <c r="BK76" s="5" t="s">
        <v>52</v>
      </c>
      <c r="BL76" s="5" t="s">
        <v>52</v>
      </c>
      <c r="BM76" s="8">
        <v>3.5899999999999821</v>
      </c>
      <c r="BN76" s="8">
        <v>-8.4600000000001341</v>
      </c>
      <c r="BO76" s="8">
        <v>2.8199999999998226</v>
      </c>
      <c r="BP76" s="10" t="s">
        <v>46</v>
      </c>
    </row>
    <row r="77" spans="1:68" ht="14.5" customHeight="1" x14ac:dyDescent="0.35">
      <c r="A77" s="5">
        <v>76</v>
      </c>
      <c r="B77" s="6">
        <v>45030</v>
      </c>
      <c r="C77" s="5" t="s">
        <v>44</v>
      </c>
      <c r="D77" s="5" t="s">
        <v>45</v>
      </c>
      <c r="E77" s="5" t="s">
        <v>46</v>
      </c>
      <c r="F77" s="5" t="s">
        <v>67</v>
      </c>
      <c r="G77" s="7">
        <v>8.3333333333333329E-2</v>
      </c>
      <c r="H77" s="7">
        <v>0.33333333333333331</v>
      </c>
      <c r="I77" s="5">
        <v>1.2535000000000001</v>
      </c>
      <c r="J77" s="5">
        <v>1.2509999999999999</v>
      </c>
      <c r="K77" s="8">
        <v>-2.5</v>
      </c>
      <c r="L77" s="8">
        <v>5</v>
      </c>
      <c r="M77" s="5">
        <f t="shared" si="4"/>
        <v>1.2509999999999999</v>
      </c>
      <c r="N77" s="5">
        <f t="shared" si="5"/>
        <v>1.2585</v>
      </c>
      <c r="O77" s="5">
        <v>13</v>
      </c>
      <c r="P77" s="8">
        <v>1.0999999999998789</v>
      </c>
      <c r="Q77" s="8">
        <v>-13.630000000000031</v>
      </c>
      <c r="R77" s="5">
        <v>5</v>
      </c>
      <c r="S77" s="5" t="s">
        <v>68</v>
      </c>
      <c r="T77" s="8">
        <v>-2.5</v>
      </c>
      <c r="U77" s="5"/>
      <c r="V77" s="5"/>
      <c r="W77" s="5"/>
      <c r="X77" s="5"/>
      <c r="Y77" s="5"/>
      <c r="Z77" s="5"/>
      <c r="AA77" s="6">
        <v>45033</v>
      </c>
      <c r="AB77" s="5" t="s">
        <v>52</v>
      </c>
      <c r="AC77" s="5" t="s">
        <v>52</v>
      </c>
      <c r="AD77" s="8" t="s">
        <v>46</v>
      </c>
      <c r="AE77" s="8" t="s">
        <v>46</v>
      </c>
      <c r="AF77" s="8" t="s">
        <v>46</v>
      </c>
      <c r="AG77" s="5">
        <v>0</v>
      </c>
      <c r="AH77" s="8">
        <v>0</v>
      </c>
      <c r="AI77" s="8">
        <v>0</v>
      </c>
      <c r="AJ77" s="8">
        <v>0</v>
      </c>
      <c r="AK77" s="10" t="s">
        <v>46</v>
      </c>
      <c r="AL77" s="5"/>
      <c r="AM77" s="5">
        <v>76</v>
      </c>
      <c r="AN77" s="6">
        <v>45030</v>
      </c>
      <c r="AO77" s="5" t="s">
        <v>53</v>
      </c>
      <c r="AP77" s="5" t="s">
        <v>45</v>
      </c>
      <c r="AQ77" s="5" t="s">
        <v>46</v>
      </c>
      <c r="AR77" s="5" t="s">
        <v>67</v>
      </c>
      <c r="AS77" s="7">
        <v>8.3333333333333329E-2</v>
      </c>
      <c r="AT77" s="7">
        <v>0.33333333333333331</v>
      </c>
      <c r="AU77" s="5">
        <v>1.2535000000000001</v>
      </c>
      <c r="AV77" s="5">
        <v>1.2504</v>
      </c>
      <c r="AW77" s="5">
        <f t="shared" si="6"/>
        <v>1.2504</v>
      </c>
      <c r="AX77" s="5">
        <f t="shared" si="7"/>
        <v>1.2585</v>
      </c>
      <c r="AY77" s="5">
        <f>12.44*2.5</f>
        <v>31.099999999999998</v>
      </c>
      <c r="AZ77" s="8">
        <v>-3.11</v>
      </c>
      <c r="BA77" s="5">
        <v>13</v>
      </c>
      <c r="BB77" s="8">
        <v>1.0999999999998789</v>
      </c>
      <c r="BC77" s="8">
        <v>-13.630000000000031</v>
      </c>
      <c r="BD77" s="5">
        <v>5</v>
      </c>
      <c r="BE77" s="5" t="s">
        <v>68</v>
      </c>
      <c r="BF77" s="8">
        <v>-2.5</v>
      </c>
      <c r="BG77" s="6">
        <v>45033</v>
      </c>
      <c r="BH77" s="5" t="s">
        <v>52</v>
      </c>
      <c r="BI77" s="5" t="s">
        <v>52</v>
      </c>
      <c r="BJ77" s="8" t="s">
        <v>46</v>
      </c>
      <c r="BK77" s="8" t="s">
        <v>46</v>
      </c>
      <c r="BL77" s="8" t="s">
        <v>46</v>
      </c>
      <c r="BM77" s="8">
        <v>0</v>
      </c>
      <c r="BN77" s="8">
        <v>0</v>
      </c>
      <c r="BO77" s="8">
        <v>0</v>
      </c>
      <c r="BP77" s="10" t="s">
        <v>46</v>
      </c>
    </row>
    <row r="78" spans="1:68" ht="14.5" customHeight="1" x14ac:dyDescent="0.35">
      <c r="A78" s="5">
        <v>77</v>
      </c>
      <c r="B78" s="6">
        <v>45029</v>
      </c>
      <c r="C78" s="5" t="s">
        <v>44</v>
      </c>
      <c r="D78" s="5" t="s">
        <v>45</v>
      </c>
      <c r="E78" s="5" t="s">
        <v>46</v>
      </c>
      <c r="F78" s="5" t="s">
        <v>67</v>
      </c>
      <c r="G78" s="7">
        <v>2.0833333333333332E-2</v>
      </c>
      <c r="H78" s="7">
        <v>0.97916666666666663</v>
      </c>
      <c r="I78" s="5">
        <v>1.2494000000000001</v>
      </c>
      <c r="J78" s="5">
        <v>1.2524</v>
      </c>
      <c r="K78" s="8">
        <v>-2.5</v>
      </c>
      <c r="L78" s="8">
        <v>5</v>
      </c>
      <c r="M78" s="5">
        <f t="shared" si="4"/>
        <v>1.2469000000000001</v>
      </c>
      <c r="N78" s="5">
        <f t="shared" si="5"/>
        <v>1.2544</v>
      </c>
      <c r="O78" s="5">
        <v>47</v>
      </c>
      <c r="P78" s="8">
        <v>4.2899999999999059</v>
      </c>
      <c r="Q78" s="8">
        <v>-1.8200000000001548</v>
      </c>
      <c r="R78" s="5">
        <v>7</v>
      </c>
      <c r="S78" s="5" t="s">
        <v>55</v>
      </c>
      <c r="T78" s="8">
        <v>2.9999999999998916</v>
      </c>
      <c r="U78" s="5"/>
      <c r="V78" s="5"/>
      <c r="W78" s="5"/>
      <c r="X78" s="5"/>
      <c r="Y78" s="5"/>
      <c r="Z78" s="5"/>
      <c r="AA78" s="6">
        <v>45030</v>
      </c>
      <c r="AB78" s="5" t="s">
        <v>45</v>
      </c>
      <c r="AC78" s="5" t="s">
        <v>45</v>
      </c>
      <c r="AD78" s="5" t="s">
        <v>52</v>
      </c>
      <c r="AE78" s="5" t="s">
        <v>45</v>
      </c>
      <c r="AF78" s="8" t="s">
        <v>46</v>
      </c>
      <c r="AG78" s="5">
        <v>0</v>
      </c>
      <c r="AH78" s="8">
        <v>5.1999999999998714</v>
      </c>
      <c r="AI78" s="8">
        <v>0</v>
      </c>
      <c r="AJ78" s="8">
        <v>5</v>
      </c>
      <c r="AK78" s="10" t="s">
        <v>46</v>
      </c>
      <c r="AL78" s="5"/>
      <c r="AM78" s="5">
        <v>77</v>
      </c>
      <c r="AN78" s="6">
        <v>45029</v>
      </c>
      <c r="AO78" s="5" t="s">
        <v>53</v>
      </c>
      <c r="AP78" s="5" t="s">
        <v>45</v>
      </c>
      <c r="AQ78" s="5" t="s">
        <v>46</v>
      </c>
      <c r="AR78" s="5" t="s">
        <v>67</v>
      </c>
      <c r="AS78" s="7">
        <v>2.0833333333333332E-2</v>
      </c>
      <c r="AT78" s="7">
        <v>0.97916666666666663</v>
      </c>
      <c r="AU78" s="5">
        <v>1.2494000000000001</v>
      </c>
      <c r="AV78" s="5">
        <v>1.2524</v>
      </c>
      <c r="AW78" s="5">
        <f t="shared" si="6"/>
        <v>1.2462</v>
      </c>
      <c r="AX78" s="5">
        <f t="shared" si="7"/>
        <v>1.2544</v>
      </c>
      <c r="AY78" s="5">
        <f>12.77*2.5</f>
        <v>31.924999999999997</v>
      </c>
      <c r="AZ78" s="8">
        <v>-3.19</v>
      </c>
      <c r="BA78" s="5">
        <v>47</v>
      </c>
      <c r="BB78" s="8">
        <v>4.2899999999999059</v>
      </c>
      <c r="BC78" s="8">
        <v>-1.8200000000001548</v>
      </c>
      <c r="BD78" s="5">
        <v>7</v>
      </c>
      <c r="BE78" s="5" t="s">
        <v>55</v>
      </c>
      <c r="BF78" s="8">
        <v>2.9999999999998916</v>
      </c>
      <c r="BG78" s="6">
        <v>45030</v>
      </c>
      <c r="BH78" s="5" t="s">
        <v>45</v>
      </c>
      <c r="BI78" s="5" t="s">
        <v>45</v>
      </c>
      <c r="BJ78" s="5" t="s">
        <v>52</v>
      </c>
      <c r="BK78" s="5" t="s">
        <v>45</v>
      </c>
      <c r="BL78" s="8" t="s">
        <v>46</v>
      </c>
      <c r="BM78" s="8">
        <v>5.1999999999998714</v>
      </c>
      <c r="BN78" s="8">
        <v>0</v>
      </c>
      <c r="BO78" s="8">
        <v>5</v>
      </c>
      <c r="BP78" s="10" t="s">
        <v>46</v>
      </c>
    </row>
    <row r="79" spans="1:68" ht="14.5" customHeight="1" x14ac:dyDescent="0.35">
      <c r="A79" s="5">
        <v>78</v>
      </c>
      <c r="B79" s="6">
        <v>45020</v>
      </c>
      <c r="C79" s="5" t="s">
        <v>44</v>
      </c>
      <c r="D79" s="5" t="s">
        <v>45</v>
      </c>
      <c r="E79" s="5" t="s">
        <v>46</v>
      </c>
      <c r="F79" s="5" t="s">
        <v>67</v>
      </c>
      <c r="G79" s="7">
        <v>0.27083333333333331</v>
      </c>
      <c r="H79" s="7">
        <v>0.3125</v>
      </c>
      <c r="I79" s="5">
        <v>1.2423</v>
      </c>
      <c r="J79" s="5">
        <v>1.2473000000000001</v>
      </c>
      <c r="K79" s="8">
        <v>-2.5</v>
      </c>
      <c r="L79" s="8">
        <v>5</v>
      </c>
      <c r="M79" s="5">
        <f t="shared" si="4"/>
        <v>1.2398</v>
      </c>
      <c r="N79" s="5">
        <f t="shared" si="5"/>
        <v>1.2473000000000001</v>
      </c>
      <c r="O79" s="5">
        <v>3</v>
      </c>
      <c r="P79" s="8">
        <v>10.199999999999989</v>
      </c>
      <c r="Q79" s="8">
        <v>-7.0000000000014495E-2</v>
      </c>
      <c r="R79" s="5">
        <v>1</v>
      </c>
      <c r="S79" s="5" t="s">
        <v>48</v>
      </c>
      <c r="T79" s="8">
        <v>5</v>
      </c>
      <c r="U79" s="5"/>
      <c r="V79" s="5"/>
      <c r="W79" s="5"/>
      <c r="X79" s="5"/>
      <c r="Y79" s="5"/>
      <c r="Z79" s="5"/>
      <c r="AA79" s="6">
        <v>45021</v>
      </c>
      <c r="AB79" s="5" t="s">
        <v>52</v>
      </c>
      <c r="AC79" s="5" t="s">
        <v>52</v>
      </c>
      <c r="AD79" s="8" t="s">
        <v>46</v>
      </c>
      <c r="AE79" s="8" t="s">
        <v>46</v>
      </c>
      <c r="AF79" s="8" t="s">
        <v>46</v>
      </c>
      <c r="AG79" s="5">
        <v>0</v>
      </c>
      <c r="AH79" s="8">
        <v>0</v>
      </c>
      <c r="AI79" s="8">
        <v>0</v>
      </c>
      <c r="AJ79" s="8">
        <v>0</v>
      </c>
      <c r="AK79" s="10" t="s">
        <v>46</v>
      </c>
      <c r="AL79" s="5"/>
      <c r="AM79" s="5">
        <v>78</v>
      </c>
      <c r="AN79" s="6">
        <v>45020</v>
      </c>
      <c r="AO79" s="5" t="s">
        <v>53</v>
      </c>
      <c r="AP79" s="5" t="s">
        <v>45</v>
      </c>
      <c r="AQ79" s="5" t="s">
        <v>46</v>
      </c>
      <c r="AR79" s="5" t="s">
        <v>67</v>
      </c>
      <c r="AS79" s="7">
        <v>0.27083333333333331</v>
      </c>
      <c r="AT79" s="7">
        <v>0.3125</v>
      </c>
      <c r="AU79" s="5">
        <v>1.2423</v>
      </c>
      <c r="AV79" s="5">
        <v>1.2473000000000001</v>
      </c>
      <c r="AW79" s="5">
        <f t="shared" si="6"/>
        <v>1.2385999999999999</v>
      </c>
      <c r="AX79" s="5">
        <f t="shared" si="7"/>
        <v>1.2473000000000001</v>
      </c>
      <c r="AY79" s="5">
        <f>14.76*2.5</f>
        <v>36.9</v>
      </c>
      <c r="AZ79" s="8">
        <v>-3.69</v>
      </c>
      <c r="BA79" s="5">
        <v>3</v>
      </c>
      <c r="BB79" s="8">
        <v>10.199999999999989</v>
      </c>
      <c r="BC79" s="8">
        <v>-7.0000000000014495E-2</v>
      </c>
      <c r="BD79" s="5">
        <v>1</v>
      </c>
      <c r="BE79" s="5" t="s">
        <v>48</v>
      </c>
      <c r="BF79" s="8">
        <v>5</v>
      </c>
      <c r="BG79" s="6">
        <v>45021</v>
      </c>
      <c r="BH79" s="5" t="s">
        <v>52</v>
      </c>
      <c r="BI79" s="5" t="s">
        <v>52</v>
      </c>
      <c r="BJ79" s="8" t="s">
        <v>46</v>
      </c>
      <c r="BK79" s="8" t="s">
        <v>46</v>
      </c>
      <c r="BL79" s="8" t="s">
        <v>46</v>
      </c>
      <c r="BM79" s="8">
        <v>0</v>
      </c>
      <c r="BN79" s="8">
        <v>0</v>
      </c>
      <c r="BO79" s="8">
        <v>0</v>
      </c>
      <c r="BP79" s="10" t="s">
        <v>46</v>
      </c>
    </row>
    <row r="80" spans="1:68" ht="14.5" customHeight="1" x14ac:dyDescent="0.35">
      <c r="A80" s="5">
        <v>79</v>
      </c>
      <c r="B80" s="6">
        <v>45019</v>
      </c>
      <c r="C80" s="5" t="s">
        <v>44</v>
      </c>
      <c r="D80" s="5" t="s">
        <v>45</v>
      </c>
      <c r="E80" s="5" t="s">
        <v>46</v>
      </c>
      <c r="F80" s="5" t="s">
        <v>67</v>
      </c>
      <c r="G80" s="7">
        <v>0.58333333333333337</v>
      </c>
      <c r="H80" s="7">
        <v>0.625</v>
      </c>
      <c r="I80" s="5">
        <v>1.2404999999999999</v>
      </c>
      <c r="J80" s="5">
        <v>1.238</v>
      </c>
      <c r="K80" s="8">
        <v>-2.5</v>
      </c>
      <c r="L80" s="8">
        <v>5</v>
      </c>
      <c r="M80" s="5">
        <f t="shared" si="4"/>
        <v>1.238</v>
      </c>
      <c r="N80" s="5">
        <f t="shared" si="5"/>
        <v>1.2455000000000001</v>
      </c>
      <c r="O80" s="5">
        <v>3</v>
      </c>
      <c r="P80" s="8">
        <v>2.0000000000000018</v>
      </c>
      <c r="Q80" s="8">
        <v>-2.5100000000000122</v>
      </c>
      <c r="R80" s="5">
        <v>5</v>
      </c>
      <c r="S80" s="5" t="s">
        <v>68</v>
      </c>
      <c r="T80" s="8">
        <v>-2.5</v>
      </c>
      <c r="U80" s="5"/>
      <c r="V80" s="5"/>
      <c r="W80" s="5"/>
      <c r="X80" s="5"/>
      <c r="Y80" s="5"/>
      <c r="Z80" s="5"/>
      <c r="AA80" s="6">
        <v>45020</v>
      </c>
      <c r="AB80" s="5" t="s">
        <v>52</v>
      </c>
      <c r="AC80" s="5" t="s">
        <v>45</v>
      </c>
      <c r="AD80" s="8" t="s">
        <v>46</v>
      </c>
      <c r="AE80" s="8" t="s">
        <v>46</v>
      </c>
      <c r="AF80" s="5" t="s">
        <v>45</v>
      </c>
      <c r="AG80" s="5">
        <v>11</v>
      </c>
      <c r="AH80" s="8">
        <v>0</v>
      </c>
      <c r="AI80" s="8">
        <v>0</v>
      </c>
      <c r="AJ80" s="8">
        <v>0</v>
      </c>
      <c r="AK80" s="10" t="s">
        <v>46</v>
      </c>
      <c r="AL80" s="5"/>
      <c r="AM80" s="5">
        <v>79</v>
      </c>
      <c r="AN80" s="6">
        <v>45019</v>
      </c>
      <c r="AO80" s="5" t="s">
        <v>53</v>
      </c>
      <c r="AP80" s="5" t="s">
        <v>45</v>
      </c>
      <c r="AQ80" s="5" t="s">
        <v>46</v>
      </c>
      <c r="AR80" s="5" t="s">
        <v>67</v>
      </c>
      <c r="AS80" s="7">
        <v>0.58333333333333337</v>
      </c>
      <c r="AT80" s="7">
        <v>0.97916666666666663</v>
      </c>
      <c r="AU80" s="5">
        <v>1.2404999999999999</v>
      </c>
      <c r="AV80" s="5">
        <v>1.2419899999999999</v>
      </c>
      <c r="AW80" s="5">
        <f t="shared" si="6"/>
        <v>1.2368000000000001</v>
      </c>
      <c r="AX80" s="5">
        <f t="shared" si="7"/>
        <v>1.2455000000000001</v>
      </c>
      <c r="AY80" s="5">
        <f>14.74*2.5</f>
        <v>36.85</v>
      </c>
      <c r="AZ80" s="8">
        <v>-3.68</v>
      </c>
      <c r="BA80" s="5">
        <v>33</v>
      </c>
      <c r="BB80" s="8">
        <v>2.0000000000000018</v>
      </c>
      <c r="BC80" s="8">
        <v>-2.5100000000000122</v>
      </c>
      <c r="BD80" s="5">
        <v>5</v>
      </c>
      <c r="BE80" s="5" t="s">
        <v>55</v>
      </c>
      <c r="BF80" s="8">
        <v>1.4899999999999913</v>
      </c>
      <c r="BG80" s="6">
        <v>45020</v>
      </c>
      <c r="BH80" s="5" t="s">
        <v>45</v>
      </c>
      <c r="BI80" s="5" t="s">
        <v>45</v>
      </c>
      <c r="BJ80" s="5" t="s">
        <v>52</v>
      </c>
      <c r="BK80" s="5" t="s">
        <v>45</v>
      </c>
      <c r="BL80" s="8" t="s">
        <v>46</v>
      </c>
      <c r="BM80" s="8">
        <v>12.000000000000012</v>
      </c>
      <c r="BN80" s="8">
        <v>-1.0200000000000209</v>
      </c>
      <c r="BO80" s="8">
        <v>5</v>
      </c>
      <c r="BP80" s="10" t="s">
        <v>46</v>
      </c>
    </row>
    <row r="81" spans="1:68" ht="14.5" customHeight="1" x14ac:dyDescent="0.35">
      <c r="A81" s="5">
        <v>80</v>
      </c>
      <c r="B81" s="6">
        <v>45016</v>
      </c>
      <c r="C81" s="5" t="s">
        <v>44</v>
      </c>
      <c r="D81" s="5" t="s">
        <v>45</v>
      </c>
      <c r="E81" s="5" t="s">
        <v>46</v>
      </c>
      <c r="F81" s="5" t="s">
        <v>67</v>
      </c>
      <c r="G81" s="7">
        <v>2.0833333333333332E-2</v>
      </c>
      <c r="H81" s="7">
        <v>0.3125</v>
      </c>
      <c r="I81" s="5">
        <v>1.2391000000000001</v>
      </c>
      <c r="J81" s="5">
        <v>1.2365999999999999</v>
      </c>
      <c r="K81" s="8">
        <v>-2.5</v>
      </c>
      <c r="L81" s="8">
        <v>5</v>
      </c>
      <c r="M81" s="5">
        <f t="shared" si="4"/>
        <v>1.2365999999999999</v>
      </c>
      <c r="N81" s="5">
        <f t="shared" si="5"/>
        <v>1.2441</v>
      </c>
      <c r="O81" s="5">
        <v>15</v>
      </c>
      <c r="P81" s="8">
        <v>3.1499999999999861</v>
      </c>
      <c r="Q81" s="8">
        <v>-6.7300000000001248</v>
      </c>
      <c r="R81" s="5">
        <v>7</v>
      </c>
      <c r="S81" s="5" t="s">
        <v>68</v>
      </c>
      <c r="T81" s="8">
        <v>-2.5</v>
      </c>
      <c r="U81" s="5"/>
      <c r="V81" s="5"/>
      <c r="W81" s="5"/>
      <c r="X81" s="5"/>
      <c r="Y81" s="5"/>
      <c r="Z81" s="5"/>
      <c r="AA81" s="6">
        <v>45019</v>
      </c>
      <c r="AB81" s="5" t="s">
        <v>52</v>
      </c>
      <c r="AC81" s="5" t="s">
        <v>45</v>
      </c>
      <c r="AD81" s="8" t="s">
        <v>46</v>
      </c>
      <c r="AE81" s="8" t="s">
        <v>46</v>
      </c>
      <c r="AF81" s="5" t="s">
        <v>45</v>
      </c>
      <c r="AG81" s="5">
        <v>9</v>
      </c>
      <c r="AH81" s="8">
        <v>0</v>
      </c>
      <c r="AI81" s="8">
        <v>0</v>
      </c>
      <c r="AJ81" s="8">
        <v>0</v>
      </c>
      <c r="AK81" s="10" t="s">
        <v>46</v>
      </c>
      <c r="AL81" s="5"/>
      <c r="AM81" s="5">
        <v>80</v>
      </c>
      <c r="AN81" s="6">
        <v>45016</v>
      </c>
      <c r="AO81" s="5" t="s">
        <v>53</v>
      </c>
      <c r="AP81" s="5" t="s">
        <v>45</v>
      </c>
      <c r="AQ81" s="5" t="s">
        <v>46</v>
      </c>
      <c r="AR81" s="5" t="s">
        <v>67</v>
      </c>
      <c r="AS81" s="7">
        <v>2.0833333333333332E-2</v>
      </c>
      <c r="AT81" s="7">
        <v>0.3125</v>
      </c>
      <c r="AU81" s="5">
        <v>1.2391000000000001</v>
      </c>
      <c r="AV81" s="5">
        <v>1.2354000000000001</v>
      </c>
      <c r="AW81" s="5">
        <f t="shared" si="6"/>
        <v>1.2354000000000001</v>
      </c>
      <c r="AX81" s="5">
        <f t="shared" si="7"/>
        <v>1.2441</v>
      </c>
      <c r="AY81" s="5">
        <f>14.7*2.5</f>
        <v>36.75</v>
      </c>
      <c r="AZ81" s="8">
        <v>-3.67</v>
      </c>
      <c r="BA81" s="5">
        <v>15</v>
      </c>
      <c r="BB81" s="8">
        <v>3.1499999999999861</v>
      </c>
      <c r="BC81" s="8">
        <v>-6.7300000000001248</v>
      </c>
      <c r="BD81" s="5">
        <v>7</v>
      </c>
      <c r="BE81" s="5" t="s">
        <v>68</v>
      </c>
      <c r="BF81" s="8">
        <v>-2.5</v>
      </c>
      <c r="BG81" s="6">
        <v>45019</v>
      </c>
      <c r="BH81" s="5" t="s">
        <v>52</v>
      </c>
      <c r="BI81" s="5" t="s">
        <v>45</v>
      </c>
      <c r="BJ81" s="8" t="s">
        <v>46</v>
      </c>
      <c r="BK81" s="8" t="s">
        <v>46</v>
      </c>
      <c r="BL81" s="5" t="s">
        <v>45</v>
      </c>
      <c r="BM81" s="8">
        <v>0</v>
      </c>
      <c r="BN81" s="8">
        <v>0</v>
      </c>
      <c r="BO81" s="8">
        <v>0</v>
      </c>
      <c r="BP81" s="10" t="s">
        <v>46</v>
      </c>
    </row>
    <row r="82" spans="1:68" ht="14.5" customHeight="1" x14ac:dyDescent="0.35">
      <c r="A82" s="5">
        <v>81</v>
      </c>
      <c r="B82" s="6">
        <v>45016</v>
      </c>
      <c r="C82" s="5" t="s">
        <v>44</v>
      </c>
      <c r="D82" s="5" t="s">
        <v>45</v>
      </c>
      <c r="E82" s="5" t="s">
        <v>46</v>
      </c>
      <c r="F82" s="5" t="s">
        <v>67</v>
      </c>
      <c r="G82" s="7">
        <v>0.52083333333333337</v>
      </c>
      <c r="H82" s="7">
        <v>0.60416666666666663</v>
      </c>
      <c r="I82" s="5">
        <v>1.2391000000000001</v>
      </c>
      <c r="J82" s="5">
        <v>1.2365999999999999</v>
      </c>
      <c r="K82" s="8">
        <v>-2.5</v>
      </c>
      <c r="L82" s="8">
        <v>5</v>
      </c>
      <c r="M82" s="5">
        <f t="shared" si="4"/>
        <v>1.2365999999999999</v>
      </c>
      <c r="N82" s="5">
        <f t="shared" si="5"/>
        <v>1.2441</v>
      </c>
      <c r="O82" s="5">
        <v>5</v>
      </c>
      <c r="P82" s="8">
        <v>3.1499999999999861</v>
      </c>
      <c r="Q82" s="8">
        <v>-6.7300000000001248</v>
      </c>
      <c r="R82" s="5">
        <v>7</v>
      </c>
      <c r="S82" s="5" t="s">
        <v>68</v>
      </c>
      <c r="T82" s="8">
        <v>-2.5</v>
      </c>
      <c r="U82" s="5"/>
      <c r="V82" s="5"/>
      <c r="W82" s="5"/>
      <c r="X82" s="5"/>
      <c r="Y82" s="5"/>
      <c r="Z82" s="5"/>
      <c r="AA82" s="6">
        <v>45019</v>
      </c>
      <c r="AB82" s="5" t="s">
        <v>52</v>
      </c>
      <c r="AC82" s="5" t="s">
        <v>45</v>
      </c>
      <c r="AD82" s="8" t="s">
        <v>46</v>
      </c>
      <c r="AE82" s="8" t="s">
        <v>46</v>
      </c>
      <c r="AF82" s="5" t="s">
        <v>45</v>
      </c>
      <c r="AG82" s="5">
        <v>9</v>
      </c>
      <c r="AH82" s="8">
        <v>0</v>
      </c>
      <c r="AI82" s="8">
        <v>0</v>
      </c>
      <c r="AJ82" s="8">
        <v>0</v>
      </c>
      <c r="AK82" s="10" t="s">
        <v>46</v>
      </c>
      <c r="AL82" s="5"/>
      <c r="AM82" s="5">
        <v>81</v>
      </c>
      <c r="AN82" s="6">
        <v>45016</v>
      </c>
      <c r="AO82" s="5" t="s">
        <v>53</v>
      </c>
      <c r="AP82" s="5" t="s">
        <v>45</v>
      </c>
      <c r="AQ82" s="5" t="s">
        <v>46</v>
      </c>
      <c r="AR82" s="5" t="s">
        <v>67</v>
      </c>
      <c r="AS82" s="7">
        <v>0.52083333333333337</v>
      </c>
      <c r="AT82" s="7">
        <v>0.60416666666666663</v>
      </c>
      <c r="AU82" s="5">
        <v>1.2391000000000001</v>
      </c>
      <c r="AV82" s="5">
        <v>1.2354000000000001</v>
      </c>
      <c r="AW82" s="5">
        <f t="shared" si="6"/>
        <v>1.2354000000000001</v>
      </c>
      <c r="AX82" s="5">
        <f t="shared" si="7"/>
        <v>1.2441</v>
      </c>
      <c r="AY82" s="5">
        <f>14.7*2.5</f>
        <v>36.75</v>
      </c>
      <c r="AZ82" s="8">
        <v>-3.67</v>
      </c>
      <c r="BA82" s="5">
        <v>5</v>
      </c>
      <c r="BB82" s="8">
        <v>3.1499999999999861</v>
      </c>
      <c r="BC82" s="8">
        <v>-6.7300000000001248</v>
      </c>
      <c r="BD82" s="5">
        <v>7</v>
      </c>
      <c r="BE82" s="5" t="s">
        <v>68</v>
      </c>
      <c r="BF82" s="8">
        <v>-2.5</v>
      </c>
      <c r="BG82" s="6">
        <v>45019</v>
      </c>
      <c r="BH82" s="5" t="s">
        <v>52</v>
      </c>
      <c r="BI82" s="5" t="s">
        <v>45</v>
      </c>
      <c r="BJ82" s="8" t="s">
        <v>46</v>
      </c>
      <c r="BK82" s="8" t="s">
        <v>46</v>
      </c>
      <c r="BL82" s="5" t="s">
        <v>45</v>
      </c>
      <c r="BM82" s="8">
        <v>0</v>
      </c>
      <c r="BN82" s="8">
        <v>0</v>
      </c>
      <c r="BO82" s="8">
        <v>0</v>
      </c>
      <c r="BP82" s="10" t="s">
        <v>46</v>
      </c>
    </row>
    <row r="83" spans="1:68" ht="14.5" customHeight="1" x14ac:dyDescent="0.35">
      <c r="A83" s="5">
        <v>82</v>
      </c>
      <c r="B83" s="6">
        <v>45015</v>
      </c>
      <c r="C83" s="5" t="s">
        <v>44</v>
      </c>
      <c r="D83" s="5" t="s">
        <v>45</v>
      </c>
      <c r="E83" s="5" t="s">
        <v>46</v>
      </c>
      <c r="F83" s="5" t="s">
        <v>67</v>
      </c>
      <c r="G83" s="7">
        <v>0.33333333333333331</v>
      </c>
      <c r="H83" s="7">
        <v>0.45833333333333331</v>
      </c>
      <c r="I83" s="5">
        <v>1.2355</v>
      </c>
      <c r="J83" s="5">
        <v>1.2330000000000001</v>
      </c>
      <c r="K83" s="8">
        <v>-2.5</v>
      </c>
      <c r="L83" s="8">
        <v>5</v>
      </c>
      <c r="M83" s="5">
        <f t="shared" si="4"/>
        <v>1.2330000000000001</v>
      </c>
      <c r="N83" s="5">
        <f t="shared" si="5"/>
        <v>1.2404999999999999</v>
      </c>
      <c r="O83" s="5">
        <v>7</v>
      </c>
      <c r="P83" s="8">
        <v>3.7700000000000515</v>
      </c>
      <c r="Q83" s="8">
        <v>-2.6900000000000812</v>
      </c>
      <c r="R83" s="5">
        <v>4</v>
      </c>
      <c r="S83" s="5" t="s">
        <v>68</v>
      </c>
      <c r="T83" s="8">
        <v>-2.5</v>
      </c>
      <c r="U83" s="5"/>
      <c r="V83" s="5"/>
      <c r="W83" s="5"/>
      <c r="X83" s="5"/>
      <c r="Y83" s="5"/>
      <c r="Z83" s="5"/>
      <c r="AA83" s="6">
        <v>45016</v>
      </c>
      <c r="AB83" s="5" t="s">
        <v>52</v>
      </c>
      <c r="AC83" s="5" t="s">
        <v>45</v>
      </c>
      <c r="AD83" s="8" t="s">
        <v>46</v>
      </c>
      <c r="AE83" s="8" t="s">
        <v>46</v>
      </c>
      <c r="AF83" s="5" t="s">
        <v>45</v>
      </c>
      <c r="AG83" s="5">
        <v>3</v>
      </c>
      <c r="AH83" s="8">
        <v>0</v>
      </c>
      <c r="AI83" s="8">
        <v>0</v>
      </c>
      <c r="AJ83" s="8">
        <v>0</v>
      </c>
      <c r="AK83" s="10" t="s">
        <v>46</v>
      </c>
      <c r="AL83" s="5"/>
      <c r="AM83" s="5">
        <v>82</v>
      </c>
      <c r="AN83" s="6">
        <v>45015</v>
      </c>
      <c r="AO83" s="5" t="s">
        <v>53</v>
      </c>
      <c r="AP83" s="5" t="s">
        <v>45</v>
      </c>
      <c r="AQ83" s="5" t="s">
        <v>46</v>
      </c>
      <c r="AR83" s="5" t="s">
        <v>67</v>
      </c>
      <c r="AS83" s="7">
        <v>0.33333333333333331</v>
      </c>
      <c r="AT83" s="7">
        <v>0.97916666666666663</v>
      </c>
      <c r="AU83" s="5">
        <v>1.2355</v>
      </c>
      <c r="AV83" s="5">
        <v>1.23858</v>
      </c>
      <c r="AW83" s="5">
        <f t="shared" si="6"/>
        <v>1.2318</v>
      </c>
      <c r="AX83" s="5">
        <f t="shared" si="7"/>
        <v>1.2404999999999999</v>
      </c>
      <c r="AY83" s="5">
        <f>14.96*2.5</f>
        <v>37.400000000000006</v>
      </c>
      <c r="AZ83" s="8">
        <v>-3.74</v>
      </c>
      <c r="BA83" s="5">
        <v>32</v>
      </c>
      <c r="BB83" s="8">
        <v>3.7700000000000515</v>
      </c>
      <c r="BC83" s="8">
        <v>-2.6900000000000812</v>
      </c>
      <c r="BD83" s="5">
        <v>4</v>
      </c>
      <c r="BE83" s="5" t="s">
        <v>55</v>
      </c>
      <c r="BF83" s="8">
        <v>3.0799999999999716</v>
      </c>
      <c r="BG83" s="6">
        <v>45016</v>
      </c>
      <c r="BH83" s="5" t="s">
        <v>52</v>
      </c>
      <c r="BI83" s="5" t="s">
        <v>45</v>
      </c>
      <c r="BJ83" s="5" t="s">
        <v>52</v>
      </c>
      <c r="BK83" s="5" t="s">
        <v>45</v>
      </c>
      <c r="BL83" s="5" t="s">
        <v>46</v>
      </c>
      <c r="BM83" s="8">
        <v>6.7500000000000346</v>
      </c>
      <c r="BN83" s="8">
        <v>-3.1300000000000772</v>
      </c>
      <c r="BO83" s="8">
        <v>5</v>
      </c>
      <c r="BP83" s="10" t="s">
        <v>46</v>
      </c>
    </row>
    <row r="84" spans="1:68" ht="14.5" customHeight="1" x14ac:dyDescent="0.35">
      <c r="A84" s="5">
        <v>83</v>
      </c>
      <c r="B84" s="6">
        <v>45014</v>
      </c>
      <c r="C84" s="5" t="s">
        <v>44</v>
      </c>
      <c r="D84" s="5" t="s">
        <v>45</v>
      </c>
      <c r="E84" s="5" t="s">
        <v>46</v>
      </c>
      <c r="F84" s="5" t="s">
        <v>67</v>
      </c>
      <c r="G84" s="7">
        <v>0.39583333333333331</v>
      </c>
      <c r="H84" s="7">
        <v>0.5</v>
      </c>
      <c r="I84" s="5">
        <v>1.2347000000000001</v>
      </c>
      <c r="J84" s="5">
        <v>1.2322</v>
      </c>
      <c r="K84" s="8">
        <v>-2.5</v>
      </c>
      <c r="L84" s="8">
        <v>5</v>
      </c>
      <c r="M84" s="5">
        <f t="shared" si="4"/>
        <v>1.2322</v>
      </c>
      <c r="N84" s="5">
        <f t="shared" si="5"/>
        <v>1.2397</v>
      </c>
      <c r="O84" s="5">
        <v>6</v>
      </c>
      <c r="P84" s="8">
        <v>1.4299999999998203</v>
      </c>
      <c r="Q84" s="8">
        <v>-4.7200000000000575</v>
      </c>
      <c r="R84" s="5">
        <v>3</v>
      </c>
      <c r="S84" s="5" t="s">
        <v>68</v>
      </c>
      <c r="T84" s="8">
        <v>-2.5</v>
      </c>
      <c r="U84" s="5"/>
      <c r="V84" s="5"/>
      <c r="W84" s="5"/>
      <c r="X84" s="5"/>
      <c r="Y84" s="5"/>
      <c r="Z84" s="5"/>
      <c r="AA84" s="6">
        <v>45015</v>
      </c>
      <c r="AB84" s="5" t="s">
        <v>52</v>
      </c>
      <c r="AC84" s="5" t="s">
        <v>45</v>
      </c>
      <c r="AD84" s="8" t="s">
        <v>46</v>
      </c>
      <c r="AE84" s="8" t="s">
        <v>46</v>
      </c>
      <c r="AF84" s="5" t="s">
        <v>45</v>
      </c>
      <c r="AG84" s="5">
        <v>7</v>
      </c>
      <c r="AH84" s="8">
        <v>0</v>
      </c>
      <c r="AI84" s="8">
        <v>0</v>
      </c>
      <c r="AJ84" s="8">
        <v>0</v>
      </c>
      <c r="AK84" s="10" t="s">
        <v>46</v>
      </c>
      <c r="AL84" s="5"/>
      <c r="AM84" s="5">
        <v>83</v>
      </c>
      <c r="AN84" s="6">
        <v>45014</v>
      </c>
      <c r="AO84" s="5" t="s">
        <v>53</v>
      </c>
      <c r="AP84" s="5" t="s">
        <v>45</v>
      </c>
      <c r="AQ84" s="5" t="s">
        <v>46</v>
      </c>
      <c r="AR84" s="5" t="s">
        <v>67</v>
      </c>
      <c r="AS84" s="7">
        <v>0.39583333333333331</v>
      </c>
      <c r="AT84" s="7">
        <v>0.5</v>
      </c>
      <c r="AU84" s="5">
        <v>1.2347000000000001</v>
      </c>
      <c r="AV84" s="5">
        <v>1.2309000000000001</v>
      </c>
      <c r="AW84" s="5">
        <f t="shared" si="6"/>
        <v>1.2309000000000001</v>
      </c>
      <c r="AX84" s="5">
        <f t="shared" si="7"/>
        <v>1.2397</v>
      </c>
      <c r="AY84" s="5">
        <f>15.26*2.5</f>
        <v>38.15</v>
      </c>
      <c r="AZ84" s="8">
        <v>-3.81</v>
      </c>
      <c r="BA84" s="5">
        <v>6</v>
      </c>
      <c r="BB84" s="8">
        <v>1.4299999999998203</v>
      </c>
      <c r="BC84" s="8">
        <v>-4.7200000000000575</v>
      </c>
      <c r="BD84" s="5">
        <v>3</v>
      </c>
      <c r="BE84" s="5" t="s">
        <v>68</v>
      </c>
      <c r="BF84" s="8">
        <v>-3.81</v>
      </c>
      <c r="BG84" s="6">
        <v>45015</v>
      </c>
      <c r="BH84" s="5" t="s">
        <v>52</v>
      </c>
      <c r="BI84" s="5" t="s">
        <v>45</v>
      </c>
      <c r="BJ84" s="8" t="s">
        <v>46</v>
      </c>
      <c r="BK84" s="8" t="s">
        <v>46</v>
      </c>
      <c r="BL84" s="5" t="s">
        <v>45</v>
      </c>
      <c r="BM84" s="8">
        <v>0</v>
      </c>
      <c r="BN84" s="8">
        <v>0</v>
      </c>
      <c r="BO84" s="8">
        <v>0</v>
      </c>
      <c r="BP84" s="10"/>
    </row>
    <row r="85" spans="1:68" ht="14.5" customHeight="1" x14ac:dyDescent="0.35">
      <c r="A85" s="5">
        <v>84</v>
      </c>
      <c r="B85" s="6">
        <v>45013</v>
      </c>
      <c r="C85" s="5" t="s">
        <v>44</v>
      </c>
      <c r="D85" s="5" t="s">
        <v>45</v>
      </c>
      <c r="E85" s="5" t="s">
        <v>46</v>
      </c>
      <c r="F85" s="5" t="s">
        <v>67</v>
      </c>
      <c r="G85" s="7">
        <v>0.625</v>
      </c>
      <c r="H85" s="7">
        <v>0.97916666666666663</v>
      </c>
      <c r="I85" s="5">
        <v>1.2337</v>
      </c>
      <c r="J85" s="5">
        <v>1.2329399999999999</v>
      </c>
      <c r="K85" s="8">
        <v>-2.5</v>
      </c>
      <c r="L85" s="8">
        <v>5</v>
      </c>
      <c r="M85" s="5">
        <f t="shared" si="4"/>
        <v>1.2312000000000001</v>
      </c>
      <c r="N85" s="5">
        <f t="shared" si="5"/>
        <v>1.2386999999999999</v>
      </c>
      <c r="O85" s="5">
        <v>18</v>
      </c>
      <c r="P85" s="8">
        <v>1.1900000000000244</v>
      </c>
      <c r="Q85" s="8">
        <v>-0.90999999999996639</v>
      </c>
      <c r="R85" s="5">
        <v>10</v>
      </c>
      <c r="S85" s="5" t="s">
        <v>55</v>
      </c>
      <c r="T85" s="8">
        <v>-0.76000000000009393</v>
      </c>
      <c r="U85" s="5"/>
      <c r="V85" s="5"/>
      <c r="W85" s="5"/>
      <c r="X85" s="5"/>
      <c r="Y85" s="5"/>
      <c r="Z85" s="5"/>
      <c r="AA85" s="6">
        <v>45014</v>
      </c>
      <c r="AB85" s="5" t="s">
        <v>52</v>
      </c>
      <c r="AC85" s="5" t="s">
        <v>45</v>
      </c>
      <c r="AD85" s="5" t="s">
        <v>45</v>
      </c>
      <c r="AE85" s="5" t="s">
        <v>52</v>
      </c>
      <c r="AF85" s="5" t="s">
        <v>45</v>
      </c>
      <c r="AG85" s="5">
        <v>7</v>
      </c>
      <c r="AH85" s="8">
        <v>2.4299999999999322</v>
      </c>
      <c r="AI85" s="8">
        <v>-3.7199999999999456</v>
      </c>
      <c r="AJ85" s="8">
        <v>-2.5</v>
      </c>
      <c r="AK85" s="10" t="s">
        <v>46</v>
      </c>
      <c r="AL85" s="5"/>
      <c r="AM85" s="5">
        <v>84</v>
      </c>
      <c r="AN85" s="6">
        <v>45013</v>
      </c>
      <c r="AO85" s="5" t="s">
        <v>53</v>
      </c>
      <c r="AP85" s="5" t="s">
        <v>45</v>
      </c>
      <c r="AQ85" s="5" t="s">
        <v>46</v>
      </c>
      <c r="AR85" s="5" t="s">
        <v>67</v>
      </c>
      <c r="AS85" s="7">
        <v>0.625</v>
      </c>
      <c r="AT85" s="7">
        <v>0.97916666666666663</v>
      </c>
      <c r="AU85" s="5">
        <v>1.2337</v>
      </c>
      <c r="AV85" s="5">
        <v>1.2329399999999999</v>
      </c>
      <c r="AW85" s="5">
        <f t="shared" si="6"/>
        <v>1.2298</v>
      </c>
      <c r="AX85" s="5">
        <f t="shared" si="7"/>
        <v>1.2386999999999999</v>
      </c>
      <c r="AY85" s="5">
        <f>15.52*2.5</f>
        <v>38.799999999999997</v>
      </c>
      <c r="AZ85" s="8">
        <v>-3.88</v>
      </c>
      <c r="BA85" s="5">
        <v>18</v>
      </c>
      <c r="BB85" s="8">
        <v>1.1900000000000244</v>
      </c>
      <c r="BC85" s="8">
        <v>-0.90999999999996639</v>
      </c>
      <c r="BD85" s="5">
        <v>10</v>
      </c>
      <c r="BE85" s="5" t="s">
        <v>55</v>
      </c>
      <c r="BF85" s="8">
        <v>-0.76000000000009393</v>
      </c>
      <c r="BG85" s="6">
        <v>45014</v>
      </c>
      <c r="BH85" s="5" t="s">
        <v>52</v>
      </c>
      <c r="BI85" s="5" t="s">
        <v>45</v>
      </c>
      <c r="BJ85" s="5" t="s">
        <v>45</v>
      </c>
      <c r="BK85" s="5" t="s">
        <v>52</v>
      </c>
      <c r="BL85" s="5" t="s">
        <v>45</v>
      </c>
      <c r="BM85" s="8">
        <v>2.4299999999999322</v>
      </c>
      <c r="BN85" s="8">
        <v>-3.7199999999999456</v>
      </c>
      <c r="BO85" s="8">
        <v>-3.88</v>
      </c>
      <c r="BP85" s="10" t="s">
        <v>46</v>
      </c>
    </row>
    <row r="86" spans="1:68" ht="14.5" customHeight="1" x14ac:dyDescent="0.35">
      <c r="A86" s="5">
        <v>85</v>
      </c>
      <c r="B86" s="6">
        <v>45008</v>
      </c>
      <c r="C86" s="5" t="s">
        <v>44</v>
      </c>
      <c r="D86" s="5" t="s">
        <v>45</v>
      </c>
      <c r="E86" s="5" t="s">
        <v>46</v>
      </c>
      <c r="F86" s="5" t="s">
        <v>67</v>
      </c>
      <c r="G86" s="7">
        <v>0.10416666666666667</v>
      </c>
      <c r="H86" s="7">
        <v>0.41666666666666669</v>
      </c>
      <c r="I86" s="5">
        <v>1.2313000000000001</v>
      </c>
      <c r="J86" s="5">
        <v>1.2288000000000001</v>
      </c>
      <c r="K86" s="8">
        <v>-2.5</v>
      </c>
      <c r="L86" s="8">
        <v>5</v>
      </c>
      <c r="M86" s="5">
        <f t="shared" si="4"/>
        <v>1.2288000000000001</v>
      </c>
      <c r="N86" s="5">
        <f t="shared" si="5"/>
        <v>1.2363</v>
      </c>
      <c r="O86" s="5">
        <v>16</v>
      </c>
      <c r="P86" s="8">
        <v>2.8999999999999027</v>
      </c>
      <c r="Q86" s="8">
        <v>-5.1700000000001189</v>
      </c>
      <c r="R86" s="5">
        <v>16</v>
      </c>
      <c r="S86" s="5" t="s">
        <v>68</v>
      </c>
      <c r="T86" s="8">
        <v>-2.5</v>
      </c>
      <c r="U86" s="5"/>
      <c r="V86" s="5"/>
      <c r="W86" s="5"/>
      <c r="X86" s="5"/>
      <c r="Y86" s="5"/>
      <c r="Z86" s="5"/>
      <c r="AA86" s="6">
        <v>45009</v>
      </c>
      <c r="AB86" s="5" t="s">
        <v>52</v>
      </c>
      <c r="AC86" s="5" t="s">
        <v>52</v>
      </c>
      <c r="AD86" s="8" t="s">
        <v>46</v>
      </c>
      <c r="AE86" s="8" t="s">
        <v>46</v>
      </c>
      <c r="AF86" s="8" t="s">
        <v>46</v>
      </c>
      <c r="AG86" s="5">
        <v>0</v>
      </c>
      <c r="AH86" s="8">
        <v>0</v>
      </c>
      <c r="AI86" s="8">
        <v>0</v>
      </c>
      <c r="AJ86" s="8">
        <v>0</v>
      </c>
      <c r="AK86" s="10" t="s">
        <v>46</v>
      </c>
      <c r="AL86" s="5"/>
      <c r="AM86" s="5">
        <v>85</v>
      </c>
      <c r="AN86" s="6">
        <v>45008</v>
      </c>
      <c r="AO86" s="5" t="s">
        <v>53</v>
      </c>
      <c r="AP86" s="5" t="s">
        <v>45</v>
      </c>
      <c r="AQ86" s="5" t="s">
        <v>46</v>
      </c>
      <c r="AR86" s="5" t="s">
        <v>67</v>
      </c>
      <c r="AS86" s="7">
        <v>0.10416666666666667</v>
      </c>
      <c r="AT86" s="7">
        <v>0.52083333333333337</v>
      </c>
      <c r="AU86" s="5">
        <v>1.2313000000000001</v>
      </c>
      <c r="AV86" s="5">
        <v>1.2274</v>
      </c>
      <c r="AW86" s="5">
        <f t="shared" si="6"/>
        <v>1.2274</v>
      </c>
      <c r="AX86" s="5">
        <f t="shared" si="7"/>
        <v>1.2363</v>
      </c>
      <c r="AY86" s="5">
        <f>15.51*2.5</f>
        <v>38.774999999999999</v>
      </c>
      <c r="AZ86" s="8">
        <v>-3.87</v>
      </c>
      <c r="BA86" s="5">
        <v>21</v>
      </c>
      <c r="BB86" s="8">
        <v>2.8999999999999027</v>
      </c>
      <c r="BC86" s="8">
        <v>-5.1700000000001189</v>
      </c>
      <c r="BD86" s="5">
        <v>16</v>
      </c>
      <c r="BE86" s="5" t="s">
        <v>68</v>
      </c>
      <c r="BF86" s="8">
        <v>-3.87</v>
      </c>
      <c r="BG86" s="6">
        <v>45009</v>
      </c>
      <c r="BH86" s="5" t="s">
        <v>52</v>
      </c>
      <c r="BI86" s="5" t="s">
        <v>52</v>
      </c>
      <c r="BJ86" s="8" t="s">
        <v>46</v>
      </c>
      <c r="BK86" s="8" t="s">
        <v>46</v>
      </c>
      <c r="BL86" s="8" t="s">
        <v>46</v>
      </c>
      <c r="BM86" s="8">
        <v>0</v>
      </c>
      <c r="BN86" s="8">
        <v>0</v>
      </c>
      <c r="BO86" s="8">
        <v>0</v>
      </c>
      <c r="BP86" s="10" t="s">
        <v>46</v>
      </c>
    </row>
    <row r="87" spans="1:68" ht="14.5" customHeight="1" x14ac:dyDescent="0.35">
      <c r="A87" s="5">
        <v>86</v>
      </c>
      <c r="B87" s="6">
        <v>45008</v>
      </c>
      <c r="C87" s="5" t="s">
        <v>44</v>
      </c>
      <c r="D87" s="5" t="s">
        <v>45</v>
      </c>
      <c r="E87" s="5" t="s">
        <v>46</v>
      </c>
      <c r="F87" s="5" t="s">
        <v>67</v>
      </c>
      <c r="G87" s="7">
        <v>0.5</v>
      </c>
      <c r="H87" s="7">
        <v>0.52083333333333337</v>
      </c>
      <c r="I87" s="5">
        <v>1.2313000000000001</v>
      </c>
      <c r="J87" s="5">
        <v>1.2288000000000001</v>
      </c>
      <c r="K87" s="8">
        <v>-2.5</v>
      </c>
      <c r="L87" s="8">
        <v>5</v>
      </c>
      <c r="M87" s="5">
        <f t="shared" si="4"/>
        <v>1.2288000000000001</v>
      </c>
      <c r="N87" s="5">
        <f t="shared" si="5"/>
        <v>1.2363</v>
      </c>
      <c r="O87" s="5">
        <v>1</v>
      </c>
      <c r="P87" s="8">
        <v>2.8999999999999027</v>
      </c>
      <c r="Q87" s="8">
        <v>-5.1700000000001189</v>
      </c>
      <c r="R87" s="5">
        <v>16</v>
      </c>
      <c r="S87" s="5" t="s">
        <v>68</v>
      </c>
      <c r="T87" s="8">
        <v>-2.5</v>
      </c>
      <c r="U87" s="5"/>
      <c r="V87" s="5"/>
      <c r="W87" s="5"/>
      <c r="X87" s="5"/>
      <c r="Y87" s="5"/>
      <c r="Z87" s="5"/>
      <c r="AA87" s="6">
        <v>45009</v>
      </c>
      <c r="AB87" s="5" t="s">
        <v>52</v>
      </c>
      <c r="AC87" s="5" t="s">
        <v>52</v>
      </c>
      <c r="AD87" s="8" t="s">
        <v>46</v>
      </c>
      <c r="AE87" s="8" t="s">
        <v>46</v>
      </c>
      <c r="AF87" s="8" t="s">
        <v>46</v>
      </c>
      <c r="AG87" s="5">
        <v>0</v>
      </c>
      <c r="AH87" s="8">
        <v>0</v>
      </c>
      <c r="AI87" s="8">
        <v>0</v>
      </c>
      <c r="AJ87" s="8">
        <v>0</v>
      </c>
      <c r="AK87" s="10" t="s">
        <v>46</v>
      </c>
      <c r="AL87" s="5"/>
      <c r="AM87" s="5">
        <v>86</v>
      </c>
      <c r="AN87" s="6">
        <v>45008</v>
      </c>
      <c r="AO87" s="5" t="s">
        <v>53</v>
      </c>
      <c r="AP87" s="5" t="s">
        <v>45</v>
      </c>
      <c r="AQ87" s="5" t="s">
        <v>46</v>
      </c>
      <c r="AR87" s="5" t="s">
        <v>67</v>
      </c>
      <c r="AS87" s="7">
        <v>0.5625</v>
      </c>
      <c r="AT87" s="7">
        <v>0.77083333333333337</v>
      </c>
      <c r="AU87" s="5">
        <v>1.2313000000000001</v>
      </c>
      <c r="AV87" s="5">
        <v>1.2274</v>
      </c>
      <c r="AW87" s="5">
        <f t="shared" si="6"/>
        <v>1.2274</v>
      </c>
      <c r="AX87" s="5">
        <f t="shared" si="7"/>
        <v>1.2363</v>
      </c>
      <c r="AY87" s="5">
        <f>15.51*2.5</f>
        <v>38.774999999999999</v>
      </c>
      <c r="AZ87" s="8">
        <v>-3.87</v>
      </c>
      <c r="BA87" s="5">
        <v>11</v>
      </c>
      <c r="BB87" s="8">
        <v>2.8999999999999027</v>
      </c>
      <c r="BC87" s="8">
        <v>-5.1700000000001189</v>
      </c>
      <c r="BD87" s="5">
        <v>16</v>
      </c>
      <c r="BE87" s="5" t="s">
        <v>68</v>
      </c>
      <c r="BF87" s="8">
        <v>-3.87</v>
      </c>
      <c r="BG87" s="6">
        <v>45009</v>
      </c>
      <c r="BH87" s="5" t="s">
        <v>52</v>
      </c>
      <c r="BI87" s="5" t="s">
        <v>52</v>
      </c>
      <c r="BJ87" s="8" t="s">
        <v>46</v>
      </c>
      <c r="BK87" s="8" t="s">
        <v>46</v>
      </c>
      <c r="BL87" s="8" t="s">
        <v>46</v>
      </c>
      <c r="BM87" s="8">
        <v>0</v>
      </c>
      <c r="BN87" s="8">
        <v>0</v>
      </c>
      <c r="BO87" s="8">
        <v>0</v>
      </c>
      <c r="BP87" s="10" t="s">
        <v>46</v>
      </c>
    </row>
    <row r="88" spans="1:68" ht="14.5" customHeight="1" x14ac:dyDescent="0.35">
      <c r="A88" s="5">
        <v>87</v>
      </c>
      <c r="B88" s="6">
        <v>45007</v>
      </c>
      <c r="C88" s="5" t="s">
        <v>44</v>
      </c>
      <c r="D88" s="5" t="s">
        <v>45</v>
      </c>
      <c r="E88" s="5" t="s">
        <v>46</v>
      </c>
      <c r="F88" s="5" t="s">
        <v>67</v>
      </c>
      <c r="G88" s="7">
        <v>0.35416666666666669</v>
      </c>
      <c r="H88" s="7">
        <v>0.54166666666666663</v>
      </c>
      <c r="I88" s="5">
        <v>1.2282</v>
      </c>
      <c r="J88" s="5">
        <v>1.2257</v>
      </c>
      <c r="K88" s="8">
        <v>-2.5</v>
      </c>
      <c r="L88" s="8">
        <v>5</v>
      </c>
      <c r="M88" s="5">
        <f t="shared" si="4"/>
        <v>1.2257</v>
      </c>
      <c r="N88" s="5">
        <f t="shared" si="5"/>
        <v>1.2332000000000001</v>
      </c>
      <c r="O88" s="5">
        <v>10</v>
      </c>
      <c r="P88" s="8">
        <v>5.2900000000000169</v>
      </c>
      <c r="Q88" s="8">
        <v>-6.1499999999998778</v>
      </c>
      <c r="R88" s="5">
        <v>9</v>
      </c>
      <c r="S88" s="5" t="s">
        <v>68</v>
      </c>
      <c r="T88" s="8">
        <v>-2.5</v>
      </c>
      <c r="U88" s="5"/>
      <c r="V88" s="5"/>
      <c r="W88" s="5"/>
      <c r="X88" s="5"/>
      <c r="Y88" s="5"/>
      <c r="Z88" s="5"/>
      <c r="AA88" s="6">
        <v>45008</v>
      </c>
      <c r="AB88" s="5" t="s">
        <v>52</v>
      </c>
      <c r="AC88" s="5" t="s">
        <v>52</v>
      </c>
      <c r="AD88" s="8" t="s">
        <v>46</v>
      </c>
      <c r="AE88" s="8" t="s">
        <v>46</v>
      </c>
      <c r="AF88" s="5" t="s">
        <v>45</v>
      </c>
      <c r="AG88" s="5">
        <v>13</v>
      </c>
      <c r="AH88" s="8">
        <v>0</v>
      </c>
      <c r="AI88" s="8">
        <v>0</v>
      </c>
      <c r="AJ88" s="8">
        <v>0</v>
      </c>
      <c r="AK88" s="10" t="s">
        <v>46</v>
      </c>
      <c r="AL88" s="5"/>
      <c r="AM88" s="5">
        <v>87</v>
      </c>
      <c r="AN88" s="6">
        <v>45007</v>
      </c>
      <c r="AO88" s="5" t="s">
        <v>53</v>
      </c>
      <c r="AP88" s="5" t="s">
        <v>45</v>
      </c>
      <c r="AQ88" s="5" t="s">
        <v>46</v>
      </c>
      <c r="AR88" s="5" t="s">
        <v>67</v>
      </c>
      <c r="AS88" s="7">
        <v>0.35416666666666669</v>
      </c>
      <c r="AT88" s="7">
        <v>0.54166666666666663</v>
      </c>
      <c r="AU88" s="5">
        <v>1.2282</v>
      </c>
      <c r="AV88" s="5">
        <v>1.2242999999999999</v>
      </c>
      <c r="AW88" s="5">
        <f t="shared" si="6"/>
        <v>1.2242999999999999</v>
      </c>
      <c r="AX88" s="5">
        <f t="shared" si="7"/>
        <v>1.2332000000000001</v>
      </c>
      <c r="AY88" s="5">
        <f>15.42*2.5</f>
        <v>38.549999999999997</v>
      </c>
      <c r="AZ88" s="8">
        <v>-3.85</v>
      </c>
      <c r="BA88" s="5">
        <v>10</v>
      </c>
      <c r="BB88" s="8">
        <v>5.2900000000000169</v>
      </c>
      <c r="BC88" s="8">
        <v>-6.1499999999998778</v>
      </c>
      <c r="BD88" s="5">
        <v>9</v>
      </c>
      <c r="BE88" s="5" t="s">
        <v>68</v>
      </c>
      <c r="BF88" s="8">
        <v>-2.5</v>
      </c>
      <c r="BG88" s="6">
        <v>45008</v>
      </c>
      <c r="BH88" s="5" t="s">
        <v>52</v>
      </c>
      <c r="BI88" s="5" t="s">
        <v>52</v>
      </c>
      <c r="BJ88" s="8" t="s">
        <v>46</v>
      </c>
      <c r="BK88" s="8" t="s">
        <v>46</v>
      </c>
      <c r="BL88" s="5" t="s">
        <v>45</v>
      </c>
      <c r="BM88" s="8">
        <v>0</v>
      </c>
      <c r="BN88" s="8">
        <v>0</v>
      </c>
      <c r="BO88" s="8">
        <v>0</v>
      </c>
      <c r="BP88" s="10" t="s">
        <v>46</v>
      </c>
    </row>
    <row r="89" spans="1:68" ht="14.5" customHeight="1" x14ac:dyDescent="0.35">
      <c r="A89" s="5">
        <v>88</v>
      </c>
      <c r="B89" s="6">
        <v>45007</v>
      </c>
      <c r="C89" s="5" t="s">
        <v>44</v>
      </c>
      <c r="D89" s="5" t="s">
        <v>45</v>
      </c>
      <c r="E89" s="5" t="s">
        <v>46</v>
      </c>
      <c r="F89" s="5" t="s">
        <v>67</v>
      </c>
      <c r="G89" s="7">
        <v>0.75</v>
      </c>
      <c r="H89" s="7">
        <v>0.77083333333333337</v>
      </c>
      <c r="I89" s="5">
        <v>1.2282</v>
      </c>
      <c r="J89" s="5">
        <v>1.2332000000000001</v>
      </c>
      <c r="K89" s="8">
        <v>-2.5</v>
      </c>
      <c r="L89" s="8">
        <v>5</v>
      </c>
      <c r="M89" s="5">
        <f t="shared" si="4"/>
        <v>1.2257</v>
      </c>
      <c r="N89" s="5">
        <f t="shared" si="5"/>
        <v>1.2332000000000001</v>
      </c>
      <c r="O89" s="5">
        <v>1</v>
      </c>
      <c r="P89" s="8">
        <v>5.2900000000000169</v>
      </c>
      <c r="Q89" s="8">
        <v>-6.1499999999998778</v>
      </c>
      <c r="R89" s="5">
        <v>9</v>
      </c>
      <c r="S89" s="5" t="s">
        <v>48</v>
      </c>
      <c r="T89" s="8">
        <v>5</v>
      </c>
      <c r="U89" s="5"/>
      <c r="V89" s="5"/>
      <c r="W89" s="5"/>
      <c r="X89" s="5"/>
      <c r="Y89" s="5"/>
      <c r="Z89" s="5"/>
      <c r="AA89" s="6">
        <v>45008</v>
      </c>
      <c r="AB89" s="5" t="s">
        <v>52</v>
      </c>
      <c r="AC89" s="5" t="s">
        <v>52</v>
      </c>
      <c r="AD89" s="8" t="s">
        <v>46</v>
      </c>
      <c r="AE89" s="8" t="s">
        <v>46</v>
      </c>
      <c r="AF89" s="8" t="s">
        <v>46</v>
      </c>
      <c r="AG89" s="5">
        <v>13</v>
      </c>
      <c r="AH89" s="8">
        <v>0</v>
      </c>
      <c r="AI89" s="8">
        <v>0</v>
      </c>
      <c r="AJ89" s="8">
        <v>0</v>
      </c>
      <c r="AK89" s="10" t="s">
        <v>46</v>
      </c>
      <c r="AL89" s="5"/>
      <c r="AM89" s="5">
        <v>88</v>
      </c>
      <c r="AN89" s="6">
        <v>45007</v>
      </c>
      <c r="AO89" s="5" t="s">
        <v>53</v>
      </c>
      <c r="AP89" s="5" t="s">
        <v>45</v>
      </c>
      <c r="AQ89" s="5" t="s">
        <v>46</v>
      </c>
      <c r="AR89" s="5" t="s">
        <v>67</v>
      </c>
      <c r="AS89" s="7">
        <v>0.75</v>
      </c>
      <c r="AT89" s="7">
        <v>0.77083333333333337</v>
      </c>
      <c r="AU89" s="5">
        <v>1.2282</v>
      </c>
      <c r="AV89" s="5">
        <v>1.2332000000000001</v>
      </c>
      <c r="AW89" s="5">
        <f t="shared" si="6"/>
        <v>1.2242999999999999</v>
      </c>
      <c r="AX89" s="5">
        <f t="shared" si="7"/>
        <v>1.2332000000000001</v>
      </c>
      <c r="AY89" s="5">
        <f>15.42*2.5</f>
        <v>38.549999999999997</v>
      </c>
      <c r="AZ89" s="8">
        <v>-3.85</v>
      </c>
      <c r="BA89" s="5">
        <v>1</v>
      </c>
      <c r="BB89" s="8">
        <v>5.2900000000000169</v>
      </c>
      <c r="BC89" s="8">
        <v>-6.1499999999998778</v>
      </c>
      <c r="BD89" s="5">
        <v>9</v>
      </c>
      <c r="BE89" s="5" t="s">
        <v>48</v>
      </c>
      <c r="BF89" s="8">
        <v>5</v>
      </c>
      <c r="BG89" s="6">
        <v>45008</v>
      </c>
      <c r="BH89" s="5" t="s">
        <v>52</v>
      </c>
      <c r="BI89" s="5" t="s">
        <v>52</v>
      </c>
      <c r="BJ89" s="8" t="s">
        <v>46</v>
      </c>
      <c r="BK89" s="8" t="s">
        <v>46</v>
      </c>
      <c r="BL89" s="5" t="s">
        <v>46</v>
      </c>
      <c r="BM89" s="8">
        <v>0</v>
      </c>
      <c r="BN89" s="8">
        <v>0</v>
      </c>
      <c r="BO89" s="8">
        <v>0</v>
      </c>
      <c r="BP89" s="10" t="s">
        <v>46</v>
      </c>
    </row>
    <row r="90" spans="1:68" ht="14.5" customHeight="1" x14ac:dyDescent="0.35">
      <c r="A90" s="5">
        <v>89</v>
      </c>
      <c r="B90" s="6">
        <v>45005</v>
      </c>
      <c r="C90" s="5" t="s">
        <v>44</v>
      </c>
      <c r="D90" s="5" t="s">
        <v>45</v>
      </c>
      <c r="E90" s="5" t="s">
        <v>46</v>
      </c>
      <c r="F90" s="5" t="s">
        <v>67</v>
      </c>
      <c r="G90" s="7">
        <v>0.33333333333333331</v>
      </c>
      <c r="H90" s="7">
        <v>0.35416666666666669</v>
      </c>
      <c r="I90" s="5">
        <v>1.2201</v>
      </c>
      <c r="J90" s="5">
        <v>1.2176</v>
      </c>
      <c r="K90" s="8">
        <v>-2.5</v>
      </c>
      <c r="L90" s="8">
        <v>5</v>
      </c>
      <c r="M90" s="5">
        <f t="shared" si="4"/>
        <v>1.2176</v>
      </c>
      <c r="N90" s="5">
        <f t="shared" si="5"/>
        <v>1.2251000000000001</v>
      </c>
      <c r="O90" s="5">
        <v>1</v>
      </c>
      <c r="P90" s="8">
        <v>8.3500000000000796</v>
      </c>
      <c r="Q90" s="8">
        <v>-2.6599999999998847</v>
      </c>
      <c r="R90" s="5">
        <v>4</v>
      </c>
      <c r="S90" s="5" t="s">
        <v>68</v>
      </c>
      <c r="T90" s="8">
        <v>-2.5</v>
      </c>
      <c r="U90" s="5"/>
      <c r="V90" s="5"/>
      <c r="W90" s="5"/>
      <c r="X90" s="5"/>
      <c r="Y90" s="5"/>
      <c r="Z90" s="5"/>
      <c r="AA90" s="6">
        <v>45006</v>
      </c>
      <c r="AB90" s="5" t="s">
        <v>52</v>
      </c>
      <c r="AC90" s="5" t="s">
        <v>45</v>
      </c>
      <c r="AD90" s="8" t="s">
        <v>46</v>
      </c>
      <c r="AE90" s="8" t="s">
        <v>46</v>
      </c>
      <c r="AF90" s="8" t="s">
        <v>46</v>
      </c>
      <c r="AG90" s="5">
        <v>4</v>
      </c>
      <c r="AH90" s="8">
        <v>0</v>
      </c>
      <c r="AI90" s="8">
        <v>0</v>
      </c>
      <c r="AJ90" s="8">
        <v>0</v>
      </c>
      <c r="AK90" s="10" t="s">
        <v>46</v>
      </c>
      <c r="AL90" s="5"/>
      <c r="AM90" s="5">
        <v>89</v>
      </c>
      <c r="AN90" s="6">
        <v>45005</v>
      </c>
      <c r="AO90" s="5" t="s">
        <v>53</v>
      </c>
      <c r="AP90" s="5" t="s">
        <v>45</v>
      </c>
      <c r="AQ90" s="5" t="s">
        <v>46</v>
      </c>
      <c r="AR90" s="5" t="s">
        <v>67</v>
      </c>
      <c r="AS90" s="7">
        <v>0.33333333333333331</v>
      </c>
      <c r="AT90" s="7">
        <v>0.5625</v>
      </c>
      <c r="AU90" s="5">
        <v>1.2201</v>
      </c>
      <c r="AV90" s="5">
        <v>1.2251000000000001</v>
      </c>
      <c r="AW90" s="5">
        <f t="shared" si="6"/>
        <v>1.2161999999999999</v>
      </c>
      <c r="AX90" s="5">
        <f t="shared" si="7"/>
        <v>1.2251000000000001</v>
      </c>
      <c r="AY90" s="5">
        <f>15.55*2.5</f>
        <v>38.875</v>
      </c>
      <c r="AZ90" s="8">
        <v>-3.88</v>
      </c>
      <c r="BA90" s="5">
        <v>12</v>
      </c>
      <c r="BB90" s="8">
        <v>8.3500000000000796</v>
      </c>
      <c r="BC90" s="8">
        <v>-2.6599999999998847</v>
      </c>
      <c r="BD90" s="5">
        <v>4</v>
      </c>
      <c r="BE90" s="5" t="s">
        <v>48</v>
      </c>
      <c r="BF90" s="8">
        <v>5</v>
      </c>
      <c r="BG90" s="6">
        <v>45006</v>
      </c>
      <c r="BH90" s="5" t="s">
        <v>52</v>
      </c>
      <c r="BI90" s="5" t="s">
        <v>45</v>
      </c>
      <c r="BJ90" s="8" t="s">
        <v>46</v>
      </c>
      <c r="BK90" s="8" t="s">
        <v>46</v>
      </c>
      <c r="BL90" s="8" t="s">
        <v>46</v>
      </c>
      <c r="BM90" s="8">
        <v>0</v>
      </c>
      <c r="BN90" s="8">
        <v>0</v>
      </c>
      <c r="BO90" s="8">
        <v>0</v>
      </c>
      <c r="BP90" s="10" t="s">
        <v>46</v>
      </c>
    </row>
    <row r="91" spans="1:68" ht="14.5" customHeight="1" x14ac:dyDescent="0.35">
      <c r="A91" s="5">
        <v>90</v>
      </c>
      <c r="B91" s="6">
        <v>44999</v>
      </c>
      <c r="C91" s="5" t="s">
        <v>44</v>
      </c>
      <c r="D91" s="5" t="s">
        <v>45</v>
      </c>
      <c r="E91" s="5" t="s">
        <v>46</v>
      </c>
      <c r="F91" s="5" t="s">
        <v>67</v>
      </c>
      <c r="G91" s="7">
        <v>0.52083333333333337</v>
      </c>
      <c r="H91" s="7">
        <v>0.5625</v>
      </c>
      <c r="I91" s="5">
        <v>1.2193000000000001</v>
      </c>
      <c r="J91" s="5">
        <v>1.2168000000000001</v>
      </c>
      <c r="K91" s="8">
        <v>-2.5</v>
      </c>
      <c r="L91" s="8">
        <v>5</v>
      </c>
      <c r="M91" s="5">
        <f t="shared" si="4"/>
        <v>1.2168000000000001</v>
      </c>
      <c r="N91" s="5">
        <f t="shared" si="5"/>
        <v>1.2242999999999999</v>
      </c>
      <c r="O91" s="5">
        <v>3</v>
      </c>
      <c r="P91" s="8">
        <v>1.0299999999998644</v>
      </c>
      <c r="Q91" s="8">
        <v>-5.7800000000001184</v>
      </c>
      <c r="R91" s="5">
        <v>2</v>
      </c>
      <c r="S91" s="5" t="s">
        <v>68</v>
      </c>
      <c r="T91" s="8">
        <v>-2.5</v>
      </c>
      <c r="U91" s="5"/>
      <c r="V91" s="5"/>
      <c r="W91" s="5"/>
      <c r="X91" s="5"/>
      <c r="Y91" s="5"/>
      <c r="Z91" s="5"/>
      <c r="AA91" s="6">
        <v>45000</v>
      </c>
      <c r="AB91" s="5" t="s">
        <v>52</v>
      </c>
      <c r="AC91" s="5" t="s">
        <v>52</v>
      </c>
      <c r="AD91" s="8" t="s">
        <v>46</v>
      </c>
      <c r="AE91" s="8" t="s">
        <v>46</v>
      </c>
      <c r="AF91" s="8" t="s">
        <v>46</v>
      </c>
      <c r="AG91" s="5">
        <v>0</v>
      </c>
      <c r="AH91" s="8">
        <v>0</v>
      </c>
      <c r="AI91" s="8">
        <v>0</v>
      </c>
      <c r="AJ91" s="8">
        <v>0</v>
      </c>
      <c r="AK91" s="10" t="s">
        <v>46</v>
      </c>
      <c r="AL91" s="5"/>
      <c r="AM91" s="5">
        <v>90</v>
      </c>
      <c r="AN91" s="6">
        <v>44999</v>
      </c>
      <c r="AO91" s="5" t="s">
        <v>53</v>
      </c>
      <c r="AP91" s="5" t="s">
        <v>45</v>
      </c>
      <c r="AQ91" s="5" t="s">
        <v>46</v>
      </c>
      <c r="AR91" s="5" t="s">
        <v>67</v>
      </c>
      <c r="AS91" s="7">
        <v>0.52083333333333337</v>
      </c>
      <c r="AT91" s="7">
        <v>0.5625</v>
      </c>
      <c r="AU91" s="5">
        <v>1.2193000000000001</v>
      </c>
      <c r="AV91" s="5">
        <v>1.2154</v>
      </c>
      <c r="AW91" s="5">
        <f t="shared" si="6"/>
        <v>1.2154</v>
      </c>
      <c r="AX91" s="5">
        <f t="shared" si="7"/>
        <v>1.2242999999999999</v>
      </c>
      <c r="AY91" s="5">
        <f>15.5*2.5</f>
        <v>38.75</v>
      </c>
      <c r="AZ91" s="8">
        <v>-3.87</v>
      </c>
      <c r="BA91" s="5">
        <v>3</v>
      </c>
      <c r="BB91" s="8">
        <v>1.0299999999998644</v>
      </c>
      <c r="BC91" s="8">
        <v>-5.7800000000001184</v>
      </c>
      <c r="BD91" s="5">
        <v>2</v>
      </c>
      <c r="BE91" s="5" t="s">
        <v>68</v>
      </c>
      <c r="BF91" s="8">
        <v>-3.87</v>
      </c>
      <c r="BG91" s="6">
        <v>45000</v>
      </c>
      <c r="BH91" s="5" t="s">
        <v>52</v>
      </c>
      <c r="BI91" s="5" t="s">
        <v>52</v>
      </c>
      <c r="BJ91" s="8" t="s">
        <v>46</v>
      </c>
      <c r="BK91" s="8" t="s">
        <v>46</v>
      </c>
      <c r="BL91" s="8" t="s">
        <v>46</v>
      </c>
      <c r="BM91" s="8">
        <v>0</v>
      </c>
      <c r="BN91" s="8">
        <v>0</v>
      </c>
      <c r="BO91" s="8">
        <v>0</v>
      </c>
      <c r="BP91" s="10" t="s">
        <v>46</v>
      </c>
    </row>
    <row r="92" spans="1:68" ht="14.5" customHeight="1" x14ac:dyDescent="0.35">
      <c r="A92" s="5">
        <v>91</v>
      </c>
      <c r="B92" s="6">
        <v>44998</v>
      </c>
      <c r="C92" s="5" t="s">
        <v>44</v>
      </c>
      <c r="D92" s="5" t="s">
        <v>45</v>
      </c>
      <c r="E92" s="5" t="s">
        <v>46</v>
      </c>
      <c r="F92" s="5" t="s">
        <v>67</v>
      </c>
      <c r="G92" s="7">
        <v>8.3333333333333329E-2</v>
      </c>
      <c r="H92" s="7">
        <v>0.375</v>
      </c>
      <c r="I92" s="5">
        <v>1.2103000000000002</v>
      </c>
      <c r="J92" s="5">
        <v>1.2078</v>
      </c>
      <c r="K92" s="8">
        <v>-2.5</v>
      </c>
      <c r="L92" s="8">
        <v>5</v>
      </c>
      <c r="M92" s="5">
        <f t="shared" si="4"/>
        <v>1.2078</v>
      </c>
      <c r="N92" s="5">
        <f t="shared" si="5"/>
        <v>1.2153</v>
      </c>
      <c r="O92" s="5">
        <v>15</v>
      </c>
      <c r="P92" s="8">
        <v>9.6199999999997416</v>
      </c>
      <c r="Q92" s="8">
        <v>-5.7000000000002604</v>
      </c>
      <c r="R92" s="5">
        <v>7</v>
      </c>
      <c r="S92" s="5" t="s">
        <v>68</v>
      </c>
      <c r="T92" s="8">
        <v>-2.5</v>
      </c>
      <c r="U92" s="5"/>
      <c r="V92" s="5"/>
      <c r="W92" s="5"/>
      <c r="X92" s="5"/>
      <c r="Y92" s="5"/>
      <c r="Z92" s="5"/>
      <c r="AA92" s="6">
        <v>44999</v>
      </c>
      <c r="AB92" s="5" t="s">
        <v>52</v>
      </c>
      <c r="AC92" s="5" t="s">
        <v>52</v>
      </c>
      <c r="AD92" s="8" t="s">
        <v>46</v>
      </c>
      <c r="AE92" s="8" t="s">
        <v>46</v>
      </c>
      <c r="AF92" s="5" t="s">
        <v>45</v>
      </c>
      <c r="AG92" s="5">
        <v>0</v>
      </c>
      <c r="AH92" s="8">
        <v>0</v>
      </c>
      <c r="AI92" s="8">
        <v>0</v>
      </c>
      <c r="AJ92" s="8">
        <v>0</v>
      </c>
      <c r="AK92" s="10" t="s">
        <v>46</v>
      </c>
      <c r="AL92" s="5"/>
      <c r="AM92" s="5">
        <v>91</v>
      </c>
      <c r="AN92" s="6">
        <v>44998</v>
      </c>
      <c r="AO92" s="5" t="s">
        <v>53</v>
      </c>
      <c r="AP92" s="5" t="s">
        <v>45</v>
      </c>
      <c r="AQ92" s="5" t="s">
        <v>46</v>
      </c>
      <c r="AR92" s="5" t="s">
        <v>67</v>
      </c>
      <c r="AS92" s="7">
        <v>8.3333333333333329E-2</v>
      </c>
      <c r="AT92" s="7">
        <v>0.375</v>
      </c>
      <c r="AU92" s="5">
        <v>1.2103000000000002</v>
      </c>
      <c r="AV92" s="5">
        <v>1.2064999999999999</v>
      </c>
      <c r="AW92" s="5">
        <f t="shared" si="6"/>
        <v>1.2064999999999999</v>
      </c>
      <c r="AX92" s="5">
        <f t="shared" si="7"/>
        <v>1.2153</v>
      </c>
      <c r="AY92" s="5">
        <f>15.05*2.5</f>
        <v>37.625</v>
      </c>
      <c r="AZ92" s="8">
        <v>-3.76</v>
      </c>
      <c r="BA92" s="5">
        <v>15</v>
      </c>
      <c r="BB92" s="8">
        <v>9.6199999999997416</v>
      </c>
      <c r="BC92" s="8">
        <v>-5.7000000000002604</v>
      </c>
      <c r="BD92" s="5">
        <v>7</v>
      </c>
      <c r="BE92" s="5" t="s">
        <v>68</v>
      </c>
      <c r="BF92" s="8">
        <v>-3.76</v>
      </c>
      <c r="BG92" s="6">
        <v>44999</v>
      </c>
      <c r="BH92" s="5" t="s">
        <v>52</v>
      </c>
      <c r="BI92" s="5" t="s">
        <v>52</v>
      </c>
      <c r="BJ92" s="8" t="s">
        <v>46</v>
      </c>
      <c r="BK92" s="8" t="s">
        <v>46</v>
      </c>
      <c r="BL92" s="5" t="s">
        <v>45</v>
      </c>
      <c r="BM92" s="8">
        <v>0</v>
      </c>
      <c r="BN92" s="8">
        <v>0</v>
      </c>
      <c r="BO92" s="8">
        <v>0</v>
      </c>
      <c r="BP92" s="10" t="s">
        <v>46</v>
      </c>
    </row>
    <row r="93" spans="1:68" ht="14.5" customHeight="1" x14ac:dyDescent="0.35">
      <c r="A93" s="5">
        <v>92</v>
      </c>
      <c r="B93" s="6">
        <v>44998</v>
      </c>
      <c r="C93" s="5" t="s">
        <v>44</v>
      </c>
      <c r="D93" s="5" t="s">
        <v>45</v>
      </c>
      <c r="E93" s="5" t="s">
        <v>46</v>
      </c>
      <c r="F93" s="5" t="s">
        <v>67</v>
      </c>
      <c r="G93" s="7">
        <v>0.54166666666666663</v>
      </c>
      <c r="H93" s="7">
        <v>0.60416666666666663</v>
      </c>
      <c r="I93" s="5">
        <v>1.2103000000000002</v>
      </c>
      <c r="J93" s="5">
        <v>1.2153</v>
      </c>
      <c r="K93" s="8">
        <v>-2.5</v>
      </c>
      <c r="L93" s="8">
        <v>5</v>
      </c>
      <c r="M93" s="5">
        <f t="shared" si="4"/>
        <v>1.2078</v>
      </c>
      <c r="N93" s="5">
        <f t="shared" si="5"/>
        <v>1.2153</v>
      </c>
      <c r="O93" s="5">
        <v>4</v>
      </c>
      <c r="P93" s="8">
        <v>9.6199999999997416</v>
      </c>
      <c r="Q93" s="8">
        <v>-5.7000000000002604</v>
      </c>
      <c r="R93" s="5">
        <v>7</v>
      </c>
      <c r="S93" s="5" t="s">
        <v>48</v>
      </c>
      <c r="T93" s="8">
        <v>5</v>
      </c>
      <c r="U93" s="5"/>
      <c r="V93" s="5"/>
      <c r="W93" s="5"/>
      <c r="X93" s="5"/>
      <c r="Y93" s="5"/>
      <c r="Z93" s="5"/>
      <c r="AA93" s="6">
        <v>44999</v>
      </c>
      <c r="AB93" s="5" t="s">
        <v>52</v>
      </c>
      <c r="AC93" s="5" t="s">
        <v>52</v>
      </c>
      <c r="AD93" s="8" t="s">
        <v>46</v>
      </c>
      <c r="AE93" s="8" t="s">
        <v>46</v>
      </c>
      <c r="AF93" s="8" t="s">
        <v>46</v>
      </c>
      <c r="AG93" s="5">
        <v>0</v>
      </c>
      <c r="AH93" s="8">
        <v>0</v>
      </c>
      <c r="AI93" s="8">
        <v>0</v>
      </c>
      <c r="AJ93" s="8">
        <v>0</v>
      </c>
      <c r="AK93" s="10" t="s">
        <v>46</v>
      </c>
      <c r="AL93" s="5"/>
      <c r="AM93" s="5">
        <v>92</v>
      </c>
      <c r="AN93" s="6">
        <v>44998</v>
      </c>
      <c r="AO93" s="5" t="s">
        <v>53</v>
      </c>
      <c r="AP93" s="5" t="s">
        <v>45</v>
      </c>
      <c r="AQ93" s="5" t="s">
        <v>46</v>
      </c>
      <c r="AR93" s="5" t="s">
        <v>67</v>
      </c>
      <c r="AS93" s="7">
        <v>0.54166666666666663</v>
      </c>
      <c r="AT93" s="7">
        <v>0.60416666666666663</v>
      </c>
      <c r="AU93" s="5">
        <v>1.2103000000000002</v>
      </c>
      <c r="AV93" s="5">
        <v>1.2153</v>
      </c>
      <c r="AW93" s="5">
        <f t="shared" si="6"/>
        <v>1.2064999999999999</v>
      </c>
      <c r="AX93" s="5">
        <f t="shared" si="7"/>
        <v>1.2153</v>
      </c>
      <c r="AY93" s="5">
        <f>15.05*2.5</f>
        <v>37.625</v>
      </c>
      <c r="AZ93" s="8">
        <v>-3.76</v>
      </c>
      <c r="BA93" s="5">
        <v>4</v>
      </c>
      <c r="BB93" s="8">
        <v>9.6199999999997416</v>
      </c>
      <c r="BC93" s="8">
        <v>-5.7000000000002604</v>
      </c>
      <c r="BD93" s="5">
        <v>7</v>
      </c>
      <c r="BE93" s="5" t="s">
        <v>48</v>
      </c>
      <c r="BF93" s="8">
        <v>5</v>
      </c>
      <c r="BG93" s="6">
        <v>44999</v>
      </c>
      <c r="BH93" s="5" t="s">
        <v>52</v>
      </c>
      <c r="BI93" s="5" t="s">
        <v>52</v>
      </c>
      <c r="BJ93" s="8" t="s">
        <v>46</v>
      </c>
      <c r="BK93" s="8" t="s">
        <v>46</v>
      </c>
      <c r="BL93" s="8" t="s">
        <v>46</v>
      </c>
      <c r="BM93" s="8">
        <v>0</v>
      </c>
      <c r="BN93" s="8">
        <v>0</v>
      </c>
      <c r="BO93" s="8">
        <v>0</v>
      </c>
      <c r="BP93" s="10" t="s">
        <v>46</v>
      </c>
    </row>
    <row r="94" spans="1:68" ht="14.5" customHeight="1" x14ac:dyDescent="0.35">
      <c r="A94" s="5">
        <v>93</v>
      </c>
      <c r="B94" s="6">
        <v>44992</v>
      </c>
      <c r="C94" s="5" t="s">
        <v>44</v>
      </c>
      <c r="D94" s="5" t="s">
        <v>45</v>
      </c>
      <c r="E94" s="5" t="s">
        <v>46</v>
      </c>
      <c r="F94" s="5" t="s">
        <v>47</v>
      </c>
      <c r="G94" s="7">
        <v>0.625</v>
      </c>
      <c r="H94" s="7">
        <v>0.64583333333333337</v>
      </c>
      <c r="I94" s="5">
        <v>1.1925000000000001</v>
      </c>
      <c r="J94" s="5">
        <v>1.1875</v>
      </c>
      <c r="K94" s="8">
        <v>-2.5</v>
      </c>
      <c r="L94" s="8">
        <v>5</v>
      </c>
      <c r="M94" s="5">
        <f t="shared" si="4"/>
        <v>1.1950000000000001</v>
      </c>
      <c r="N94" s="5">
        <f t="shared" si="5"/>
        <v>1.1875</v>
      </c>
      <c r="O94" s="5">
        <v>1</v>
      </c>
      <c r="P94" s="8">
        <v>10.850000000000026</v>
      </c>
      <c r="Q94" s="8">
        <v>0</v>
      </c>
      <c r="R94" s="5">
        <v>0</v>
      </c>
      <c r="S94" s="5" t="s">
        <v>48</v>
      </c>
      <c r="T94" s="8">
        <v>5</v>
      </c>
      <c r="U94" s="5"/>
      <c r="V94" s="5"/>
      <c r="W94" s="5"/>
      <c r="X94" s="5"/>
      <c r="Y94" s="5"/>
      <c r="Z94" s="5"/>
      <c r="AA94" s="6">
        <v>44993</v>
      </c>
      <c r="AB94" s="5" t="s">
        <v>52</v>
      </c>
      <c r="AC94" s="5" t="s">
        <v>52</v>
      </c>
      <c r="AD94" s="8" t="s">
        <v>46</v>
      </c>
      <c r="AE94" s="8" t="s">
        <v>46</v>
      </c>
      <c r="AF94" s="8" t="s">
        <v>46</v>
      </c>
      <c r="AG94" s="5">
        <v>0</v>
      </c>
      <c r="AH94" s="8">
        <v>0</v>
      </c>
      <c r="AI94" s="8">
        <v>0</v>
      </c>
      <c r="AJ94" s="8">
        <v>0</v>
      </c>
      <c r="AK94" s="10" t="s">
        <v>46</v>
      </c>
      <c r="AL94" s="5"/>
      <c r="AM94" s="5">
        <v>93</v>
      </c>
      <c r="AN94" s="6">
        <v>44992</v>
      </c>
      <c r="AO94" s="5" t="s">
        <v>53</v>
      </c>
      <c r="AP94" s="5" t="s">
        <v>45</v>
      </c>
      <c r="AQ94" s="5" t="s">
        <v>46</v>
      </c>
      <c r="AR94" s="5" t="s">
        <v>47</v>
      </c>
      <c r="AS94" s="7">
        <v>0.625</v>
      </c>
      <c r="AT94" s="7">
        <v>0.64583333333333337</v>
      </c>
      <c r="AU94" s="5">
        <v>1.1925000000000001</v>
      </c>
      <c r="AV94" s="5">
        <v>1.1875</v>
      </c>
      <c r="AW94" s="5">
        <f t="shared" si="6"/>
        <v>1.1961999999999999</v>
      </c>
      <c r="AX94" s="5">
        <f t="shared" si="7"/>
        <v>1.1875</v>
      </c>
      <c r="AY94" s="5">
        <f>14.96*2.5</f>
        <v>37.400000000000006</v>
      </c>
      <c r="AZ94" s="8">
        <v>-3.74</v>
      </c>
      <c r="BA94" s="5">
        <v>1</v>
      </c>
      <c r="BB94" s="8">
        <v>10.850000000000026</v>
      </c>
      <c r="BC94" s="8">
        <v>0</v>
      </c>
      <c r="BD94" s="5">
        <v>0</v>
      </c>
      <c r="BE94" s="5" t="s">
        <v>48</v>
      </c>
      <c r="BF94" s="8">
        <v>5</v>
      </c>
      <c r="BG94" s="6">
        <v>44993</v>
      </c>
      <c r="BH94" s="5" t="s">
        <v>52</v>
      </c>
      <c r="BI94" s="5" t="s">
        <v>52</v>
      </c>
      <c r="BJ94" s="8" t="s">
        <v>46</v>
      </c>
      <c r="BK94" s="8" t="s">
        <v>46</v>
      </c>
      <c r="BL94" s="8" t="s">
        <v>46</v>
      </c>
      <c r="BM94" s="8">
        <v>0</v>
      </c>
      <c r="BN94" s="8">
        <v>0</v>
      </c>
      <c r="BO94" s="8">
        <v>0</v>
      </c>
      <c r="BP94" s="10" t="s">
        <v>46</v>
      </c>
    </row>
    <row r="95" spans="1:68" ht="14.5" customHeight="1" x14ac:dyDescent="0.35">
      <c r="A95" s="5">
        <v>94</v>
      </c>
      <c r="B95" s="6">
        <v>44987</v>
      </c>
      <c r="C95" s="5" t="s">
        <v>44</v>
      </c>
      <c r="D95" s="5" t="s">
        <v>45</v>
      </c>
      <c r="E95" s="5" t="s">
        <v>46</v>
      </c>
      <c r="F95" s="5" t="s">
        <v>47</v>
      </c>
      <c r="G95" s="7">
        <v>0.5625</v>
      </c>
      <c r="H95" s="7">
        <v>0.60416666666666663</v>
      </c>
      <c r="I95" s="5">
        <v>1.1928000000000001</v>
      </c>
      <c r="J95" s="5">
        <v>1.1953</v>
      </c>
      <c r="K95" s="8">
        <v>-2.5</v>
      </c>
      <c r="L95" s="8">
        <v>5</v>
      </c>
      <c r="M95" s="5">
        <f t="shared" si="4"/>
        <v>1.1953</v>
      </c>
      <c r="N95" s="5">
        <f t="shared" si="5"/>
        <v>1.1878</v>
      </c>
      <c r="O95" s="5">
        <v>3</v>
      </c>
      <c r="P95" s="8">
        <v>0.36000000000013799</v>
      </c>
      <c r="Q95" s="8">
        <v>-3.4399999999998876</v>
      </c>
      <c r="R95" s="5">
        <v>6</v>
      </c>
      <c r="S95" s="5" t="s">
        <v>68</v>
      </c>
      <c r="T95" s="8">
        <v>-2.5</v>
      </c>
      <c r="U95" s="5"/>
      <c r="V95" s="5"/>
      <c r="W95" s="5"/>
      <c r="X95" s="5"/>
      <c r="Y95" s="5"/>
      <c r="Z95" s="5"/>
      <c r="AA95" s="6">
        <v>44988</v>
      </c>
      <c r="AB95" s="5" t="s">
        <v>52</v>
      </c>
      <c r="AC95" s="5" t="s">
        <v>52</v>
      </c>
      <c r="AD95" s="8" t="s">
        <v>46</v>
      </c>
      <c r="AE95" s="8" t="s">
        <v>46</v>
      </c>
      <c r="AF95" s="8" t="s">
        <v>46</v>
      </c>
      <c r="AG95" s="5">
        <v>0</v>
      </c>
      <c r="AH95" s="8">
        <v>0</v>
      </c>
      <c r="AI95" s="8">
        <v>0</v>
      </c>
      <c r="AJ95" s="8">
        <v>0</v>
      </c>
      <c r="AK95" s="10" t="s">
        <v>46</v>
      </c>
      <c r="AL95" s="5"/>
      <c r="AM95" s="5">
        <v>94</v>
      </c>
      <c r="AN95" s="6">
        <v>44987</v>
      </c>
      <c r="AO95" s="5" t="s">
        <v>53</v>
      </c>
      <c r="AP95" s="5" t="s">
        <v>45</v>
      </c>
      <c r="AQ95" s="5" t="s">
        <v>46</v>
      </c>
      <c r="AR95" s="5" t="s">
        <v>47</v>
      </c>
      <c r="AS95" s="7">
        <v>0.5625</v>
      </c>
      <c r="AT95" s="7">
        <v>0.97916666666666663</v>
      </c>
      <c r="AU95" s="5">
        <v>1.1928000000000001</v>
      </c>
      <c r="AV95" s="5">
        <v>1.1949000000000001</v>
      </c>
      <c r="AW95" s="5">
        <f t="shared" si="6"/>
        <v>1.1967000000000001</v>
      </c>
      <c r="AX95" s="5">
        <f t="shared" si="7"/>
        <v>1.1878</v>
      </c>
      <c r="AY95" s="5">
        <f>15.59*2.5</f>
        <v>38.975000000000001</v>
      </c>
      <c r="AZ95" s="8">
        <v>-3.89</v>
      </c>
      <c r="BA95" s="5">
        <v>22</v>
      </c>
      <c r="BB95" s="8">
        <v>0.36000000000013799</v>
      </c>
      <c r="BC95" s="8">
        <v>-3.4399999999998876</v>
      </c>
      <c r="BD95" s="5">
        <v>6</v>
      </c>
      <c r="BE95" s="5" t="s">
        <v>55</v>
      </c>
      <c r="BF95" s="8">
        <v>-2.0999999999999908</v>
      </c>
      <c r="BG95" s="6">
        <v>44988</v>
      </c>
      <c r="BH95" s="5" t="s">
        <v>45</v>
      </c>
      <c r="BI95" s="5" t="s">
        <v>52</v>
      </c>
      <c r="BJ95" s="5" t="s">
        <v>45</v>
      </c>
      <c r="BK95" s="5" t="s">
        <v>52</v>
      </c>
      <c r="BL95" s="5" t="s">
        <v>52</v>
      </c>
      <c r="BM95" s="8">
        <v>0</v>
      </c>
      <c r="BN95" s="8">
        <v>-12.01999999999992</v>
      </c>
      <c r="BO95" s="8">
        <v>-3.89</v>
      </c>
      <c r="BP95" s="10" t="s">
        <v>46</v>
      </c>
    </row>
    <row r="96" spans="1:68" ht="14.5" customHeight="1" x14ac:dyDescent="0.35">
      <c r="A96" s="5">
        <v>95</v>
      </c>
      <c r="B96" s="6">
        <v>44985</v>
      </c>
      <c r="C96" s="5" t="s">
        <v>44</v>
      </c>
      <c r="D96" s="5" t="s">
        <v>45</v>
      </c>
      <c r="E96" s="5" t="s">
        <v>46</v>
      </c>
      <c r="F96" s="5" t="s">
        <v>67</v>
      </c>
      <c r="G96" s="7">
        <v>0.60416666666666663</v>
      </c>
      <c r="H96" s="7">
        <v>0.64583333333333337</v>
      </c>
      <c r="I96" s="5">
        <v>1.2135000000000002</v>
      </c>
      <c r="J96" s="5">
        <v>1.2110000000000001</v>
      </c>
      <c r="K96" s="8">
        <v>-2.5</v>
      </c>
      <c r="L96" s="8">
        <v>5</v>
      </c>
      <c r="M96" s="5">
        <f t="shared" si="4"/>
        <v>1.2110000000000001</v>
      </c>
      <c r="N96" s="5">
        <f t="shared" si="5"/>
        <v>1.2184999999999999</v>
      </c>
      <c r="O96" s="5">
        <v>3</v>
      </c>
      <c r="P96" s="8">
        <v>0.78999999999984638</v>
      </c>
      <c r="Q96" s="8">
        <v>-12.860000000000316</v>
      </c>
      <c r="R96" s="5">
        <v>2</v>
      </c>
      <c r="S96" s="5" t="s">
        <v>68</v>
      </c>
      <c r="T96" s="8">
        <v>-2.5</v>
      </c>
      <c r="U96" s="5"/>
      <c r="V96" s="5"/>
      <c r="W96" s="5"/>
      <c r="X96" s="5"/>
      <c r="Y96" s="5"/>
      <c r="Z96" s="5"/>
      <c r="AA96" s="6">
        <v>44986</v>
      </c>
      <c r="AB96" s="5" t="s">
        <v>52</v>
      </c>
      <c r="AC96" s="5" t="s">
        <v>52</v>
      </c>
      <c r="AD96" s="8" t="s">
        <v>46</v>
      </c>
      <c r="AE96" s="8" t="s">
        <v>46</v>
      </c>
      <c r="AF96" s="8" t="s">
        <v>46</v>
      </c>
      <c r="AG96" s="5">
        <v>0</v>
      </c>
      <c r="AH96" s="8">
        <v>0</v>
      </c>
      <c r="AI96" s="8">
        <v>0</v>
      </c>
      <c r="AJ96" s="8">
        <v>0</v>
      </c>
      <c r="AK96" s="10" t="s">
        <v>46</v>
      </c>
      <c r="AL96" s="5"/>
      <c r="AM96" s="5">
        <v>95</v>
      </c>
      <c r="AN96" s="6">
        <v>44985</v>
      </c>
      <c r="AO96" s="5" t="s">
        <v>53</v>
      </c>
      <c r="AP96" s="5" t="s">
        <v>45</v>
      </c>
      <c r="AQ96" s="5" t="s">
        <v>46</v>
      </c>
      <c r="AR96" s="5" t="s">
        <v>67</v>
      </c>
      <c r="AS96" s="7">
        <v>0.60416666666666663</v>
      </c>
      <c r="AT96" s="7">
        <v>0.64583333333333337</v>
      </c>
      <c r="AU96" s="5">
        <v>1.2135000000000002</v>
      </c>
      <c r="AV96" s="5">
        <v>1.2097</v>
      </c>
      <c r="AW96" s="5">
        <f t="shared" si="6"/>
        <v>1.2097</v>
      </c>
      <c r="AX96" s="5">
        <f t="shared" si="7"/>
        <v>1.2184999999999999</v>
      </c>
      <c r="AY96" s="5">
        <f>15.24*2.5</f>
        <v>38.1</v>
      </c>
      <c r="AZ96" s="8">
        <v>-3.81</v>
      </c>
      <c r="BA96" s="5">
        <v>3</v>
      </c>
      <c r="BB96" s="8">
        <v>0.78999999999984638</v>
      </c>
      <c r="BC96" s="8">
        <v>-12.860000000000316</v>
      </c>
      <c r="BD96" s="5">
        <v>2</v>
      </c>
      <c r="BE96" s="5" t="s">
        <v>68</v>
      </c>
      <c r="BF96" s="8">
        <v>-3.81</v>
      </c>
      <c r="BG96" s="6">
        <v>44986</v>
      </c>
      <c r="BH96" s="5" t="s">
        <v>52</v>
      </c>
      <c r="BI96" s="5" t="s">
        <v>52</v>
      </c>
      <c r="BJ96" s="8" t="s">
        <v>46</v>
      </c>
      <c r="BK96" s="8" t="s">
        <v>46</v>
      </c>
      <c r="BL96" s="8" t="s">
        <v>46</v>
      </c>
      <c r="BM96" s="8">
        <v>0</v>
      </c>
      <c r="BN96" s="8">
        <v>0</v>
      </c>
      <c r="BO96" s="8">
        <v>0</v>
      </c>
      <c r="BP96" s="10" t="s">
        <v>46</v>
      </c>
    </row>
    <row r="97" spans="1:68" ht="14.5" customHeight="1" x14ac:dyDescent="0.35">
      <c r="A97" s="5">
        <v>96</v>
      </c>
      <c r="B97" s="6">
        <v>44974</v>
      </c>
      <c r="C97" s="5" t="s">
        <v>44</v>
      </c>
      <c r="D97" s="5" t="s">
        <v>45</v>
      </c>
      <c r="E97" s="5" t="s">
        <v>46</v>
      </c>
      <c r="F97" s="5" t="s">
        <v>47</v>
      </c>
      <c r="G97" s="7">
        <v>0.5625</v>
      </c>
      <c r="H97" s="7">
        <v>0.625</v>
      </c>
      <c r="I97" s="5">
        <v>1.1973</v>
      </c>
      <c r="J97" s="5">
        <v>1.1998</v>
      </c>
      <c r="K97" s="8">
        <v>-2.5</v>
      </c>
      <c r="L97" s="8">
        <v>5</v>
      </c>
      <c r="M97" s="5">
        <f t="shared" si="4"/>
        <v>1.1998</v>
      </c>
      <c r="N97" s="5">
        <f t="shared" si="5"/>
        <v>1.1922999999999999</v>
      </c>
      <c r="O97" s="5">
        <v>4</v>
      </c>
      <c r="P97" s="8">
        <v>0.69999999999992291</v>
      </c>
      <c r="Q97" s="8">
        <v>-7.5899999999999865</v>
      </c>
      <c r="R97" s="5">
        <v>4</v>
      </c>
      <c r="S97" s="5" t="s">
        <v>68</v>
      </c>
      <c r="T97" s="8">
        <v>-2.5</v>
      </c>
      <c r="U97" s="5"/>
      <c r="V97" s="5"/>
      <c r="W97" s="5"/>
      <c r="X97" s="5"/>
      <c r="Y97" s="5"/>
      <c r="Z97" s="5"/>
      <c r="AA97" s="6">
        <v>44977</v>
      </c>
      <c r="AB97" s="5" t="s">
        <v>52</v>
      </c>
      <c r="AC97" s="5" t="s">
        <v>52</v>
      </c>
      <c r="AD97" s="8" t="s">
        <v>46</v>
      </c>
      <c r="AE97" s="8" t="s">
        <v>46</v>
      </c>
      <c r="AF97" s="8" t="s">
        <v>46</v>
      </c>
      <c r="AG97" s="5">
        <v>0</v>
      </c>
      <c r="AH97" s="8">
        <v>0</v>
      </c>
      <c r="AI97" s="8">
        <v>0</v>
      </c>
      <c r="AJ97" s="8">
        <v>0</v>
      </c>
      <c r="AK97" s="10" t="s">
        <v>46</v>
      </c>
      <c r="AL97" s="5"/>
      <c r="AM97" s="5">
        <v>96</v>
      </c>
      <c r="AN97" s="6">
        <v>44974</v>
      </c>
      <c r="AO97" s="5" t="s">
        <v>53</v>
      </c>
      <c r="AP97" s="5" t="s">
        <v>45</v>
      </c>
      <c r="AQ97" s="5" t="s">
        <v>46</v>
      </c>
      <c r="AR97" s="5" t="s">
        <v>47</v>
      </c>
      <c r="AS97" s="7">
        <v>0.5625</v>
      </c>
      <c r="AT97" s="7">
        <v>0.625</v>
      </c>
      <c r="AU97" s="5">
        <v>1.1973</v>
      </c>
      <c r="AV97" s="5">
        <v>1.2011000000000001</v>
      </c>
      <c r="AW97" s="5">
        <f t="shared" si="6"/>
        <v>1.2011000000000001</v>
      </c>
      <c r="AX97" s="5">
        <f t="shared" si="7"/>
        <v>1.1922999999999999</v>
      </c>
      <c r="AY97" s="5">
        <f>15.33*2.5</f>
        <v>38.325000000000003</v>
      </c>
      <c r="AZ97" s="8">
        <v>-3.83</v>
      </c>
      <c r="BA97" s="5">
        <v>4</v>
      </c>
      <c r="BB97" s="8">
        <v>0.69999999999992291</v>
      </c>
      <c r="BC97" s="8">
        <v>-7.5899999999999865</v>
      </c>
      <c r="BD97" s="5">
        <v>4</v>
      </c>
      <c r="BE97" s="5" t="s">
        <v>68</v>
      </c>
      <c r="BF97" s="8">
        <v>-3.83</v>
      </c>
      <c r="BG97" s="6">
        <v>44977</v>
      </c>
      <c r="BH97" s="5" t="s">
        <v>52</v>
      </c>
      <c r="BI97" s="5" t="s">
        <v>52</v>
      </c>
      <c r="BJ97" s="8" t="s">
        <v>46</v>
      </c>
      <c r="BK97" s="8" t="s">
        <v>46</v>
      </c>
      <c r="BL97" s="8" t="s">
        <v>46</v>
      </c>
      <c r="BM97" s="8">
        <v>0</v>
      </c>
      <c r="BN97" s="8">
        <v>0</v>
      </c>
      <c r="BO97" s="8">
        <v>0</v>
      </c>
      <c r="BP97" s="10" t="s">
        <v>46</v>
      </c>
    </row>
    <row r="98" spans="1:68" ht="14.5" customHeight="1" x14ac:dyDescent="0.35">
      <c r="A98" s="5">
        <v>97</v>
      </c>
      <c r="B98" s="6">
        <v>44973</v>
      </c>
      <c r="C98" s="5" t="s">
        <v>44</v>
      </c>
      <c r="D98" s="5" t="s">
        <v>45</v>
      </c>
      <c r="E98" s="5" t="s">
        <v>46</v>
      </c>
      <c r="F98" s="5" t="s">
        <v>47</v>
      </c>
      <c r="G98" s="7">
        <v>0.5625</v>
      </c>
      <c r="H98" s="7">
        <v>0.64583333333333337</v>
      </c>
      <c r="I98" s="5">
        <v>1.1994</v>
      </c>
      <c r="J98" s="5">
        <v>1.2019</v>
      </c>
      <c r="K98" s="8">
        <v>-2.5</v>
      </c>
      <c r="L98" s="8">
        <v>5</v>
      </c>
      <c r="M98" s="5">
        <f t="shared" si="4"/>
        <v>1.2019</v>
      </c>
      <c r="N98" s="5">
        <f t="shared" si="5"/>
        <v>1.1943999999999999</v>
      </c>
      <c r="O98" s="5">
        <v>5</v>
      </c>
      <c r="P98" s="8">
        <v>2.8900000000000592</v>
      </c>
      <c r="Q98" s="8">
        <v>-3.2600000000000406</v>
      </c>
      <c r="R98" s="5">
        <v>4</v>
      </c>
      <c r="S98" s="5" t="s">
        <v>68</v>
      </c>
      <c r="T98" s="8">
        <v>-2.5</v>
      </c>
      <c r="U98" s="5"/>
      <c r="V98" s="5"/>
      <c r="W98" s="5"/>
      <c r="X98" s="5"/>
      <c r="Y98" s="5"/>
      <c r="Z98" s="5"/>
      <c r="AA98" s="6">
        <v>44974</v>
      </c>
      <c r="AB98" s="5" t="s">
        <v>52</v>
      </c>
      <c r="AC98" s="5" t="s">
        <v>45</v>
      </c>
      <c r="AD98" s="8" t="s">
        <v>46</v>
      </c>
      <c r="AE98" s="8" t="s">
        <v>46</v>
      </c>
      <c r="AF98" s="8" t="s">
        <v>46</v>
      </c>
      <c r="AG98" s="5">
        <v>0</v>
      </c>
      <c r="AH98" s="8">
        <v>0</v>
      </c>
      <c r="AI98" s="8">
        <v>0</v>
      </c>
      <c r="AJ98" s="8">
        <v>0</v>
      </c>
      <c r="AK98" s="10" t="s">
        <v>46</v>
      </c>
      <c r="AL98" s="5"/>
      <c r="AM98" s="5">
        <v>97</v>
      </c>
      <c r="AN98" s="6">
        <v>44973</v>
      </c>
      <c r="AO98" s="5" t="s">
        <v>53</v>
      </c>
      <c r="AP98" s="5" t="s">
        <v>45</v>
      </c>
      <c r="AQ98" s="5" t="s">
        <v>46</v>
      </c>
      <c r="AR98" s="5" t="s">
        <v>47</v>
      </c>
      <c r="AS98" s="7">
        <v>0.5625</v>
      </c>
      <c r="AT98" s="7">
        <v>0.97916666666666663</v>
      </c>
      <c r="AU98" s="5">
        <v>1.1994</v>
      </c>
      <c r="AV98" s="5">
        <v>1.19736</v>
      </c>
      <c r="AW98" s="5">
        <f t="shared" si="6"/>
        <v>1.2032</v>
      </c>
      <c r="AX98" s="5">
        <f t="shared" si="7"/>
        <v>1.1943999999999999</v>
      </c>
      <c r="AY98" s="5">
        <f>15.33*2.5</f>
        <v>38.325000000000003</v>
      </c>
      <c r="AZ98" s="8">
        <v>-3.83</v>
      </c>
      <c r="BA98" s="5">
        <v>21</v>
      </c>
      <c r="BB98" s="8">
        <v>2.8900000000000592</v>
      </c>
      <c r="BC98" s="8">
        <v>-3.2600000000000406</v>
      </c>
      <c r="BD98" s="5">
        <v>4</v>
      </c>
      <c r="BE98" s="5" t="s">
        <v>55</v>
      </c>
      <c r="BF98" s="8">
        <v>2.0400000000000418</v>
      </c>
      <c r="BG98" s="6">
        <v>44974</v>
      </c>
      <c r="BH98" s="5" t="s">
        <v>45</v>
      </c>
      <c r="BI98" s="5" t="s">
        <v>45</v>
      </c>
      <c r="BJ98" s="5" t="s">
        <v>52</v>
      </c>
      <c r="BK98" s="5" t="s">
        <v>45</v>
      </c>
      <c r="BL98" s="8" t="s">
        <v>46</v>
      </c>
      <c r="BM98" s="8">
        <v>7.9500000000001236</v>
      </c>
      <c r="BN98" s="8">
        <v>-5.4899999999999949</v>
      </c>
      <c r="BO98" s="8">
        <v>5</v>
      </c>
      <c r="BP98" s="10" t="s">
        <v>46</v>
      </c>
    </row>
    <row r="99" spans="1:68" ht="14.5" customHeight="1" x14ac:dyDescent="0.35">
      <c r="A99" s="5">
        <v>98</v>
      </c>
      <c r="B99" s="6">
        <v>44972</v>
      </c>
      <c r="C99" s="5" t="s">
        <v>44</v>
      </c>
      <c r="D99" s="5" t="s">
        <v>45</v>
      </c>
      <c r="E99" s="5" t="s">
        <v>46</v>
      </c>
      <c r="F99" s="5" t="s">
        <v>47</v>
      </c>
      <c r="G99" s="7">
        <v>0.5625</v>
      </c>
      <c r="H99" s="7">
        <v>0.97916666666666663</v>
      </c>
      <c r="I99" s="5">
        <v>1.2034</v>
      </c>
      <c r="J99" s="5">
        <v>1.2036500000000001</v>
      </c>
      <c r="K99" s="8">
        <v>-2.5</v>
      </c>
      <c r="L99" s="8">
        <v>5</v>
      </c>
      <c r="M99" s="5">
        <f t="shared" si="4"/>
        <v>1.2059</v>
      </c>
      <c r="N99" s="5">
        <f t="shared" si="5"/>
        <v>1.1983999999999999</v>
      </c>
      <c r="O99" s="5">
        <v>21</v>
      </c>
      <c r="P99" s="8">
        <v>4.4399999999999995</v>
      </c>
      <c r="Q99" s="8">
        <v>-0.38999999999989043</v>
      </c>
      <c r="R99" s="5">
        <v>4</v>
      </c>
      <c r="S99" s="5" t="s">
        <v>55</v>
      </c>
      <c r="T99" s="8">
        <v>-0.25000000000008349</v>
      </c>
      <c r="U99" s="5"/>
      <c r="V99" s="5"/>
      <c r="W99" s="5"/>
      <c r="X99" s="5"/>
      <c r="Y99" s="5"/>
      <c r="Z99" s="5"/>
      <c r="AA99" s="6">
        <v>44973</v>
      </c>
      <c r="AB99" s="5" t="s">
        <v>45</v>
      </c>
      <c r="AC99" s="5" t="s">
        <v>45</v>
      </c>
      <c r="AD99" s="5" t="s">
        <v>45</v>
      </c>
      <c r="AE99" s="5" t="s">
        <v>52</v>
      </c>
      <c r="AF99" s="5" t="s">
        <v>45</v>
      </c>
      <c r="AG99" s="5">
        <v>5</v>
      </c>
      <c r="AH99" s="8">
        <v>-3.9700000000000291</v>
      </c>
      <c r="AI99" s="8">
        <v>6.8900000000000636</v>
      </c>
      <c r="AJ99" s="8">
        <v>-2.5</v>
      </c>
      <c r="AK99" s="10" t="s">
        <v>46</v>
      </c>
      <c r="AL99" s="5"/>
      <c r="AM99" s="5">
        <v>98</v>
      </c>
      <c r="AN99" s="6">
        <v>44972</v>
      </c>
      <c r="AO99" s="5" t="s">
        <v>53</v>
      </c>
      <c r="AP99" s="5" t="s">
        <v>45</v>
      </c>
      <c r="AQ99" s="5" t="s">
        <v>46</v>
      </c>
      <c r="AR99" s="5" t="s">
        <v>47</v>
      </c>
      <c r="AS99" s="7">
        <v>0.5625</v>
      </c>
      <c r="AT99" s="7">
        <v>0.97916666666666663</v>
      </c>
      <c r="AU99" s="5">
        <v>1.2034</v>
      </c>
      <c r="AV99" s="5">
        <v>1.2036500000000001</v>
      </c>
      <c r="AW99" s="5">
        <f t="shared" si="6"/>
        <v>1.2073</v>
      </c>
      <c r="AX99" s="5">
        <f t="shared" si="7"/>
        <v>1.1983999999999999</v>
      </c>
      <c r="AY99" s="5">
        <f>15.49*2.5</f>
        <v>38.725000000000001</v>
      </c>
      <c r="AZ99" s="8">
        <v>-3.87</v>
      </c>
      <c r="BA99" s="5">
        <v>21</v>
      </c>
      <c r="BB99" s="8">
        <v>4.4399999999999995</v>
      </c>
      <c r="BC99" s="8">
        <v>-0.38999999999989043</v>
      </c>
      <c r="BD99" s="5">
        <v>4</v>
      </c>
      <c r="BE99" s="5" t="s">
        <v>55</v>
      </c>
      <c r="BF99" s="8">
        <v>-0.25000000000008349</v>
      </c>
      <c r="BG99" s="6">
        <v>44973</v>
      </c>
      <c r="BH99" s="5" t="s">
        <v>45</v>
      </c>
      <c r="BI99" s="5" t="s">
        <v>45</v>
      </c>
      <c r="BJ99" s="5" t="s">
        <v>45</v>
      </c>
      <c r="BK99" s="5" t="s">
        <v>52</v>
      </c>
      <c r="BL99" s="5" t="s">
        <v>45</v>
      </c>
      <c r="BM99" s="8">
        <v>-3.9700000000000291</v>
      </c>
      <c r="BN99" s="8">
        <v>6.8900000000000636</v>
      </c>
      <c r="BO99" s="8">
        <v>-3.87</v>
      </c>
      <c r="BP99" s="10" t="s">
        <v>46</v>
      </c>
    </row>
    <row r="100" spans="1:68" ht="14.5" customHeight="1" x14ac:dyDescent="0.35">
      <c r="A100" s="5">
        <v>99</v>
      </c>
      <c r="B100" s="6">
        <v>44970</v>
      </c>
      <c r="C100" s="5" t="s">
        <v>44</v>
      </c>
      <c r="D100" s="5" t="s">
        <v>45</v>
      </c>
      <c r="E100" s="5" t="s">
        <v>46</v>
      </c>
      <c r="F100" s="5" t="s">
        <v>67</v>
      </c>
      <c r="G100" s="7">
        <v>0.41666666666666669</v>
      </c>
      <c r="H100" s="7">
        <v>0.5625</v>
      </c>
      <c r="I100" s="5">
        <v>1.2190999999999999</v>
      </c>
      <c r="J100" s="5">
        <v>1.2241</v>
      </c>
      <c r="K100" s="8">
        <v>-2.5</v>
      </c>
      <c r="L100" s="8">
        <v>5</v>
      </c>
      <c r="M100" s="5">
        <f t="shared" si="4"/>
        <v>1.2165999999999999</v>
      </c>
      <c r="N100" s="5">
        <f t="shared" si="5"/>
        <v>1.2241</v>
      </c>
      <c r="O100" s="5">
        <v>8</v>
      </c>
      <c r="P100" s="8">
        <v>7.8500000000001355</v>
      </c>
      <c r="Q100" s="8">
        <v>-7.4199999999997601</v>
      </c>
      <c r="R100" s="5">
        <v>6</v>
      </c>
      <c r="S100" s="5" t="s">
        <v>48</v>
      </c>
      <c r="T100" s="8">
        <v>5</v>
      </c>
      <c r="U100" s="5"/>
      <c r="V100" s="5"/>
      <c r="W100" s="5"/>
      <c r="X100" s="5"/>
      <c r="Y100" s="5"/>
      <c r="Z100" s="5"/>
      <c r="AA100" s="6">
        <v>44971</v>
      </c>
      <c r="AB100" s="5" t="s">
        <v>52</v>
      </c>
      <c r="AC100" s="5" t="s">
        <v>52</v>
      </c>
      <c r="AD100" s="8" t="s">
        <v>46</v>
      </c>
      <c r="AE100" s="8" t="s">
        <v>46</v>
      </c>
      <c r="AF100" s="8" t="s">
        <v>46</v>
      </c>
      <c r="AG100" s="5">
        <v>0</v>
      </c>
      <c r="AH100" s="8">
        <v>0</v>
      </c>
      <c r="AI100" s="8">
        <v>0</v>
      </c>
      <c r="AJ100" s="8">
        <v>0</v>
      </c>
      <c r="AK100" s="10" t="s">
        <v>46</v>
      </c>
      <c r="AL100" s="5"/>
      <c r="AM100" s="5">
        <v>99</v>
      </c>
      <c r="AN100" s="6">
        <v>44970</v>
      </c>
      <c r="AO100" s="5" t="s">
        <v>53</v>
      </c>
      <c r="AP100" s="5" t="s">
        <v>45</v>
      </c>
      <c r="AQ100" s="5" t="s">
        <v>46</v>
      </c>
      <c r="AR100" s="5" t="s">
        <v>67</v>
      </c>
      <c r="AS100" s="7">
        <v>0.41666666666666669</v>
      </c>
      <c r="AT100" s="7">
        <v>0.5625</v>
      </c>
      <c r="AU100" s="5">
        <v>1.2190999999999999</v>
      </c>
      <c r="AV100" s="5">
        <v>1.2241</v>
      </c>
      <c r="AW100" s="5">
        <f t="shared" si="6"/>
        <v>1.2152000000000001</v>
      </c>
      <c r="AX100" s="5">
        <f t="shared" si="7"/>
        <v>1.2241</v>
      </c>
      <c r="AY100" s="5">
        <f>15.45*2.5</f>
        <v>38.625</v>
      </c>
      <c r="AZ100" s="8">
        <v>-3.86</v>
      </c>
      <c r="BA100" s="5">
        <v>8</v>
      </c>
      <c r="BB100" s="8">
        <v>7.8500000000001355</v>
      </c>
      <c r="BC100" s="8">
        <v>-7.4199999999997601</v>
      </c>
      <c r="BD100" s="5">
        <v>6</v>
      </c>
      <c r="BE100" s="5" t="s">
        <v>48</v>
      </c>
      <c r="BF100" s="8">
        <v>5</v>
      </c>
      <c r="BG100" s="6">
        <v>44971</v>
      </c>
      <c r="BH100" s="5" t="s">
        <v>52</v>
      </c>
      <c r="BI100" s="5" t="s">
        <v>52</v>
      </c>
      <c r="BJ100" s="8" t="s">
        <v>46</v>
      </c>
      <c r="BK100" s="8" t="s">
        <v>46</v>
      </c>
      <c r="BL100" s="8" t="s">
        <v>46</v>
      </c>
      <c r="BM100" s="8">
        <v>0</v>
      </c>
      <c r="BN100" s="8">
        <v>0</v>
      </c>
      <c r="BO100" s="8">
        <v>0</v>
      </c>
      <c r="BP100" s="10" t="s">
        <v>46</v>
      </c>
    </row>
    <row r="101" spans="1:68" ht="14.5" customHeight="1" x14ac:dyDescent="0.35">
      <c r="A101" s="5">
        <v>100</v>
      </c>
      <c r="B101" s="6">
        <v>44959</v>
      </c>
      <c r="C101" s="5" t="s">
        <v>44</v>
      </c>
      <c r="D101" s="5" t="s">
        <v>45</v>
      </c>
      <c r="E101" s="5" t="s">
        <v>46</v>
      </c>
      <c r="F101" s="5" t="s">
        <v>47</v>
      </c>
      <c r="G101" s="7">
        <v>0.5</v>
      </c>
      <c r="H101" s="7">
        <v>0.52083333333333337</v>
      </c>
      <c r="I101" s="5">
        <v>1.2284000000000002</v>
      </c>
      <c r="J101" s="5">
        <v>1.2309000000000001</v>
      </c>
      <c r="K101" s="8">
        <v>-2.5</v>
      </c>
      <c r="L101" s="8">
        <v>5</v>
      </c>
      <c r="M101" s="5">
        <f t="shared" si="4"/>
        <v>1.2309000000000001</v>
      </c>
      <c r="N101" s="5">
        <f t="shared" si="5"/>
        <v>1.2234</v>
      </c>
      <c r="O101" s="5">
        <v>1</v>
      </c>
      <c r="P101" s="8">
        <v>6.6200000000000703</v>
      </c>
      <c r="Q101" s="8">
        <v>-4.2899999999999059</v>
      </c>
      <c r="R101" s="5">
        <v>5</v>
      </c>
      <c r="S101" s="5" t="s">
        <v>68</v>
      </c>
      <c r="T101" s="8">
        <v>-2.5</v>
      </c>
      <c r="U101" s="5"/>
      <c r="V101" s="5"/>
      <c r="W101" s="5"/>
      <c r="X101" s="5"/>
      <c r="Y101" s="5"/>
      <c r="Z101" s="5"/>
      <c r="AA101" s="6">
        <v>44960</v>
      </c>
      <c r="AB101" s="5" t="s">
        <v>52</v>
      </c>
      <c r="AC101" s="5" t="s">
        <v>45</v>
      </c>
      <c r="AD101" s="8" t="s">
        <v>46</v>
      </c>
      <c r="AE101" s="8" t="s">
        <v>46</v>
      </c>
      <c r="AF101" s="5" t="s">
        <v>45</v>
      </c>
      <c r="AG101" s="5">
        <v>0</v>
      </c>
      <c r="AH101" s="8">
        <v>0</v>
      </c>
      <c r="AI101" s="8">
        <v>0</v>
      </c>
      <c r="AJ101" s="8">
        <v>0</v>
      </c>
      <c r="AK101" s="10" t="s">
        <v>46</v>
      </c>
      <c r="AL101" s="5"/>
      <c r="AM101" s="5">
        <v>100</v>
      </c>
      <c r="AN101" s="6">
        <v>44959</v>
      </c>
      <c r="AO101" s="5" t="s">
        <v>53</v>
      </c>
      <c r="AP101" s="5" t="s">
        <v>45</v>
      </c>
      <c r="AQ101" s="5" t="s">
        <v>46</v>
      </c>
      <c r="AR101" s="5" t="s">
        <v>47</v>
      </c>
      <c r="AS101" s="7">
        <v>0.5</v>
      </c>
      <c r="AT101" s="7">
        <v>0.54166666666666663</v>
      </c>
      <c r="AU101" s="5">
        <v>1.2284000000000002</v>
      </c>
      <c r="AV101" s="5">
        <v>1.2324999999999999</v>
      </c>
      <c r="AW101" s="5">
        <f t="shared" si="6"/>
        <v>1.2324999999999999</v>
      </c>
      <c r="AX101" s="5">
        <f t="shared" si="7"/>
        <v>1.2234</v>
      </c>
      <c r="AY101" s="5">
        <f>16.23*2.5</f>
        <v>40.575000000000003</v>
      </c>
      <c r="AZ101" s="8">
        <v>-4.05</v>
      </c>
      <c r="BA101" s="5">
        <v>2</v>
      </c>
      <c r="BB101" s="8">
        <v>6.6200000000000703</v>
      </c>
      <c r="BC101" s="8">
        <v>-4.2899999999999059</v>
      </c>
      <c r="BD101" s="5">
        <v>5</v>
      </c>
      <c r="BE101" s="5" t="s">
        <v>68</v>
      </c>
      <c r="BF101" s="8">
        <v>-4.05</v>
      </c>
      <c r="BG101" s="6">
        <v>44960</v>
      </c>
      <c r="BH101" s="5" t="s">
        <v>52</v>
      </c>
      <c r="BI101" s="5" t="s">
        <v>45</v>
      </c>
      <c r="BJ101" s="8" t="s">
        <v>46</v>
      </c>
      <c r="BK101" s="8" t="s">
        <v>46</v>
      </c>
      <c r="BL101" s="5" t="s">
        <v>45</v>
      </c>
      <c r="BM101" s="8">
        <v>0</v>
      </c>
      <c r="BN101" s="8">
        <v>0</v>
      </c>
      <c r="BO101" s="8">
        <v>0</v>
      </c>
      <c r="BP101" s="10" t="s">
        <v>46</v>
      </c>
    </row>
    <row r="102" spans="1:68" ht="14.5" customHeight="1" x14ac:dyDescent="0.35">
      <c r="A102" s="5">
        <v>101</v>
      </c>
      <c r="B102" s="6">
        <v>44959</v>
      </c>
      <c r="C102" s="5" t="s">
        <v>44</v>
      </c>
      <c r="D102" s="5" t="s">
        <v>45</v>
      </c>
      <c r="E102" s="5" t="s">
        <v>46</v>
      </c>
      <c r="F102" s="5" t="s">
        <v>47</v>
      </c>
      <c r="G102" s="7">
        <v>0.60416666666666663</v>
      </c>
      <c r="H102" s="7">
        <v>0.72916666666666663</v>
      </c>
      <c r="I102" s="5">
        <v>1.2284000000000002</v>
      </c>
      <c r="J102" s="5">
        <v>1.2234</v>
      </c>
      <c r="K102" s="8">
        <v>-2.5</v>
      </c>
      <c r="L102" s="8">
        <v>5</v>
      </c>
      <c r="M102" s="5">
        <f t="shared" si="4"/>
        <v>1.2309000000000001</v>
      </c>
      <c r="N102" s="5">
        <f t="shared" si="5"/>
        <v>1.2234</v>
      </c>
      <c r="O102" s="5">
        <v>7</v>
      </c>
      <c r="P102" s="8">
        <v>6.6200000000000703</v>
      </c>
      <c r="Q102" s="8">
        <v>-4.2899999999999059</v>
      </c>
      <c r="R102" s="5">
        <v>5</v>
      </c>
      <c r="S102" s="5" t="s">
        <v>48</v>
      </c>
      <c r="T102" s="8">
        <v>5</v>
      </c>
      <c r="U102" s="5"/>
      <c r="V102" s="5"/>
      <c r="W102" s="5"/>
      <c r="X102" s="5"/>
      <c r="Y102" s="5"/>
      <c r="Z102" s="5"/>
      <c r="AA102" s="6">
        <v>44960</v>
      </c>
      <c r="AB102" s="5" t="s">
        <v>52</v>
      </c>
      <c r="AC102" s="5" t="s">
        <v>45</v>
      </c>
      <c r="AD102" s="8" t="s">
        <v>46</v>
      </c>
      <c r="AE102" s="8" t="s">
        <v>46</v>
      </c>
      <c r="AF102" s="5" t="s">
        <v>45</v>
      </c>
      <c r="AG102" s="5">
        <v>0</v>
      </c>
      <c r="AH102" s="8">
        <v>0</v>
      </c>
      <c r="AI102" s="8">
        <v>0</v>
      </c>
      <c r="AJ102" s="8">
        <v>0</v>
      </c>
      <c r="AK102" s="10" t="s">
        <v>46</v>
      </c>
      <c r="AL102" s="5"/>
      <c r="AM102" s="5">
        <v>101</v>
      </c>
      <c r="AN102" s="6">
        <v>44959</v>
      </c>
      <c r="AO102" s="5" t="s">
        <v>53</v>
      </c>
      <c r="AP102" s="5" t="s">
        <v>45</v>
      </c>
      <c r="AQ102" s="5" t="s">
        <v>46</v>
      </c>
      <c r="AR102" s="5" t="s">
        <v>47</v>
      </c>
      <c r="AS102" s="7">
        <v>0.60416666666666663</v>
      </c>
      <c r="AT102" s="7">
        <v>0.72916666666666663</v>
      </c>
      <c r="AU102" s="5">
        <v>1.2284000000000002</v>
      </c>
      <c r="AV102" s="5">
        <v>1.2234</v>
      </c>
      <c r="AW102" s="5">
        <f t="shared" si="6"/>
        <v>1.2324999999999999</v>
      </c>
      <c r="AX102" s="5">
        <f t="shared" si="7"/>
        <v>1.2234</v>
      </c>
      <c r="AY102" s="5">
        <f>16.23*2.5</f>
        <v>40.575000000000003</v>
      </c>
      <c r="AZ102" s="8">
        <v>-4.05</v>
      </c>
      <c r="BA102" s="5">
        <v>7</v>
      </c>
      <c r="BB102" s="8">
        <v>6.6200000000000703</v>
      </c>
      <c r="BC102" s="8">
        <v>-4.2899999999999059</v>
      </c>
      <c r="BD102" s="5">
        <v>5</v>
      </c>
      <c r="BE102" s="5" t="s">
        <v>48</v>
      </c>
      <c r="BF102" s="8">
        <v>5</v>
      </c>
      <c r="BG102" s="6">
        <v>44960</v>
      </c>
      <c r="BH102" s="5" t="s">
        <v>52</v>
      </c>
      <c r="BI102" s="5" t="s">
        <v>45</v>
      </c>
      <c r="BJ102" s="8" t="s">
        <v>46</v>
      </c>
      <c r="BK102" s="8" t="s">
        <v>46</v>
      </c>
      <c r="BL102" s="8" t="s">
        <v>46</v>
      </c>
      <c r="BM102" s="8">
        <v>0</v>
      </c>
      <c r="BN102" s="8">
        <v>0</v>
      </c>
      <c r="BO102" s="8">
        <v>0</v>
      </c>
      <c r="BP102" s="10" t="s">
        <v>46</v>
      </c>
    </row>
    <row r="103" spans="1:68" ht="14.5" customHeight="1" x14ac:dyDescent="0.35">
      <c r="A103" s="5">
        <v>102</v>
      </c>
      <c r="B103" s="6">
        <v>44958</v>
      </c>
      <c r="C103" s="5" t="s">
        <v>44</v>
      </c>
      <c r="D103" s="5" t="s">
        <v>45</v>
      </c>
      <c r="E103" s="5" t="s">
        <v>46</v>
      </c>
      <c r="F103" s="5" t="s">
        <v>47</v>
      </c>
      <c r="G103" s="7">
        <v>0.79166666666666663</v>
      </c>
      <c r="H103" s="7">
        <v>0.8125</v>
      </c>
      <c r="I103" s="5">
        <v>1.2289999999999999</v>
      </c>
      <c r="J103" s="5">
        <v>1.2315</v>
      </c>
      <c r="K103" s="8">
        <v>-2.5</v>
      </c>
      <c r="L103" s="8">
        <v>5</v>
      </c>
      <c r="M103" s="5">
        <f t="shared" si="4"/>
        <v>1.2315</v>
      </c>
      <c r="N103" s="5">
        <f t="shared" si="5"/>
        <v>1.224</v>
      </c>
      <c r="O103" s="5">
        <v>1</v>
      </c>
      <c r="P103" s="8">
        <v>1.8199999999999328</v>
      </c>
      <c r="Q103" s="8">
        <v>-10.930000000000106</v>
      </c>
      <c r="R103" s="5">
        <v>1</v>
      </c>
      <c r="S103" s="5" t="s">
        <v>68</v>
      </c>
      <c r="T103" s="8">
        <v>-2.5</v>
      </c>
      <c r="U103" s="5"/>
      <c r="V103" s="5"/>
      <c r="W103" s="5"/>
      <c r="X103" s="5"/>
      <c r="Y103" s="5"/>
      <c r="Z103" s="5"/>
      <c r="AA103" s="6">
        <v>44959</v>
      </c>
      <c r="AB103" s="5" t="s">
        <v>52</v>
      </c>
      <c r="AC103" s="5" t="s">
        <v>52</v>
      </c>
      <c r="AD103" s="8" t="s">
        <v>46</v>
      </c>
      <c r="AE103" s="8" t="s">
        <v>46</v>
      </c>
      <c r="AF103" s="8" t="s">
        <v>46</v>
      </c>
      <c r="AG103" s="5">
        <v>7</v>
      </c>
      <c r="AH103" s="8">
        <v>0</v>
      </c>
      <c r="AI103" s="8">
        <v>0</v>
      </c>
      <c r="AJ103" s="8">
        <v>0</v>
      </c>
      <c r="AK103" s="10" t="s">
        <v>46</v>
      </c>
      <c r="AL103" s="5"/>
      <c r="AM103" s="5">
        <v>102</v>
      </c>
      <c r="AN103" s="6">
        <v>44958</v>
      </c>
      <c r="AO103" s="5" t="s">
        <v>53</v>
      </c>
      <c r="AP103" s="5" t="s">
        <v>45</v>
      </c>
      <c r="AQ103" s="5" t="s">
        <v>46</v>
      </c>
      <c r="AR103" s="5" t="s">
        <v>47</v>
      </c>
      <c r="AS103" s="7">
        <v>0.79166666666666663</v>
      </c>
      <c r="AT103" s="7">
        <v>0.8125</v>
      </c>
      <c r="AU103" s="5">
        <v>1.2289999999999999</v>
      </c>
      <c r="AV103" s="5">
        <v>1.2331000000000001</v>
      </c>
      <c r="AW103" s="5">
        <f t="shared" si="6"/>
        <v>1.2331000000000001</v>
      </c>
      <c r="AX103" s="5">
        <f t="shared" si="7"/>
        <v>1.224</v>
      </c>
      <c r="AY103" s="5">
        <f>16.43*2.5</f>
        <v>41.075000000000003</v>
      </c>
      <c r="AZ103" s="8">
        <v>-4.0999999999999996</v>
      </c>
      <c r="BA103" s="5">
        <v>1</v>
      </c>
      <c r="BB103" s="8">
        <v>1.8199999999999328</v>
      </c>
      <c r="BC103" s="8">
        <v>-10.930000000000106</v>
      </c>
      <c r="BD103" s="5">
        <v>1</v>
      </c>
      <c r="BE103" s="5" t="s">
        <v>68</v>
      </c>
      <c r="BF103" s="8">
        <v>-4.0999999999999996</v>
      </c>
      <c r="BG103" s="6">
        <v>44959</v>
      </c>
      <c r="BH103" s="5" t="s">
        <v>52</v>
      </c>
      <c r="BI103" s="5" t="s">
        <v>52</v>
      </c>
      <c r="BJ103" s="8" t="s">
        <v>46</v>
      </c>
      <c r="BK103" s="8" t="s">
        <v>46</v>
      </c>
      <c r="BL103" s="8" t="s">
        <v>46</v>
      </c>
      <c r="BM103" s="8">
        <v>0</v>
      </c>
      <c r="BN103" s="8">
        <v>0</v>
      </c>
      <c r="BO103" s="8">
        <v>0</v>
      </c>
      <c r="BP103" s="10" t="s">
        <v>46</v>
      </c>
    </row>
    <row r="104" spans="1:68" ht="14.5" customHeight="1" x14ac:dyDescent="0.35">
      <c r="A104" s="5">
        <v>103</v>
      </c>
      <c r="B104" s="6">
        <v>44944</v>
      </c>
      <c r="C104" s="5" t="s">
        <v>44</v>
      </c>
      <c r="D104" s="5" t="s">
        <v>45</v>
      </c>
      <c r="E104" s="5" t="s">
        <v>46</v>
      </c>
      <c r="F104" s="5" t="s">
        <v>67</v>
      </c>
      <c r="G104" s="7">
        <v>0.22916666666666666</v>
      </c>
      <c r="H104" s="7">
        <v>0.39583333333333331</v>
      </c>
      <c r="I104" s="5">
        <v>1.2294</v>
      </c>
      <c r="J104" s="5">
        <v>1.2343999999999999</v>
      </c>
      <c r="K104" s="8">
        <v>-2.5</v>
      </c>
      <c r="L104" s="8">
        <v>5</v>
      </c>
      <c r="M104" s="5">
        <f t="shared" si="4"/>
        <v>1.2269000000000001</v>
      </c>
      <c r="N104" s="5">
        <f t="shared" si="5"/>
        <v>1.2343999999999999</v>
      </c>
      <c r="O104" s="5">
        <v>8</v>
      </c>
      <c r="P104" s="8">
        <v>14.140000000000041</v>
      </c>
      <c r="Q104" s="8">
        <v>-1.2300000000000644</v>
      </c>
      <c r="R104" s="5">
        <v>1</v>
      </c>
      <c r="S104" s="5" t="s">
        <v>48</v>
      </c>
      <c r="T104" s="8">
        <v>5</v>
      </c>
      <c r="U104" s="5"/>
      <c r="V104" s="5"/>
      <c r="W104" s="5"/>
      <c r="X104" s="5"/>
      <c r="Y104" s="5"/>
      <c r="Z104" s="5"/>
      <c r="AA104" s="6">
        <v>44945</v>
      </c>
      <c r="AB104" s="5" t="s">
        <v>52</v>
      </c>
      <c r="AC104" s="5" t="s">
        <v>52</v>
      </c>
      <c r="AD104" s="8" t="s">
        <v>46</v>
      </c>
      <c r="AE104" s="8" t="s">
        <v>46</v>
      </c>
      <c r="AF104" s="8" t="s">
        <v>46</v>
      </c>
      <c r="AG104" s="5">
        <v>0</v>
      </c>
      <c r="AH104" s="8">
        <v>0</v>
      </c>
      <c r="AI104" s="8">
        <v>0</v>
      </c>
      <c r="AJ104" s="8">
        <v>0</v>
      </c>
      <c r="AK104" s="10" t="s">
        <v>46</v>
      </c>
      <c r="AL104" s="5"/>
      <c r="AM104" s="5">
        <v>103</v>
      </c>
      <c r="AN104" s="6">
        <v>44944</v>
      </c>
      <c r="AO104" s="5" t="s">
        <v>53</v>
      </c>
      <c r="AP104" s="5" t="s">
        <v>45</v>
      </c>
      <c r="AQ104" s="5" t="s">
        <v>46</v>
      </c>
      <c r="AR104" s="5" t="s">
        <v>67</v>
      </c>
      <c r="AS104" s="7">
        <v>0.22916666666666666</v>
      </c>
      <c r="AT104" s="7">
        <v>0.39583333333333331</v>
      </c>
      <c r="AU104" s="5">
        <v>1.2294</v>
      </c>
      <c r="AV104" s="5">
        <v>1.2343999999999999</v>
      </c>
      <c r="AW104" s="5">
        <f t="shared" si="6"/>
        <v>1.2253000000000001</v>
      </c>
      <c r="AX104" s="5">
        <f t="shared" si="7"/>
        <v>1.2343999999999999</v>
      </c>
      <c r="AY104" s="5">
        <f>16.49*2.5</f>
        <v>41.224999999999994</v>
      </c>
      <c r="AZ104" s="8">
        <v>-4.12</v>
      </c>
      <c r="BA104" s="5">
        <v>8</v>
      </c>
      <c r="BB104" s="8">
        <v>14.140000000000041</v>
      </c>
      <c r="BC104" s="8">
        <v>-1.2300000000000644</v>
      </c>
      <c r="BD104" s="5">
        <v>1</v>
      </c>
      <c r="BE104" s="5" t="s">
        <v>48</v>
      </c>
      <c r="BF104" s="8">
        <v>5</v>
      </c>
      <c r="BG104" s="6">
        <v>44945</v>
      </c>
      <c r="BH104" s="5" t="s">
        <v>52</v>
      </c>
      <c r="BI104" s="5" t="s">
        <v>52</v>
      </c>
      <c r="BJ104" s="8" t="s">
        <v>46</v>
      </c>
      <c r="BK104" s="8" t="s">
        <v>46</v>
      </c>
      <c r="BL104" s="8" t="s">
        <v>46</v>
      </c>
      <c r="BM104" s="8">
        <v>0</v>
      </c>
      <c r="BN104" s="8">
        <v>0</v>
      </c>
      <c r="BO104" s="8">
        <v>0</v>
      </c>
      <c r="BP104" s="10" t="s">
        <v>46</v>
      </c>
    </row>
    <row r="105" spans="1:68" ht="14.5" customHeight="1" x14ac:dyDescent="0.35">
      <c r="A105" s="5">
        <v>104</v>
      </c>
      <c r="B105" s="6">
        <v>44943</v>
      </c>
      <c r="C105" s="5" t="s">
        <v>44</v>
      </c>
      <c r="D105" s="5" t="s">
        <v>45</v>
      </c>
      <c r="E105" s="5" t="s">
        <v>46</v>
      </c>
      <c r="F105" s="5" t="s">
        <v>67</v>
      </c>
      <c r="G105" s="7">
        <v>0.58333333333333337</v>
      </c>
      <c r="H105" s="7">
        <v>0.72916666666666663</v>
      </c>
      <c r="I105" s="5">
        <v>1.2276</v>
      </c>
      <c r="J105" s="5">
        <v>1.2251000000000001</v>
      </c>
      <c r="K105" s="8">
        <v>-2.5</v>
      </c>
      <c r="L105" s="8">
        <v>5</v>
      </c>
      <c r="M105" s="5">
        <f t="shared" si="4"/>
        <v>1.2251000000000001</v>
      </c>
      <c r="N105" s="5">
        <f t="shared" si="5"/>
        <v>1.2325999999999999</v>
      </c>
      <c r="O105" s="5">
        <v>8</v>
      </c>
      <c r="P105" s="8">
        <v>2.3299999999999432</v>
      </c>
      <c r="Q105" s="8">
        <v>-3.0200000000000227</v>
      </c>
      <c r="R105" s="5">
        <v>9</v>
      </c>
      <c r="S105" s="5" t="s">
        <v>68</v>
      </c>
      <c r="T105" s="8">
        <v>-2.5</v>
      </c>
      <c r="U105" s="5"/>
      <c r="V105" s="5"/>
      <c r="W105" s="5"/>
      <c r="X105" s="5"/>
      <c r="Y105" s="5"/>
      <c r="Z105" s="5"/>
      <c r="AA105" s="6">
        <v>44944</v>
      </c>
      <c r="AB105" s="5" t="s">
        <v>52</v>
      </c>
      <c r="AC105" s="5" t="s">
        <v>52</v>
      </c>
      <c r="AD105" s="8" t="s">
        <v>46</v>
      </c>
      <c r="AE105" s="8" t="s">
        <v>46</v>
      </c>
      <c r="AF105" s="5" t="s">
        <v>45</v>
      </c>
      <c r="AG105" s="5">
        <v>0</v>
      </c>
      <c r="AH105" s="8">
        <v>0</v>
      </c>
      <c r="AI105" s="8">
        <v>0</v>
      </c>
      <c r="AJ105" s="8">
        <v>0</v>
      </c>
      <c r="AK105" s="10" t="s">
        <v>46</v>
      </c>
      <c r="AL105" s="5"/>
      <c r="AM105" s="5">
        <v>104</v>
      </c>
      <c r="AN105" s="6">
        <v>44943</v>
      </c>
      <c r="AO105" s="5" t="s">
        <v>53</v>
      </c>
      <c r="AP105" s="5" t="s">
        <v>45</v>
      </c>
      <c r="AQ105" s="5" t="s">
        <v>46</v>
      </c>
      <c r="AR105" s="5" t="s">
        <v>67</v>
      </c>
      <c r="AS105" s="7">
        <v>0.58333333333333337</v>
      </c>
      <c r="AT105" s="7">
        <v>0.97916666666666663</v>
      </c>
      <c r="AU105" s="5">
        <v>1.2276</v>
      </c>
      <c r="AV105" s="5">
        <v>1.22831</v>
      </c>
      <c r="AW105" s="5">
        <f t="shared" si="6"/>
        <v>1.2234</v>
      </c>
      <c r="AX105" s="5">
        <f t="shared" si="7"/>
        <v>1.2325999999999999</v>
      </c>
      <c r="AY105" s="5">
        <f>16.71*2.5</f>
        <v>41.775000000000006</v>
      </c>
      <c r="AZ105" s="8">
        <v>-4.17</v>
      </c>
      <c r="BA105" s="5">
        <v>20</v>
      </c>
      <c r="BB105" s="8">
        <v>2.3299999999999432</v>
      </c>
      <c r="BC105" s="8">
        <v>-3.0200000000000227</v>
      </c>
      <c r="BD105" s="5">
        <v>9</v>
      </c>
      <c r="BE105" s="5" t="s">
        <v>55</v>
      </c>
      <c r="BF105" s="8">
        <v>0.70999999999998842</v>
      </c>
      <c r="BG105" s="6">
        <v>44944</v>
      </c>
      <c r="BH105" s="5" t="s">
        <v>45</v>
      </c>
      <c r="BI105" s="5" t="s">
        <v>45</v>
      </c>
      <c r="BJ105" s="5" t="s">
        <v>52</v>
      </c>
      <c r="BK105" s="5" t="s">
        <v>45</v>
      </c>
      <c r="BL105" s="5" t="s">
        <v>46</v>
      </c>
      <c r="BM105" s="8">
        <v>15.940000000000067</v>
      </c>
      <c r="BN105" s="8">
        <v>-2.1200000000001218</v>
      </c>
      <c r="BO105" s="8">
        <v>5</v>
      </c>
      <c r="BP105" s="10" t="s">
        <v>46</v>
      </c>
    </row>
    <row r="106" spans="1:68" ht="14.5" customHeight="1" x14ac:dyDescent="0.35">
      <c r="A106" s="5">
        <v>105</v>
      </c>
      <c r="B106" s="6">
        <v>44942</v>
      </c>
      <c r="C106" s="5" t="s">
        <v>44</v>
      </c>
      <c r="D106" s="5" t="s">
        <v>45</v>
      </c>
      <c r="E106" s="5" t="s">
        <v>46</v>
      </c>
      <c r="F106" s="5" t="s">
        <v>67</v>
      </c>
      <c r="G106" s="7">
        <v>2.0833333333333332E-2</v>
      </c>
      <c r="H106" s="7">
        <v>0.33333333333333331</v>
      </c>
      <c r="I106" s="5">
        <v>1.2246000000000001</v>
      </c>
      <c r="J106" s="5">
        <v>1.2221</v>
      </c>
      <c r="K106" s="8">
        <v>-2.5</v>
      </c>
      <c r="L106" s="8">
        <v>5</v>
      </c>
      <c r="M106" s="5">
        <f t="shared" si="4"/>
        <v>1.2221</v>
      </c>
      <c r="N106" s="5">
        <f t="shared" si="5"/>
        <v>1.2296</v>
      </c>
      <c r="O106" s="5">
        <v>16</v>
      </c>
      <c r="P106" s="8">
        <v>4.2799999999998395</v>
      </c>
      <c r="Q106" s="8">
        <v>-7.4800000000001532</v>
      </c>
      <c r="R106" s="5">
        <v>3</v>
      </c>
      <c r="S106" s="5" t="s">
        <v>68</v>
      </c>
      <c r="T106" s="8">
        <v>-2.5</v>
      </c>
      <c r="U106" s="5"/>
      <c r="V106" s="5"/>
      <c r="W106" s="5"/>
      <c r="X106" s="5"/>
      <c r="Y106" s="5"/>
      <c r="Z106" s="5"/>
      <c r="AA106" s="6">
        <v>44943</v>
      </c>
      <c r="AB106" s="5" t="s">
        <v>52</v>
      </c>
      <c r="AC106" s="5" t="s">
        <v>45</v>
      </c>
      <c r="AD106" s="8" t="s">
        <v>46</v>
      </c>
      <c r="AE106" s="8" t="s">
        <v>46</v>
      </c>
      <c r="AF106" s="5" t="s">
        <v>45</v>
      </c>
      <c r="AG106" s="5">
        <v>0</v>
      </c>
      <c r="AH106" s="8">
        <v>0</v>
      </c>
      <c r="AI106" s="8">
        <v>0</v>
      </c>
      <c r="AJ106" s="8">
        <v>0</v>
      </c>
      <c r="AK106" s="10" t="s">
        <v>46</v>
      </c>
      <c r="AL106" s="5"/>
      <c r="AM106" s="5">
        <v>105</v>
      </c>
      <c r="AN106" s="6">
        <v>44942</v>
      </c>
      <c r="AO106" s="5" t="s">
        <v>53</v>
      </c>
      <c r="AP106" s="5" t="s">
        <v>45</v>
      </c>
      <c r="AQ106" s="5" t="s">
        <v>46</v>
      </c>
      <c r="AR106" s="5" t="s">
        <v>67</v>
      </c>
      <c r="AS106" s="7">
        <v>2.0833333333333332E-2</v>
      </c>
      <c r="AT106" s="7">
        <v>0.33333333333333331</v>
      </c>
      <c r="AU106" s="5">
        <v>1.2246000000000001</v>
      </c>
      <c r="AV106" s="5">
        <v>1.2203999999999999</v>
      </c>
      <c r="AW106" s="5">
        <f t="shared" si="6"/>
        <v>1.2203999999999999</v>
      </c>
      <c r="AX106" s="5">
        <f t="shared" si="7"/>
        <v>1.2296</v>
      </c>
      <c r="AY106" s="5">
        <f>16.84*2.5</f>
        <v>42.1</v>
      </c>
      <c r="AZ106" s="8">
        <v>-4.21</v>
      </c>
      <c r="BA106" s="5">
        <v>16</v>
      </c>
      <c r="BB106" s="8">
        <v>4.2799999999998395</v>
      </c>
      <c r="BC106" s="8">
        <v>-7.4800000000001532</v>
      </c>
      <c r="BD106" s="5">
        <v>3</v>
      </c>
      <c r="BE106" s="5" t="s">
        <v>68</v>
      </c>
      <c r="BF106" s="8">
        <v>-4.21</v>
      </c>
      <c r="BG106" s="6">
        <v>44943</v>
      </c>
      <c r="BH106" s="5" t="s">
        <v>52</v>
      </c>
      <c r="BI106" s="5" t="s">
        <v>45</v>
      </c>
      <c r="BJ106" s="8" t="s">
        <v>46</v>
      </c>
      <c r="BK106" s="8" t="s">
        <v>46</v>
      </c>
      <c r="BL106" s="5" t="s">
        <v>45</v>
      </c>
      <c r="BM106" s="8">
        <v>0</v>
      </c>
      <c r="BN106" s="8">
        <v>0</v>
      </c>
      <c r="BO106" s="8">
        <v>0</v>
      </c>
      <c r="BP106" s="10" t="s">
        <v>46</v>
      </c>
    </row>
    <row r="107" spans="1:68" ht="14.5" customHeight="1" x14ac:dyDescent="0.35">
      <c r="A107" s="5">
        <v>106</v>
      </c>
      <c r="B107" s="6">
        <v>44938</v>
      </c>
      <c r="C107" s="5" t="s">
        <v>44</v>
      </c>
      <c r="D107" s="5" t="s">
        <v>45</v>
      </c>
      <c r="E107" s="5" t="s">
        <v>46</v>
      </c>
      <c r="F107" s="5" t="s">
        <v>67</v>
      </c>
      <c r="G107" s="7">
        <v>0.5625</v>
      </c>
      <c r="H107" s="7">
        <v>0.58333333333333337</v>
      </c>
      <c r="I107" s="5">
        <v>1.2205000000000001</v>
      </c>
      <c r="J107" s="5">
        <v>1.218</v>
      </c>
      <c r="K107" s="8">
        <v>-2.5</v>
      </c>
      <c r="L107" s="8">
        <v>5</v>
      </c>
      <c r="M107" s="5">
        <f t="shared" si="4"/>
        <v>1.218</v>
      </c>
      <c r="N107" s="5">
        <f t="shared" si="5"/>
        <v>1.2255</v>
      </c>
      <c r="O107" s="5">
        <v>1</v>
      </c>
      <c r="P107" s="8">
        <v>3.6999999999998145</v>
      </c>
      <c r="Q107" s="8">
        <v>-11.700000000000045</v>
      </c>
      <c r="R107" s="5">
        <v>8</v>
      </c>
      <c r="S107" s="5" t="s">
        <v>68</v>
      </c>
      <c r="T107" s="8">
        <v>-2.5</v>
      </c>
      <c r="U107" s="5"/>
      <c r="V107" s="5"/>
      <c r="W107" s="5"/>
      <c r="X107" s="5"/>
      <c r="Y107" s="5"/>
      <c r="Z107" s="5"/>
      <c r="AA107" s="6">
        <v>44939</v>
      </c>
      <c r="AB107" s="5" t="s">
        <v>52</v>
      </c>
      <c r="AC107" s="5" t="s">
        <v>45</v>
      </c>
      <c r="AD107" s="8" t="s">
        <v>46</v>
      </c>
      <c r="AE107" s="8" t="s">
        <v>46</v>
      </c>
      <c r="AF107" s="5" t="s">
        <v>46</v>
      </c>
      <c r="AG107" s="5">
        <v>17</v>
      </c>
      <c r="AH107" s="8">
        <v>0</v>
      </c>
      <c r="AI107" s="8">
        <v>0</v>
      </c>
      <c r="AJ107" s="8">
        <v>0</v>
      </c>
      <c r="AK107" s="10" t="s">
        <v>46</v>
      </c>
      <c r="AL107" s="5"/>
      <c r="AM107" s="5">
        <v>106</v>
      </c>
      <c r="AN107" s="6">
        <v>44938</v>
      </c>
      <c r="AO107" s="5" t="s">
        <v>53</v>
      </c>
      <c r="AP107" s="5" t="s">
        <v>45</v>
      </c>
      <c r="AQ107" s="5" t="s">
        <v>46</v>
      </c>
      <c r="AR107" s="5" t="s">
        <v>67</v>
      </c>
      <c r="AS107" s="7">
        <v>0.5625</v>
      </c>
      <c r="AT107" s="7">
        <v>0.60416666666666663</v>
      </c>
      <c r="AU107" s="5">
        <v>1.2205000000000001</v>
      </c>
      <c r="AV107" s="5">
        <v>1.2162999999999999</v>
      </c>
      <c r="AW107" s="5">
        <f t="shared" si="6"/>
        <v>1.2162999999999999</v>
      </c>
      <c r="AX107" s="5">
        <f t="shared" si="7"/>
        <v>1.2255</v>
      </c>
      <c r="AY107" s="5">
        <f>16.8*2.5</f>
        <v>42</v>
      </c>
      <c r="AZ107" s="8">
        <v>-4.2</v>
      </c>
      <c r="BA107" s="5">
        <v>3</v>
      </c>
      <c r="BB107" s="8">
        <v>3.6999999999998145</v>
      </c>
      <c r="BC107" s="8">
        <v>-11.700000000000045</v>
      </c>
      <c r="BD107" s="5">
        <v>8</v>
      </c>
      <c r="BE107" s="5" t="s">
        <v>68</v>
      </c>
      <c r="BF107" s="8">
        <v>-4.2</v>
      </c>
      <c r="BG107" s="6">
        <v>44939</v>
      </c>
      <c r="BH107" s="5" t="s">
        <v>52</v>
      </c>
      <c r="BI107" s="5" t="s">
        <v>45</v>
      </c>
      <c r="BJ107" s="8" t="s">
        <v>46</v>
      </c>
      <c r="BK107" s="8" t="s">
        <v>46</v>
      </c>
      <c r="BL107" s="5" t="s">
        <v>46</v>
      </c>
      <c r="BM107" s="8">
        <v>0</v>
      </c>
      <c r="BN107" s="8">
        <v>0</v>
      </c>
      <c r="BO107" s="8">
        <v>0</v>
      </c>
      <c r="BP107" s="10" t="s">
        <v>46</v>
      </c>
    </row>
    <row r="108" spans="1:68" ht="14.5" customHeight="1" x14ac:dyDescent="0.35">
      <c r="A108" s="5">
        <v>107</v>
      </c>
      <c r="B108" s="6">
        <v>44932</v>
      </c>
      <c r="C108" s="5" t="s">
        <v>44</v>
      </c>
      <c r="D108" s="5" t="s">
        <v>45</v>
      </c>
      <c r="E108" s="5" t="s">
        <v>46</v>
      </c>
      <c r="F108" s="5" t="s">
        <v>47</v>
      </c>
      <c r="G108" s="7">
        <v>0.3125</v>
      </c>
      <c r="H108" s="7">
        <v>0.5625</v>
      </c>
      <c r="I108" s="5">
        <v>1.1890000000000001</v>
      </c>
      <c r="J108" s="5">
        <v>1.1915</v>
      </c>
      <c r="K108" s="8">
        <v>-2.5</v>
      </c>
      <c r="L108" s="8">
        <v>5</v>
      </c>
      <c r="M108" s="5">
        <f t="shared" si="4"/>
        <v>1.1915</v>
      </c>
      <c r="N108" s="5">
        <f t="shared" si="5"/>
        <v>1.1839999999999999</v>
      </c>
      <c r="O108" s="5">
        <v>13</v>
      </c>
      <c r="P108" s="8">
        <v>4.9200000000000363</v>
      </c>
      <c r="Q108" s="8">
        <v>-20.88000000000001</v>
      </c>
      <c r="R108" s="5">
        <v>5</v>
      </c>
      <c r="S108" s="5" t="s">
        <v>68</v>
      </c>
      <c r="T108" s="8">
        <v>-2.5</v>
      </c>
      <c r="U108" s="5"/>
      <c r="V108" s="5"/>
      <c r="W108" s="5"/>
      <c r="X108" s="5"/>
      <c r="Y108" s="5"/>
      <c r="Z108" s="5"/>
      <c r="AA108" s="6">
        <v>44935</v>
      </c>
      <c r="AB108" s="5" t="s">
        <v>52</v>
      </c>
      <c r="AC108" s="5" t="s">
        <v>52</v>
      </c>
      <c r="AD108" s="8" t="s">
        <v>46</v>
      </c>
      <c r="AE108" s="8" t="s">
        <v>46</v>
      </c>
      <c r="AF108" s="5" t="s">
        <v>46</v>
      </c>
      <c r="AG108" s="5">
        <v>0</v>
      </c>
      <c r="AH108" s="8">
        <v>0</v>
      </c>
      <c r="AI108" s="8">
        <v>0</v>
      </c>
      <c r="AJ108" s="8">
        <v>0</v>
      </c>
      <c r="AK108" s="10" t="s">
        <v>46</v>
      </c>
      <c r="AL108" s="5"/>
      <c r="AM108" s="5">
        <v>107</v>
      </c>
      <c r="AN108" s="6">
        <v>44932</v>
      </c>
      <c r="AO108" s="5" t="s">
        <v>53</v>
      </c>
      <c r="AP108" s="5" t="s">
        <v>45</v>
      </c>
      <c r="AQ108" s="5" t="s">
        <v>46</v>
      </c>
      <c r="AR108" s="5" t="s">
        <v>47</v>
      </c>
      <c r="AS108" s="7">
        <v>0.3125</v>
      </c>
      <c r="AT108" s="7">
        <v>0.5625</v>
      </c>
      <c r="AU108" s="5">
        <v>1.1890000000000001</v>
      </c>
      <c r="AV108" s="5">
        <v>1.1932</v>
      </c>
      <c r="AW108" s="5">
        <f t="shared" si="6"/>
        <v>1.1932</v>
      </c>
      <c r="AX108" s="5">
        <f t="shared" si="7"/>
        <v>1.1839999999999999</v>
      </c>
      <c r="AY108" s="5">
        <f>16.87*2.5</f>
        <v>42.175000000000004</v>
      </c>
      <c r="AZ108" s="8">
        <v>-4.21</v>
      </c>
      <c r="BA108" s="5">
        <v>13</v>
      </c>
      <c r="BB108" s="8">
        <v>4.9200000000000363</v>
      </c>
      <c r="BC108" s="8">
        <v>-20.88000000000001</v>
      </c>
      <c r="BD108" s="5">
        <v>5</v>
      </c>
      <c r="BE108" s="5" t="s">
        <v>68</v>
      </c>
      <c r="BF108" s="8">
        <v>-4.21</v>
      </c>
      <c r="BG108" s="6">
        <v>44935</v>
      </c>
      <c r="BH108" s="5" t="s">
        <v>52</v>
      </c>
      <c r="BI108" s="5" t="s">
        <v>52</v>
      </c>
      <c r="BJ108" s="8" t="s">
        <v>46</v>
      </c>
      <c r="BK108" s="8" t="s">
        <v>46</v>
      </c>
      <c r="BL108" s="5" t="s">
        <v>46</v>
      </c>
      <c r="BM108" s="8">
        <v>0</v>
      </c>
      <c r="BN108" s="8">
        <v>0</v>
      </c>
      <c r="BO108" s="8">
        <v>0</v>
      </c>
      <c r="BP108" s="10" t="s">
        <v>46</v>
      </c>
    </row>
    <row r="109" spans="1:68" ht="14.5" customHeight="1" x14ac:dyDescent="0.35">
      <c r="A109" s="5">
        <v>108</v>
      </c>
      <c r="B109" s="6">
        <v>44931</v>
      </c>
      <c r="C109" s="5" t="s">
        <v>44</v>
      </c>
      <c r="D109" s="5" t="s">
        <v>45</v>
      </c>
      <c r="E109" s="5" t="s">
        <v>46</v>
      </c>
      <c r="F109" s="5" t="s">
        <v>47</v>
      </c>
      <c r="G109" s="7">
        <v>0.5625</v>
      </c>
      <c r="H109" s="7">
        <v>0.625</v>
      </c>
      <c r="I109" s="5">
        <v>1.1947999999999999</v>
      </c>
      <c r="J109" s="5">
        <v>1.1898</v>
      </c>
      <c r="K109" s="8">
        <v>-2.5</v>
      </c>
      <c r="L109" s="8">
        <v>5</v>
      </c>
      <c r="M109" s="5">
        <f t="shared" si="4"/>
        <v>1.1973</v>
      </c>
      <c r="N109" s="5">
        <f t="shared" si="5"/>
        <v>1.1898</v>
      </c>
      <c r="O109" s="5">
        <v>4</v>
      </c>
      <c r="P109" s="8">
        <v>7.5099999999999056</v>
      </c>
      <c r="Q109" s="8">
        <v>0</v>
      </c>
      <c r="R109" s="5">
        <v>0</v>
      </c>
      <c r="S109" s="5" t="s">
        <v>48</v>
      </c>
      <c r="T109" s="8">
        <v>5</v>
      </c>
      <c r="U109" s="5"/>
      <c r="V109" s="5"/>
      <c r="W109" s="5"/>
      <c r="X109" s="5"/>
      <c r="Y109" s="5"/>
      <c r="Z109" s="5"/>
      <c r="AA109" s="6">
        <v>44932</v>
      </c>
      <c r="AB109" s="5" t="s">
        <v>52</v>
      </c>
      <c r="AC109" s="5" t="s">
        <v>45</v>
      </c>
      <c r="AD109" s="8" t="s">
        <v>46</v>
      </c>
      <c r="AE109" s="8" t="s">
        <v>46</v>
      </c>
      <c r="AF109" s="5" t="s">
        <v>46</v>
      </c>
      <c r="AG109" s="5">
        <v>1</v>
      </c>
      <c r="AH109" s="8">
        <v>0</v>
      </c>
      <c r="AI109" s="8">
        <v>0</v>
      </c>
      <c r="AJ109" s="8">
        <v>0</v>
      </c>
      <c r="AK109" s="10" t="s">
        <v>46</v>
      </c>
      <c r="AL109" s="5"/>
      <c r="AM109" s="5">
        <v>108</v>
      </c>
      <c r="AN109" s="6">
        <v>44931</v>
      </c>
      <c r="AO109" s="5" t="s">
        <v>53</v>
      </c>
      <c r="AP109" s="5" t="s">
        <v>45</v>
      </c>
      <c r="AQ109" s="5" t="s">
        <v>46</v>
      </c>
      <c r="AR109" s="5" t="s">
        <v>47</v>
      </c>
      <c r="AS109" s="7">
        <v>0.5625</v>
      </c>
      <c r="AT109" s="7">
        <v>0.625</v>
      </c>
      <c r="AU109" s="5">
        <v>1.1947999999999999</v>
      </c>
      <c r="AV109" s="5">
        <v>1.1898</v>
      </c>
      <c r="AW109" s="5">
        <f t="shared" si="6"/>
        <v>1.1990000000000001</v>
      </c>
      <c r="AX109" s="5">
        <f t="shared" si="7"/>
        <v>1.1898</v>
      </c>
      <c r="AY109" s="5">
        <f>16.78*2.5</f>
        <v>41.95</v>
      </c>
      <c r="AZ109" s="8">
        <v>-4.1900000000000004</v>
      </c>
      <c r="BA109" s="5">
        <v>4</v>
      </c>
      <c r="BB109" s="8">
        <v>7.5099999999999056</v>
      </c>
      <c r="BC109" s="8">
        <v>0</v>
      </c>
      <c r="BD109" s="5">
        <v>0</v>
      </c>
      <c r="BE109" s="5" t="s">
        <v>48</v>
      </c>
      <c r="BF109" s="8">
        <v>5</v>
      </c>
      <c r="BG109" s="6">
        <v>44932</v>
      </c>
      <c r="BH109" s="5" t="s">
        <v>52</v>
      </c>
      <c r="BI109" s="5" t="s">
        <v>45</v>
      </c>
      <c r="BJ109" s="8" t="s">
        <v>46</v>
      </c>
      <c r="BK109" s="8" t="s">
        <v>46</v>
      </c>
      <c r="BL109" s="5" t="s">
        <v>46</v>
      </c>
      <c r="BM109" s="8">
        <v>0</v>
      </c>
      <c r="BN109" s="8">
        <v>0</v>
      </c>
      <c r="BO109" s="8">
        <v>0</v>
      </c>
      <c r="BP109" s="10" t="s">
        <v>46</v>
      </c>
    </row>
    <row r="110" spans="1:68" ht="14.5" customHeight="1" x14ac:dyDescent="0.35">
      <c r="A110" s="5">
        <v>109</v>
      </c>
      <c r="B110" s="6">
        <v>44929</v>
      </c>
      <c r="C110" s="5" t="s">
        <v>44</v>
      </c>
      <c r="D110" s="5" t="s">
        <v>45</v>
      </c>
      <c r="E110" s="5" t="s">
        <v>46</v>
      </c>
      <c r="F110" s="5" t="s">
        <v>47</v>
      </c>
      <c r="G110" s="7">
        <v>0.33333333333333331</v>
      </c>
      <c r="H110" s="7">
        <v>0.33333333333333331</v>
      </c>
      <c r="I110" s="5">
        <v>1.2005000000000001</v>
      </c>
      <c r="J110" s="5">
        <v>1.1955</v>
      </c>
      <c r="K110" s="8">
        <v>-2.5</v>
      </c>
      <c r="L110" s="8">
        <v>5</v>
      </c>
      <c r="M110" s="5">
        <f t="shared" si="4"/>
        <v>1.2030000000000001</v>
      </c>
      <c r="N110" s="5">
        <f t="shared" si="5"/>
        <v>1.1955</v>
      </c>
      <c r="O110" s="5">
        <v>1</v>
      </c>
      <c r="P110" s="8">
        <v>10.49000000000011</v>
      </c>
      <c r="Q110" s="8">
        <v>-5.2099999999999369</v>
      </c>
      <c r="R110" s="5">
        <v>4</v>
      </c>
      <c r="S110" s="5" t="s">
        <v>48</v>
      </c>
      <c r="T110" s="8">
        <v>5</v>
      </c>
      <c r="U110" s="5"/>
      <c r="V110" s="5"/>
      <c r="W110" s="5"/>
      <c r="X110" s="5"/>
      <c r="Y110" s="5"/>
      <c r="Z110" s="5"/>
      <c r="AA110" s="6">
        <v>44930</v>
      </c>
      <c r="AB110" s="5" t="s">
        <v>52</v>
      </c>
      <c r="AC110" s="5" t="s">
        <v>52</v>
      </c>
      <c r="AD110" s="8" t="s">
        <v>46</v>
      </c>
      <c r="AE110" s="8" t="s">
        <v>46</v>
      </c>
      <c r="AF110" s="5" t="s">
        <v>46</v>
      </c>
      <c r="AG110" s="5">
        <v>1</v>
      </c>
      <c r="AH110" s="8">
        <v>0</v>
      </c>
      <c r="AI110" s="8">
        <v>0</v>
      </c>
      <c r="AJ110" s="8">
        <v>0</v>
      </c>
      <c r="AK110" s="10" t="s">
        <v>46</v>
      </c>
      <c r="AL110" s="5"/>
      <c r="AM110" s="5">
        <v>109</v>
      </c>
      <c r="AN110" s="6">
        <v>44929</v>
      </c>
      <c r="AO110" s="5" t="s">
        <v>53</v>
      </c>
      <c r="AP110" s="5" t="s">
        <v>45</v>
      </c>
      <c r="AQ110" s="5" t="s">
        <v>46</v>
      </c>
      <c r="AR110" s="5" t="s">
        <v>47</v>
      </c>
      <c r="AS110" s="7">
        <v>0.33333333333333331</v>
      </c>
      <c r="AT110" s="7">
        <v>0.33333333333333331</v>
      </c>
      <c r="AU110" s="5">
        <v>1.2005000000000001</v>
      </c>
      <c r="AV110" s="5">
        <v>1.1955</v>
      </c>
      <c r="AW110" s="5">
        <f t="shared" si="6"/>
        <v>1.2046999999999999</v>
      </c>
      <c r="AX110" s="5">
        <f t="shared" si="7"/>
        <v>1.1955</v>
      </c>
      <c r="AY110" s="5">
        <f>16.76*2.5</f>
        <v>41.900000000000006</v>
      </c>
      <c r="AZ110" s="8">
        <v>-4.1900000000000004</v>
      </c>
      <c r="BA110" s="5">
        <v>1</v>
      </c>
      <c r="BB110" s="8">
        <v>10.49000000000011</v>
      </c>
      <c r="BC110" s="8">
        <v>-5.2099999999999369</v>
      </c>
      <c r="BD110" s="5">
        <v>4</v>
      </c>
      <c r="BE110" s="5" t="s">
        <v>48</v>
      </c>
      <c r="BF110" s="8">
        <v>5</v>
      </c>
      <c r="BG110" s="6">
        <v>44930</v>
      </c>
      <c r="BH110" s="5" t="s">
        <v>52</v>
      </c>
      <c r="BI110" s="5" t="s">
        <v>52</v>
      </c>
      <c r="BJ110" s="8" t="s">
        <v>46</v>
      </c>
      <c r="BK110" s="8" t="s">
        <v>46</v>
      </c>
      <c r="BL110" s="5" t="s">
        <v>46</v>
      </c>
      <c r="BM110" s="8">
        <v>0</v>
      </c>
      <c r="BN110" s="8">
        <v>0</v>
      </c>
      <c r="BO110" s="8">
        <v>0</v>
      </c>
      <c r="BP110" s="10" t="s">
        <v>46</v>
      </c>
    </row>
  </sheetData>
  <pageMargins left="0.7" right="0.7" top="0.75" bottom="0.75" header="0.3" footer="0.3"/>
  <pageSetup orientation="portrait"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Back-Test 2024</vt:lpstr>
      <vt:lpstr>Back-Test 2023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 the name of Don Jones and Claudia</dc:creator>
  <cp:keywords>AMVT</cp:keywords>
  <dcterms:created xsi:type="dcterms:W3CDTF">2025-05-28T20:12:54Z</dcterms:created>
  <dcterms:modified xsi:type="dcterms:W3CDTF">2025-05-28T20:22:32Z</dcterms:modified>
</cp:coreProperties>
</file>