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tori\"/>
    </mc:Choice>
  </mc:AlternateContent>
  <xr:revisionPtr revIDLastSave="0" documentId="13_ncr:1_{A4DD69D6-D11C-4B6F-B3D1-A93618EA4065}" xr6:coauthVersionLast="47" xr6:coauthVersionMax="47" xr10:uidLastSave="{00000000-0000-0000-0000-000000000000}"/>
  <bookViews>
    <workbookView xWindow="-108" yWindow="-108" windowWidth="23256" windowHeight="12456" xr2:uid="{4F9FAD61-6BBE-498B-A1D9-B53A431B2023}"/>
  </bookViews>
  <sheets>
    <sheet name="SATORI H1" sheetId="3" r:id="rId1"/>
    <sheet name="SATORI H4" sheetId="1" r:id="rId2"/>
    <sheet name="SATORI (D)" sheetId="2" r:id="rId3"/>
  </sheets>
  <externalReferences>
    <externalReference r:id="rId4"/>
  </externalReferences>
  <definedNames>
    <definedName name="AUDCAD" localSheetId="2">#REF!</definedName>
    <definedName name="AUDCAD" localSheetId="0">#REF!</definedName>
    <definedName name="AUDCAD" localSheetId="1">#REF!</definedName>
    <definedName name="AUDCAD">#REF!</definedName>
    <definedName name="AUDCHF" localSheetId="2">#REF!</definedName>
    <definedName name="AUDCHF" localSheetId="0">#REF!</definedName>
    <definedName name="AUDCHF" localSheetId="1">#REF!</definedName>
    <definedName name="AUDCHF">#REF!</definedName>
    <definedName name="AUDJPY">#REF!</definedName>
    <definedName name="AUDNZD">#REF!</definedName>
    <definedName name="AUDUSD">#REF!</definedName>
    <definedName name="CADCHF">#REF!</definedName>
    <definedName name="CADJPY">#REF!</definedName>
    <definedName name="CHFJPY">#REF!</definedName>
    <definedName name="EURAUD">#REF!</definedName>
    <definedName name="EURCAD">#REF!</definedName>
    <definedName name="EURCHF">#REF!</definedName>
    <definedName name="EURGBP">#REF!</definedName>
    <definedName name="EURJPY">#REF!</definedName>
    <definedName name="EURNZD">#REF!</definedName>
    <definedName name="EURUSD">#REF!</definedName>
    <definedName name="GBPAUD">#REF!</definedName>
    <definedName name="GBPCAD">#REF!</definedName>
    <definedName name="GBPCHF">#REF!</definedName>
    <definedName name="GBPJPY">#REF!</definedName>
    <definedName name="GBPNZD">#REF!</definedName>
    <definedName name="GBPUSD">#REF!</definedName>
    <definedName name="NZDCAD">#REF!</definedName>
    <definedName name="NZDCHF">#REF!</definedName>
    <definedName name="NZDJPY">#REF!</definedName>
    <definedName name="NZDUSD">#REF!</definedName>
    <definedName name="Trend" localSheetId="2">[1]!CheckList_tbl[#Data]</definedName>
    <definedName name="Trend" localSheetId="0">[1]!CheckList_tbl[#Data]</definedName>
    <definedName name="Trend" localSheetId="1">[1]!CheckList_tbl[#Data]</definedName>
    <definedName name="Trend">[1]!CheckList_tbl[#Data]</definedName>
    <definedName name="USDCAD" localSheetId="2">#REF!</definedName>
    <definedName name="USDCAD" localSheetId="0">#REF!</definedName>
    <definedName name="USDCAD" localSheetId="1">#REF!</definedName>
    <definedName name="USDCAD">#REF!</definedName>
    <definedName name="USDCHF" localSheetId="2">#REF!</definedName>
    <definedName name="USDCHF" localSheetId="0">#REF!</definedName>
    <definedName name="USDCHF" localSheetId="1">#REF!</definedName>
    <definedName name="USDCHF">#REF!</definedName>
    <definedName name="USDJPY" localSheetId="2">#REF!</definedName>
    <definedName name="USDJPY" localSheetId="0">#REF!</definedName>
    <definedName name="USDJPY" localSheetId="1">#REF!</definedName>
    <definedName name="USDJPY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9" i="3" l="1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AD28" i="3"/>
  <c r="AC28" i="3"/>
  <c r="AB28" i="3"/>
  <c r="AA28" i="3"/>
  <c r="Z28" i="3"/>
  <c r="Y28" i="3"/>
  <c r="X28" i="3"/>
  <c r="W28" i="3"/>
  <c r="V28" i="3"/>
  <c r="U28" i="3"/>
  <c r="BA28" i="3" s="1"/>
  <c r="T28" i="3"/>
  <c r="S28" i="3"/>
  <c r="R28" i="3"/>
  <c r="Q28" i="3"/>
  <c r="P28" i="3"/>
  <c r="O28" i="3"/>
  <c r="N28" i="3"/>
  <c r="M28" i="3"/>
  <c r="AS28" i="3" s="1"/>
  <c r="L28" i="3"/>
  <c r="K28" i="3"/>
  <c r="J28" i="3"/>
  <c r="I28" i="3"/>
  <c r="H28" i="3"/>
  <c r="G28" i="3"/>
  <c r="F28" i="3"/>
  <c r="E28" i="3"/>
  <c r="D28" i="3"/>
  <c r="C28" i="3"/>
  <c r="AD27" i="3"/>
  <c r="AC27" i="3"/>
  <c r="AB27" i="3"/>
  <c r="AA27" i="3"/>
  <c r="Z27" i="3"/>
  <c r="Y27" i="3"/>
  <c r="BE27" i="3" s="1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AS22" i="3" s="1"/>
  <c r="L22" i="3"/>
  <c r="K22" i="3"/>
  <c r="J22" i="3"/>
  <c r="I22" i="3"/>
  <c r="H22" i="3"/>
  <c r="G22" i="3"/>
  <c r="F22" i="3"/>
  <c r="E22" i="3"/>
  <c r="AK22" i="3" s="1"/>
  <c r="D22" i="3"/>
  <c r="C22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AN19" i="3" s="1"/>
  <c r="G19" i="3"/>
  <c r="F19" i="3"/>
  <c r="E19" i="3"/>
  <c r="D19" i="3"/>
  <c r="C19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AO15" i="3" s="1"/>
  <c r="H15" i="3"/>
  <c r="G15" i="3"/>
  <c r="F15" i="3"/>
  <c r="E15" i="3"/>
  <c r="D15" i="3"/>
  <c r="C15" i="3"/>
  <c r="AD14" i="3"/>
  <c r="AC14" i="3"/>
  <c r="BI14" i="3" s="1"/>
  <c r="AB14" i="3"/>
  <c r="AA14" i="3"/>
  <c r="Z14" i="3"/>
  <c r="Y14" i="3"/>
  <c r="X14" i="3"/>
  <c r="W14" i="3"/>
  <c r="V14" i="3"/>
  <c r="U14" i="3"/>
  <c r="BA14" i="3" s="1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AO11" i="3" s="1"/>
  <c r="H11" i="3"/>
  <c r="G11" i="3"/>
  <c r="F11" i="3"/>
  <c r="E11" i="3"/>
  <c r="D11" i="3"/>
  <c r="C11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AJ10" i="3" s="1"/>
  <c r="C10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AR8" i="3" s="1"/>
  <c r="K8" i="3"/>
  <c r="J8" i="3"/>
  <c r="I8" i="3"/>
  <c r="H8" i="3"/>
  <c r="G8" i="3"/>
  <c r="F8" i="3"/>
  <c r="E8" i="3"/>
  <c r="D8" i="3"/>
  <c r="C8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AW7" i="3" s="1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AD6" i="3"/>
  <c r="AC6" i="3"/>
  <c r="BI6" i="3" s="1"/>
  <c r="AB6" i="3"/>
  <c r="BH6" i="3" s="1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AK6" i="3" s="1"/>
  <c r="D6" i="3"/>
  <c r="AJ6" i="3" s="1"/>
  <c r="C6" i="3"/>
  <c r="AD5" i="3"/>
  <c r="AC5" i="3"/>
  <c r="AB5" i="3"/>
  <c r="AA5" i="3"/>
  <c r="Z5" i="3"/>
  <c r="Y5" i="3"/>
  <c r="BE5" i="3" s="1"/>
  <c r="X5" i="3"/>
  <c r="W5" i="3"/>
  <c r="V5" i="3"/>
  <c r="U5" i="3"/>
  <c r="T5" i="3"/>
  <c r="S5" i="3"/>
  <c r="R5" i="3"/>
  <c r="Q5" i="3"/>
  <c r="P5" i="3"/>
  <c r="AV4" i="3" s="1"/>
  <c r="O5" i="3"/>
  <c r="N5" i="3"/>
  <c r="M5" i="3"/>
  <c r="L5" i="3"/>
  <c r="K5" i="3"/>
  <c r="J5" i="3"/>
  <c r="I5" i="3"/>
  <c r="H5" i="3"/>
  <c r="G5" i="3"/>
  <c r="F5" i="3"/>
  <c r="E5" i="3"/>
  <c r="D5" i="3"/>
  <c r="C5" i="3"/>
  <c r="AD4" i="3"/>
  <c r="AC4" i="3"/>
  <c r="AB4" i="3"/>
  <c r="BH4" i="3" s="1"/>
  <c r="AA4" i="3"/>
  <c r="Z4" i="3"/>
  <c r="Y4" i="3"/>
  <c r="X4" i="3"/>
  <c r="W4" i="3"/>
  <c r="V4" i="3"/>
  <c r="U4" i="3"/>
  <c r="T4" i="3"/>
  <c r="AZ4" i="3" s="1"/>
  <c r="S4" i="3"/>
  <c r="R4" i="3"/>
  <c r="Q4" i="3"/>
  <c r="P4" i="3"/>
  <c r="O4" i="3"/>
  <c r="N4" i="3"/>
  <c r="M4" i="3"/>
  <c r="L4" i="3"/>
  <c r="AR4" i="3" s="1"/>
  <c r="K4" i="3"/>
  <c r="J4" i="3"/>
  <c r="I4" i="3"/>
  <c r="H4" i="3"/>
  <c r="G4" i="3"/>
  <c r="F4" i="3"/>
  <c r="E4" i="3"/>
  <c r="D4" i="3"/>
  <c r="AJ4" i="3" s="1"/>
  <c r="C4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CC37" i="3"/>
  <c r="BJ37" i="3"/>
  <c r="CP37" i="3" s="1"/>
  <c r="BI37" i="3"/>
  <c r="BH37" i="3"/>
  <c r="CN37" i="3" s="1"/>
  <c r="BG37" i="3"/>
  <c r="CM37" i="3" s="1"/>
  <c r="BF37" i="3"/>
  <c r="CL37" i="3" s="1"/>
  <c r="BE37" i="3"/>
  <c r="CK37" i="3" s="1"/>
  <c r="BD37" i="3"/>
  <c r="CJ37" i="3" s="1"/>
  <c r="BC37" i="3"/>
  <c r="CI37" i="3" s="1"/>
  <c r="DO37" i="3" s="1"/>
  <c r="BB37" i="3"/>
  <c r="CH37" i="3" s="1"/>
  <c r="BA37" i="3"/>
  <c r="AZ37" i="3"/>
  <c r="CF37" i="3" s="1"/>
  <c r="AY37" i="3"/>
  <c r="CE37" i="3" s="1"/>
  <c r="AX37" i="3"/>
  <c r="CD37" i="3" s="1"/>
  <c r="AW37" i="3"/>
  <c r="AV37" i="3"/>
  <c r="CB37" i="3" s="1"/>
  <c r="AU37" i="3"/>
  <c r="CA37" i="3" s="1"/>
  <c r="DK37" i="3" s="1"/>
  <c r="AT37" i="3"/>
  <c r="AS37" i="3"/>
  <c r="AR37" i="3"/>
  <c r="BX37" i="3" s="1"/>
  <c r="DR37" i="3" s="1"/>
  <c r="AQ37" i="3"/>
  <c r="BW37" i="3" s="1"/>
  <c r="DJ37" i="3" s="1"/>
  <c r="AP37" i="3"/>
  <c r="BV37" i="3" s="1"/>
  <c r="DL37" i="3" s="1"/>
  <c r="AO37" i="3"/>
  <c r="BU37" i="3" s="1"/>
  <c r="DH37" i="3" s="1"/>
  <c r="AN37" i="3"/>
  <c r="BT37" i="3" s="1"/>
  <c r="AM37" i="3"/>
  <c r="BS37" i="3" s="1"/>
  <c r="AL37" i="3"/>
  <c r="AK37" i="3"/>
  <c r="AJ37" i="3"/>
  <c r="BP37" i="3" s="1"/>
  <c r="AI37" i="3"/>
  <c r="BO37" i="3" s="1"/>
  <c r="DH36" i="3"/>
  <c r="CI36" i="3"/>
  <c r="DO36" i="3" s="1"/>
  <c r="BU36" i="3"/>
  <c r="BJ36" i="3"/>
  <c r="CP36" i="3" s="1"/>
  <c r="BI36" i="3"/>
  <c r="BH36" i="3"/>
  <c r="BG36" i="3"/>
  <c r="BF36" i="3"/>
  <c r="CL36" i="3" s="1"/>
  <c r="BE36" i="3"/>
  <c r="CK36" i="3" s="1"/>
  <c r="BD36" i="3"/>
  <c r="BC36" i="3"/>
  <c r="BB36" i="3"/>
  <c r="CH36" i="3" s="1"/>
  <c r="BA36" i="3"/>
  <c r="AZ36" i="3"/>
  <c r="AY36" i="3"/>
  <c r="AX36" i="3"/>
  <c r="CD36" i="3" s="1"/>
  <c r="AW36" i="3"/>
  <c r="CC36" i="3" s="1"/>
  <c r="AV36" i="3"/>
  <c r="AU36" i="3"/>
  <c r="CA36" i="3" s="1"/>
  <c r="AT36" i="3"/>
  <c r="AS36" i="3"/>
  <c r="AR36" i="3"/>
  <c r="AQ36" i="3"/>
  <c r="AP36" i="3"/>
  <c r="BV36" i="3" s="1"/>
  <c r="DL36" i="3" s="1"/>
  <c r="AO36" i="3"/>
  <c r="AN36" i="3"/>
  <c r="AM36" i="3"/>
  <c r="BS36" i="3" s="1"/>
  <c r="AL36" i="3"/>
  <c r="AK36" i="3"/>
  <c r="AJ36" i="3"/>
  <c r="AI36" i="3"/>
  <c r="CI35" i="3"/>
  <c r="DO35" i="3" s="1"/>
  <c r="BJ35" i="3"/>
  <c r="BI35" i="3"/>
  <c r="BH35" i="3"/>
  <c r="BG35" i="3"/>
  <c r="BF35" i="3"/>
  <c r="BE35" i="3"/>
  <c r="CK35" i="3" s="1"/>
  <c r="BD35" i="3"/>
  <c r="BC35" i="3"/>
  <c r="BB35" i="3"/>
  <c r="BA35" i="3"/>
  <c r="CG33" i="3" s="1"/>
  <c r="AZ35" i="3"/>
  <c r="AY35" i="3"/>
  <c r="AX35" i="3"/>
  <c r="AW35" i="3"/>
  <c r="CC35" i="3" s="1"/>
  <c r="AV35" i="3"/>
  <c r="AU35" i="3"/>
  <c r="AT35" i="3"/>
  <c r="BZ35" i="3" s="1"/>
  <c r="DP35" i="3" s="1"/>
  <c r="AS35" i="3"/>
  <c r="BY34" i="3" s="1"/>
  <c r="DN34" i="3" s="1"/>
  <c r="AR35" i="3"/>
  <c r="AQ35" i="3"/>
  <c r="AP35" i="3"/>
  <c r="AO35" i="3"/>
  <c r="BU35" i="3" s="1"/>
  <c r="DH35" i="3" s="1"/>
  <c r="AN35" i="3"/>
  <c r="AM35" i="3"/>
  <c r="AL35" i="3"/>
  <c r="BR35" i="3" s="1"/>
  <c r="AK35" i="3"/>
  <c r="BQ34" i="3" s="1"/>
  <c r="AJ35" i="3"/>
  <c r="AI35" i="3"/>
  <c r="BJ34" i="3"/>
  <c r="BI34" i="3"/>
  <c r="BH34" i="3"/>
  <c r="BG34" i="3"/>
  <c r="BF34" i="3"/>
  <c r="BE34" i="3"/>
  <c r="BD34" i="3"/>
  <c r="BC34" i="3"/>
  <c r="BB34" i="3"/>
  <c r="BA34" i="3"/>
  <c r="AZ34" i="3"/>
  <c r="AY34" i="3"/>
  <c r="AX34" i="3"/>
  <c r="AW34" i="3"/>
  <c r="AV34" i="3"/>
  <c r="AU34" i="3"/>
  <c r="CA34" i="3" s="1"/>
  <c r="AT34" i="3"/>
  <c r="AS34" i="3"/>
  <c r="AR34" i="3"/>
  <c r="AQ34" i="3"/>
  <c r="AP34" i="3"/>
  <c r="AO34" i="3"/>
  <c r="AN34" i="3"/>
  <c r="AM34" i="3"/>
  <c r="AL34" i="3"/>
  <c r="AK34" i="3"/>
  <c r="AJ34" i="3"/>
  <c r="AI34" i="3"/>
  <c r="BZ33" i="3"/>
  <c r="DP33" i="3" s="1"/>
  <c r="BJ33" i="3"/>
  <c r="BI33" i="3"/>
  <c r="BH33" i="3"/>
  <c r="BG33" i="3"/>
  <c r="BF33" i="3"/>
  <c r="BE33" i="3"/>
  <c r="BD33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BJ32" i="3"/>
  <c r="BI32" i="3"/>
  <c r="BH32" i="3"/>
  <c r="BG32" i="3"/>
  <c r="BF32" i="3"/>
  <c r="BE32" i="3"/>
  <c r="BD32" i="3"/>
  <c r="BC32" i="3"/>
  <c r="BB32" i="3"/>
  <c r="BA32" i="3"/>
  <c r="AZ32" i="3"/>
  <c r="CF32" i="3" s="1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BJ31" i="3"/>
  <c r="BI31" i="3"/>
  <c r="BH31" i="3"/>
  <c r="BG31" i="3"/>
  <c r="BF31" i="3"/>
  <c r="BE31" i="3"/>
  <c r="BD31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BJ30" i="3"/>
  <c r="BI30" i="3"/>
  <c r="BH30" i="3"/>
  <c r="BG30" i="3"/>
  <c r="BF30" i="3"/>
  <c r="BE30" i="3"/>
  <c r="BD30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AJ30" i="3"/>
  <c r="AI30" i="3"/>
  <c r="BJ29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BU29" i="3" s="1"/>
  <c r="DH29" i="3" s="1"/>
  <c r="AN29" i="3"/>
  <c r="AM29" i="3"/>
  <c r="AL29" i="3"/>
  <c r="AK29" i="3"/>
  <c r="AJ29" i="3"/>
  <c r="AI29" i="3"/>
  <c r="EJ4" i="3"/>
  <c r="A2" i="3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AK17" i="2" s="1"/>
  <c r="D17" i="2"/>
  <c r="C17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AD15" i="2"/>
  <c r="AC15" i="2"/>
  <c r="BI15" i="2" s="1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AS11" i="2" s="1"/>
  <c r="L11" i="2"/>
  <c r="K11" i="2"/>
  <c r="J11" i="2"/>
  <c r="I11" i="2"/>
  <c r="H11" i="2"/>
  <c r="G11" i="2"/>
  <c r="F11" i="2"/>
  <c r="E11" i="2"/>
  <c r="D11" i="2"/>
  <c r="C11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AS4" i="2" s="1"/>
  <c r="L5" i="2"/>
  <c r="K5" i="2"/>
  <c r="J5" i="2"/>
  <c r="I5" i="2"/>
  <c r="H5" i="2"/>
  <c r="G5" i="2"/>
  <c r="F5" i="2"/>
  <c r="E5" i="2"/>
  <c r="D5" i="2"/>
  <c r="C5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AD3" i="2"/>
  <c r="AC3" i="2"/>
  <c r="BI3" i="2" s="1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DN37" i="2"/>
  <c r="CP37" i="2"/>
  <c r="DQ37" i="2" s="1"/>
  <c r="CO37" i="2"/>
  <c r="DI37" i="2" s="1"/>
  <c r="CI37" i="2"/>
  <c r="DO37" i="2" s="1"/>
  <c r="CH37" i="2"/>
  <c r="CG37" i="2"/>
  <c r="DB37" i="2" s="1"/>
  <c r="CA37" i="2"/>
  <c r="DK37" i="2" s="1"/>
  <c r="BZ37" i="2"/>
  <c r="DP37" i="2" s="1"/>
  <c r="BY37" i="2"/>
  <c r="BS37" i="2"/>
  <c r="BR37" i="2"/>
  <c r="BQ37" i="2"/>
  <c r="EU37" i="2" s="1"/>
  <c r="BJ37" i="2"/>
  <c r="BI37" i="2"/>
  <c r="BH37" i="2"/>
  <c r="CN37" i="2" s="1"/>
  <c r="BG37" i="2"/>
  <c r="CM37" i="2" s="1"/>
  <c r="BF37" i="2"/>
  <c r="BE37" i="2"/>
  <c r="CK37" i="2" s="1"/>
  <c r="BD37" i="2"/>
  <c r="CJ37" i="2" s="1"/>
  <c r="BC37" i="2"/>
  <c r="BB37" i="2"/>
  <c r="BA37" i="2"/>
  <c r="AZ37" i="2"/>
  <c r="CF37" i="2" s="1"/>
  <c r="AY37" i="2"/>
  <c r="CE37" i="2" s="1"/>
  <c r="AX37" i="2"/>
  <c r="AW37" i="2"/>
  <c r="CC37" i="2" s="1"/>
  <c r="AV37" i="2"/>
  <c r="CB37" i="2" s="1"/>
  <c r="AU37" i="2"/>
  <c r="AT37" i="2"/>
  <c r="AS37" i="2"/>
  <c r="AR37" i="2"/>
  <c r="BX37" i="2" s="1"/>
  <c r="DR37" i="2" s="1"/>
  <c r="AQ37" i="2"/>
  <c r="BW37" i="2" s="1"/>
  <c r="DJ37" i="2" s="1"/>
  <c r="AP37" i="2"/>
  <c r="AO37" i="2"/>
  <c r="BU37" i="2" s="1"/>
  <c r="DH37" i="2" s="1"/>
  <c r="AN37" i="2"/>
  <c r="BT37" i="2" s="1"/>
  <c r="AM37" i="2"/>
  <c r="AL37" i="2"/>
  <c r="AK37" i="2"/>
  <c r="AJ37" i="2"/>
  <c r="BP37" i="2" s="1"/>
  <c r="AI37" i="2"/>
  <c r="BO37" i="2" s="1"/>
  <c r="DM36" i="2"/>
  <c r="CP36" i="2"/>
  <c r="DQ36" i="2" s="1"/>
  <c r="CO36" i="2"/>
  <c r="DI36" i="2" s="1"/>
  <c r="CN36" i="2"/>
  <c r="CI36" i="2"/>
  <c r="DO36" i="2" s="1"/>
  <c r="CH36" i="2"/>
  <c r="CG36" i="2"/>
  <c r="CF36" i="2"/>
  <c r="CA36" i="2"/>
  <c r="DK36" i="2" s="1"/>
  <c r="BZ36" i="2"/>
  <c r="DP36" i="2" s="1"/>
  <c r="BY36" i="2"/>
  <c r="DN36" i="2" s="1"/>
  <c r="BX36" i="2"/>
  <c r="DR36" i="2" s="1"/>
  <c r="BS36" i="2"/>
  <c r="BR36" i="2"/>
  <c r="BQ36" i="2"/>
  <c r="BP36" i="2"/>
  <c r="BJ36" i="2"/>
  <c r="BI36" i="2"/>
  <c r="BH36" i="2"/>
  <c r="BG36" i="2"/>
  <c r="CM36" i="2" s="1"/>
  <c r="BF36" i="2"/>
  <c r="CL36" i="2" s="1"/>
  <c r="BE36" i="2"/>
  <c r="BD36" i="2"/>
  <c r="CJ36" i="2" s="1"/>
  <c r="BC36" i="2"/>
  <c r="BB36" i="2"/>
  <c r="BA36" i="2"/>
  <c r="AZ36" i="2"/>
  <c r="AY36" i="2"/>
  <c r="CE36" i="2" s="1"/>
  <c r="AX36" i="2"/>
  <c r="CD36" i="2" s="1"/>
  <c r="AW36" i="2"/>
  <c r="AV36" i="2"/>
  <c r="CB36" i="2" s="1"/>
  <c r="AU36" i="2"/>
  <c r="AT36" i="2"/>
  <c r="AS36" i="2"/>
  <c r="AR36" i="2"/>
  <c r="AQ36" i="2"/>
  <c r="BW36" i="2" s="1"/>
  <c r="DJ36" i="2" s="1"/>
  <c r="AP36" i="2"/>
  <c r="BV36" i="2" s="1"/>
  <c r="DL36" i="2" s="1"/>
  <c r="AO36" i="2"/>
  <c r="AN36" i="2"/>
  <c r="BT36" i="2" s="1"/>
  <c r="AM36" i="2"/>
  <c r="AL36" i="2"/>
  <c r="AK36" i="2"/>
  <c r="AJ36" i="2"/>
  <c r="AI36" i="2"/>
  <c r="BO36" i="2" s="1"/>
  <c r="DL35" i="2"/>
  <c r="CP35" i="2"/>
  <c r="DQ35" i="2" s="1"/>
  <c r="CO35" i="2"/>
  <c r="DI35" i="2" s="1"/>
  <c r="CN35" i="2"/>
  <c r="CM35" i="2"/>
  <c r="CY35" i="2" s="1"/>
  <c r="CH35" i="2"/>
  <c r="CG35" i="2"/>
  <c r="CF35" i="2"/>
  <c r="CE35" i="2"/>
  <c r="BZ35" i="2"/>
  <c r="DP35" i="2" s="1"/>
  <c r="BY35" i="2"/>
  <c r="DN35" i="2" s="1"/>
  <c r="BX35" i="2"/>
  <c r="DR35" i="2" s="1"/>
  <c r="BW35" i="2"/>
  <c r="DJ35" i="2" s="1"/>
  <c r="BR35" i="2"/>
  <c r="BQ35" i="2"/>
  <c r="BP35" i="2"/>
  <c r="BO35" i="2"/>
  <c r="BJ35" i="2"/>
  <c r="BI35" i="2"/>
  <c r="BH35" i="2"/>
  <c r="BG35" i="2"/>
  <c r="BF35" i="2"/>
  <c r="CL35" i="2" s="1"/>
  <c r="BE35" i="2"/>
  <c r="CK35" i="2" s="1"/>
  <c r="BD35" i="2"/>
  <c r="BC35" i="2"/>
  <c r="CI35" i="2" s="1"/>
  <c r="DO35" i="2" s="1"/>
  <c r="BB35" i="2"/>
  <c r="BA35" i="2"/>
  <c r="AZ35" i="2"/>
  <c r="AY35" i="2"/>
  <c r="AX35" i="2"/>
  <c r="CD35" i="2" s="1"/>
  <c r="AW35" i="2"/>
  <c r="CC35" i="2" s="1"/>
  <c r="AV35" i="2"/>
  <c r="AU35" i="2"/>
  <c r="CA35" i="2" s="1"/>
  <c r="AT35" i="2"/>
  <c r="AS35" i="2"/>
  <c r="AR35" i="2"/>
  <c r="AQ35" i="2"/>
  <c r="AP35" i="2"/>
  <c r="BV35" i="2" s="1"/>
  <c r="AO35" i="2"/>
  <c r="BU35" i="2" s="1"/>
  <c r="DH35" i="2" s="1"/>
  <c r="AN35" i="2"/>
  <c r="AM35" i="2"/>
  <c r="BS35" i="2" s="1"/>
  <c r="AL35" i="2"/>
  <c r="AK35" i="2"/>
  <c r="AJ35" i="2"/>
  <c r="AI35" i="2"/>
  <c r="DR34" i="2"/>
  <c r="CO34" i="2"/>
  <c r="DI34" i="2" s="1"/>
  <c r="CN34" i="2"/>
  <c r="CM34" i="2"/>
  <c r="CG34" i="2"/>
  <c r="CF34" i="2"/>
  <c r="CE34" i="2"/>
  <c r="BY34" i="2"/>
  <c r="DN34" i="2" s="1"/>
  <c r="BX34" i="2"/>
  <c r="BW34" i="2"/>
  <c r="DJ34" i="2" s="1"/>
  <c r="BQ34" i="2"/>
  <c r="BP34" i="2"/>
  <c r="BO34" i="2"/>
  <c r="BJ34" i="2"/>
  <c r="CP34" i="2" s="1"/>
  <c r="DQ34" i="2" s="1"/>
  <c r="BI34" i="2"/>
  <c r="BH34" i="2"/>
  <c r="BG34" i="2"/>
  <c r="BF34" i="2"/>
  <c r="BE34" i="2"/>
  <c r="CK34" i="2" s="1"/>
  <c r="BD34" i="2"/>
  <c r="BC34" i="2"/>
  <c r="BB34" i="2"/>
  <c r="CH34" i="2" s="1"/>
  <c r="BA34" i="2"/>
  <c r="AZ34" i="2"/>
  <c r="AY34" i="2"/>
  <c r="AX34" i="2"/>
  <c r="AW34" i="2"/>
  <c r="CC34" i="2" s="1"/>
  <c r="AV34" i="2"/>
  <c r="AU34" i="2"/>
  <c r="AT34" i="2"/>
  <c r="BZ34" i="2" s="1"/>
  <c r="DP34" i="2" s="1"/>
  <c r="AS34" i="2"/>
  <c r="AR34" i="2"/>
  <c r="AQ34" i="2"/>
  <c r="AP34" i="2"/>
  <c r="AO34" i="2"/>
  <c r="BU34" i="2" s="1"/>
  <c r="DH34" i="2" s="1"/>
  <c r="AN34" i="2"/>
  <c r="AM34" i="2"/>
  <c r="AL34" i="2"/>
  <c r="BR34" i="2" s="1"/>
  <c r="AK34" i="2"/>
  <c r="AJ34" i="2"/>
  <c r="AI34" i="2"/>
  <c r="DR33" i="2"/>
  <c r="DJ33" i="2"/>
  <c r="CN33" i="2"/>
  <c r="CM33" i="2"/>
  <c r="CL33" i="2"/>
  <c r="CF33" i="2"/>
  <c r="CE33" i="2"/>
  <c r="CD33" i="2"/>
  <c r="BX33" i="2"/>
  <c r="BW33" i="2"/>
  <c r="BV33" i="2"/>
  <c r="DL33" i="2" s="1"/>
  <c r="BP33" i="2"/>
  <c r="BO33" i="2"/>
  <c r="DM33" i="2" s="1"/>
  <c r="BJ33" i="2"/>
  <c r="BI33" i="2"/>
  <c r="CO33" i="2" s="1"/>
  <c r="BH33" i="2"/>
  <c r="BG33" i="2"/>
  <c r="BF33" i="2"/>
  <c r="BE33" i="2"/>
  <c r="BD33" i="2"/>
  <c r="CJ33" i="2" s="1"/>
  <c r="BC33" i="2"/>
  <c r="BB33" i="2"/>
  <c r="BA33" i="2"/>
  <c r="CG33" i="2" s="1"/>
  <c r="AZ33" i="2"/>
  <c r="AY33" i="2"/>
  <c r="AX33" i="2"/>
  <c r="AW33" i="2"/>
  <c r="AV33" i="2"/>
  <c r="CB33" i="2" s="1"/>
  <c r="AU33" i="2"/>
  <c r="AT33" i="2"/>
  <c r="AS33" i="2"/>
  <c r="BY33" i="2" s="1"/>
  <c r="DN33" i="2" s="1"/>
  <c r="AR33" i="2"/>
  <c r="AQ33" i="2"/>
  <c r="AP33" i="2"/>
  <c r="AO33" i="2"/>
  <c r="AN33" i="2"/>
  <c r="BT33" i="2" s="1"/>
  <c r="AM33" i="2"/>
  <c r="AL33" i="2"/>
  <c r="AK33" i="2"/>
  <c r="BQ33" i="2" s="1"/>
  <c r="AJ33" i="2"/>
  <c r="AI33" i="2"/>
  <c r="DJ32" i="2"/>
  <c r="CM32" i="2"/>
  <c r="CK32" i="2"/>
  <c r="CE32" i="2"/>
  <c r="CC32" i="2"/>
  <c r="BW32" i="2"/>
  <c r="BU32" i="2"/>
  <c r="DH32" i="2" s="1"/>
  <c r="BO32" i="2"/>
  <c r="DM32" i="2" s="1"/>
  <c r="BJ32" i="2"/>
  <c r="CP32" i="2" s="1"/>
  <c r="DQ32" i="2" s="1"/>
  <c r="BI32" i="2"/>
  <c r="BH32" i="2"/>
  <c r="CN32" i="2" s="1"/>
  <c r="BG32" i="2"/>
  <c r="BF32" i="2"/>
  <c r="BE32" i="2"/>
  <c r="BD32" i="2"/>
  <c r="BC32" i="2"/>
  <c r="CI32" i="2" s="1"/>
  <c r="DO32" i="2" s="1"/>
  <c r="BB32" i="2"/>
  <c r="CH32" i="2" s="1"/>
  <c r="BA32" i="2"/>
  <c r="AZ32" i="2"/>
  <c r="CF32" i="2" s="1"/>
  <c r="AY32" i="2"/>
  <c r="AX32" i="2"/>
  <c r="AW32" i="2"/>
  <c r="AV32" i="2"/>
  <c r="AU32" i="2"/>
  <c r="CA32" i="2" s="1"/>
  <c r="AT32" i="2"/>
  <c r="BZ32" i="2" s="1"/>
  <c r="DP32" i="2" s="1"/>
  <c r="AS32" i="2"/>
  <c r="AR32" i="2"/>
  <c r="BX32" i="2" s="1"/>
  <c r="DR32" i="2" s="1"/>
  <c r="AQ32" i="2"/>
  <c r="AP32" i="2"/>
  <c r="AO32" i="2"/>
  <c r="AN32" i="2"/>
  <c r="AM32" i="2"/>
  <c r="BS32" i="2" s="1"/>
  <c r="AL32" i="2"/>
  <c r="BR32" i="2" s="1"/>
  <c r="AK32" i="2"/>
  <c r="AJ32" i="2"/>
  <c r="BP32" i="2" s="1"/>
  <c r="AI32" i="2"/>
  <c r="CJ31" i="2"/>
  <c r="CB31" i="2"/>
  <c r="BT31" i="2"/>
  <c r="BJ31" i="2"/>
  <c r="BI31" i="2"/>
  <c r="BH31" i="2"/>
  <c r="CN31" i="2" s="1"/>
  <c r="BG31" i="2"/>
  <c r="CM31" i="2" s="1"/>
  <c r="BF31" i="2"/>
  <c r="BE31" i="2"/>
  <c r="BD31" i="2"/>
  <c r="BC31" i="2"/>
  <c r="BB31" i="2"/>
  <c r="BA31" i="2"/>
  <c r="AZ31" i="2"/>
  <c r="CF31" i="2" s="1"/>
  <c r="AY31" i="2"/>
  <c r="CE31" i="2" s="1"/>
  <c r="AX31" i="2"/>
  <c r="AW31" i="2"/>
  <c r="AV31" i="2"/>
  <c r="AU31" i="2"/>
  <c r="AT31" i="2"/>
  <c r="AS31" i="2"/>
  <c r="AR31" i="2"/>
  <c r="BX31" i="2" s="1"/>
  <c r="DR31" i="2" s="1"/>
  <c r="AQ31" i="2"/>
  <c r="BW31" i="2" s="1"/>
  <c r="DJ31" i="2" s="1"/>
  <c r="AP31" i="2"/>
  <c r="AO31" i="2"/>
  <c r="AN31" i="2"/>
  <c r="AM31" i="2"/>
  <c r="AL31" i="2"/>
  <c r="AK31" i="2"/>
  <c r="AJ31" i="2"/>
  <c r="BP31" i="2" s="1"/>
  <c r="AI31" i="2"/>
  <c r="BO31" i="2" s="1"/>
  <c r="DG30" i="2"/>
  <c r="CA30" i="2"/>
  <c r="BS30" i="2"/>
  <c r="BJ30" i="2"/>
  <c r="BI30" i="2"/>
  <c r="BH30" i="2"/>
  <c r="CN30" i="2" s="1"/>
  <c r="BG30" i="2"/>
  <c r="CM30" i="2" s="1"/>
  <c r="BF30" i="2"/>
  <c r="CL30" i="2" s="1"/>
  <c r="BE30" i="2"/>
  <c r="BD30" i="2"/>
  <c r="BC30" i="2"/>
  <c r="BB30" i="2"/>
  <c r="BA30" i="2"/>
  <c r="AZ30" i="2"/>
  <c r="CF30" i="2" s="1"/>
  <c r="AY30" i="2"/>
  <c r="CE30" i="2" s="1"/>
  <c r="AX30" i="2"/>
  <c r="CD30" i="2" s="1"/>
  <c r="AW30" i="2"/>
  <c r="AV30" i="2"/>
  <c r="AU30" i="2"/>
  <c r="AT30" i="2"/>
  <c r="AS30" i="2"/>
  <c r="AR30" i="2"/>
  <c r="BX30" i="2" s="1"/>
  <c r="DR30" i="2" s="1"/>
  <c r="AQ30" i="2"/>
  <c r="BW30" i="2" s="1"/>
  <c r="DJ30" i="2" s="1"/>
  <c r="AP30" i="2"/>
  <c r="BV30" i="2" s="1"/>
  <c r="DL30" i="2" s="1"/>
  <c r="AO30" i="2"/>
  <c r="AN30" i="2"/>
  <c r="AM30" i="2"/>
  <c r="AL30" i="2"/>
  <c r="AK30" i="2"/>
  <c r="AJ30" i="2"/>
  <c r="BP30" i="2" s="1"/>
  <c r="AI30" i="2"/>
  <c r="BO30" i="2" s="1"/>
  <c r="BR29" i="2"/>
  <c r="BJ29" i="2"/>
  <c r="BI29" i="2"/>
  <c r="BH29" i="2"/>
  <c r="BG29" i="2"/>
  <c r="BF29" i="2"/>
  <c r="CL29" i="2" s="1"/>
  <c r="BE29" i="2"/>
  <c r="CK29" i="2" s="1"/>
  <c r="BD29" i="2"/>
  <c r="BC29" i="2"/>
  <c r="BB29" i="2"/>
  <c r="BA29" i="2"/>
  <c r="AZ29" i="2"/>
  <c r="AY29" i="2"/>
  <c r="AX29" i="2"/>
  <c r="CD29" i="2" s="1"/>
  <c r="AW29" i="2"/>
  <c r="CC29" i="2" s="1"/>
  <c r="AV29" i="2"/>
  <c r="AU29" i="2"/>
  <c r="AT29" i="2"/>
  <c r="AS29" i="2"/>
  <c r="AR29" i="2"/>
  <c r="AQ29" i="2"/>
  <c r="AP29" i="2"/>
  <c r="BV29" i="2" s="1"/>
  <c r="DL29" i="2" s="1"/>
  <c r="AO29" i="2"/>
  <c r="BU29" i="2" s="1"/>
  <c r="DH29" i="2" s="1"/>
  <c r="AN29" i="2"/>
  <c r="AM29" i="2"/>
  <c r="AL29" i="2"/>
  <c r="AK29" i="2"/>
  <c r="AJ29" i="2"/>
  <c r="AI29" i="2"/>
  <c r="EJ4" i="2"/>
  <c r="A2" i="2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A2" i="1"/>
  <c r="DM37" i="1"/>
  <c r="DL37" i="1"/>
  <c r="DJ37" i="1"/>
  <c r="CO37" i="1"/>
  <c r="DI37" i="1" s="1"/>
  <c r="CD37" i="1"/>
  <c r="CC37" i="1"/>
  <c r="CA37" i="1"/>
  <c r="BU37" i="1"/>
  <c r="DH37" i="1" s="1"/>
  <c r="BQ37" i="1"/>
  <c r="BJ37" i="1"/>
  <c r="CP37" i="1" s="1"/>
  <c r="BI37" i="1"/>
  <c r="BH37" i="1"/>
  <c r="CN37" i="1" s="1"/>
  <c r="DG37" i="1" s="1"/>
  <c r="BG37" i="1"/>
  <c r="CM37" i="1" s="1"/>
  <c r="BF37" i="1"/>
  <c r="CL37" i="1" s="1"/>
  <c r="BE37" i="1"/>
  <c r="CK37" i="1" s="1"/>
  <c r="BD37" i="1"/>
  <c r="CJ37" i="1" s="1"/>
  <c r="BC37" i="1"/>
  <c r="CI37" i="1" s="1"/>
  <c r="DO37" i="1" s="1"/>
  <c r="BB37" i="1"/>
  <c r="CH36" i="1" s="1"/>
  <c r="BA37" i="1"/>
  <c r="CG37" i="1" s="1"/>
  <c r="AZ37" i="1"/>
  <c r="CF37" i="1" s="1"/>
  <c r="AY37" i="1"/>
  <c r="CE37" i="1" s="1"/>
  <c r="AX37" i="1"/>
  <c r="AW37" i="1"/>
  <c r="CC36" i="1" s="1"/>
  <c r="AV37" i="1"/>
  <c r="CB37" i="1" s="1"/>
  <c r="AU37" i="1"/>
  <c r="AT37" i="1"/>
  <c r="BZ34" i="1" s="1"/>
  <c r="DP34" i="1" s="1"/>
  <c r="AS37" i="1"/>
  <c r="BY37" i="1" s="1"/>
  <c r="DN37" i="1" s="1"/>
  <c r="AR37" i="1"/>
  <c r="BX37" i="1" s="1"/>
  <c r="DR37" i="1" s="1"/>
  <c r="AQ37" i="1"/>
  <c r="BW37" i="1" s="1"/>
  <c r="AP37" i="1"/>
  <c r="BV37" i="1" s="1"/>
  <c r="AO37" i="1"/>
  <c r="AN37" i="1"/>
  <c r="BT37" i="1" s="1"/>
  <c r="AM37" i="1"/>
  <c r="BS37" i="1" s="1"/>
  <c r="AL37" i="1"/>
  <c r="BR37" i="1" s="1"/>
  <c r="AK37" i="1"/>
  <c r="AJ37" i="1"/>
  <c r="BP37" i="1" s="1"/>
  <c r="AI37" i="1"/>
  <c r="BO37" i="1" s="1"/>
  <c r="DH36" i="1"/>
  <c r="CP36" i="1"/>
  <c r="DQ36" i="1" s="1"/>
  <c r="CO36" i="1"/>
  <c r="DI36" i="1" s="1"/>
  <c r="CI36" i="1"/>
  <c r="DO36" i="1" s="1"/>
  <c r="CE36" i="1"/>
  <c r="BV36" i="1"/>
  <c r="DL36" i="1" s="1"/>
  <c r="BU36" i="1"/>
  <c r="BJ36" i="1"/>
  <c r="BI36" i="1"/>
  <c r="BH36" i="1"/>
  <c r="BG36" i="1"/>
  <c r="BF36" i="1"/>
  <c r="CL36" i="1" s="1"/>
  <c r="BE36" i="1"/>
  <c r="BD36" i="1"/>
  <c r="CJ36" i="1" s="1"/>
  <c r="BC36" i="1"/>
  <c r="BB36" i="1"/>
  <c r="BA36" i="1"/>
  <c r="AZ36" i="1"/>
  <c r="CF36" i="1" s="1"/>
  <c r="AY36" i="1"/>
  <c r="AX36" i="1"/>
  <c r="CD36" i="1" s="1"/>
  <c r="AW36" i="1"/>
  <c r="AV36" i="1"/>
  <c r="AU36" i="1"/>
  <c r="AT36" i="1"/>
  <c r="AS36" i="1"/>
  <c r="AR36" i="1"/>
  <c r="AQ36" i="1"/>
  <c r="AP36" i="1"/>
  <c r="AO36" i="1"/>
  <c r="AN36" i="1"/>
  <c r="BT36" i="1" s="1"/>
  <c r="DT36" i="1" s="1"/>
  <c r="AM36" i="1"/>
  <c r="BS36" i="1" s="1"/>
  <c r="AL36" i="1"/>
  <c r="AK36" i="1"/>
  <c r="BQ36" i="1" s="1"/>
  <c r="AJ36" i="1"/>
  <c r="AI36" i="1"/>
  <c r="CN35" i="1"/>
  <c r="CE35" i="1"/>
  <c r="BW35" i="1"/>
  <c r="DJ35" i="1" s="1"/>
  <c r="BJ35" i="1"/>
  <c r="BI35" i="1"/>
  <c r="BH35" i="1"/>
  <c r="BG35" i="1"/>
  <c r="BF35" i="1"/>
  <c r="BE35" i="1"/>
  <c r="BD35" i="1"/>
  <c r="BC35" i="1"/>
  <c r="CI35" i="1" s="1"/>
  <c r="DO35" i="1" s="1"/>
  <c r="BB35" i="1"/>
  <c r="BA35" i="1"/>
  <c r="AZ35" i="1"/>
  <c r="CF35" i="1" s="1"/>
  <c r="AY35" i="1"/>
  <c r="AX35" i="1"/>
  <c r="AW35" i="1"/>
  <c r="AV35" i="1"/>
  <c r="CB35" i="1" s="1"/>
  <c r="AU35" i="1"/>
  <c r="AT35" i="1"/>
  <c r="AS35" i="1"/>
  <c r="AR35" i="1"/>
  <c r="BX35" i="1" s="1"/>
  <c r="DR35" i="1" s="1"/>
  <c r="AQ35" i="1"/>
  <c r="AP35" i="1"/>
  <c r="AO35" i="1"/>
  <c r="AN35" i="1"/>
  <c r="AM35" i="1"/>
  <c r="AL35" i="1"/>
  <c r="AK35" i="1"/>
  <c r="AJ35" i="1"/>
  <c r="AI35" i="1"/>
  <c r="CI34" i="1"/>
  <c r="DO34" i="1" s="1"/>
  <c r="BT34" i="1"/>
  <c r="BO34" i="1"/>
  <c r="BJ34" i="1"/>
  <c r="BI34" i="1"/>
  <c r="BH34" i="1"/>
  <c r="BG34" i="1"/>
  <c r="CM34" i="1" s="1"/>
  <c r="BF34" i="1"/>
  <c r="CL34" i="1" s="1"/>
  <c r="BE34" i="1"/>
  <c r="BD34" i="1"/>
  <c r="BC34" i="1"/>
  <c r="BB34" i="1"/>
  <c r="BA34" i="1"/>
  <c r="AZ34" i="1"/>
  <c r="AY34" i="1"/>
  <c r="AX34" i="1"/>
  <c r="AW34" i="1"/>
  <c r="AV34" i="1"/>
  <c r="CB34" i="1" s="1"/>
  <c r="AU34" i="1"/>
  <c r="AT34" i="1"/>
  <c r="AS34" i="1"/>
  <c r="AR34" i="1"/>
  <c r="AQ34" i="1"/>
  <c r="AP34" i="1"/>
  <c r="AO34" i="1"/>
  <c r="BU34" i="1" s="1"/>
  <c r="DH34" i="1" s="1"/>
  <c r="AN34" i="1"/>
  <c r="AM34" i="1"/>
  <c r="BS34" i="1" s="1"/>
  <c r="AL34" i="1"/>
  <c r="AK34" i="1"/>
  <c r="AJ34" i="1"/>
  <c r="AI34" i="1"/>
  <c r="CI33" i="1"/>
  <c r="DO33" i="1" s="1"/>
  <c r="BJ33" i="1"/>
  <c r="CP32" i="1" s="1"/>
  <c r="DQ32" i="1" s="1"/>
  <c r="BI33" i="1"/>
  <c r="BH33" i="1"/>
  <c r="BG33" i="1"/>
  <c r="BF33" i="1"/>
  <c r="BE33" i="1"/>
  <c r="CK33" i="1" s="1"/>
  <c r="BD33" i="1"/>
  <c r="BC33" i="1"/>
  <c r="BB33" i="1"/>
  <c r="CH33" i="1" s="1"/>
  <c r="BA33" i="1"/>
  <c r="AZ33" i="1"/>
  <c r="AY33" i="1"/>
  <c r="AX33" i="1"/>
  <c r="AW33" i="1"/>
  <c r="AV33" i="1"/>
  <c r="AU33" i="1"/>
  <c r="AT33" i="1"/>
  <c r="BZ33" i="1" s="1"/>
  <c r="DP33" i="1" s="1"/>
  <c r="AS33" i="1"/>
  <c r="AR33" i="1"/>
  <c r="AQ33" i="1"/>
  <c r="AP33" i="1"/>
  <c r="AO33" i="1"/>
  <c r="BU33" i="1" s="1"/>
  <c r="DH33" i="1" s="1"/>
  <c r="AN33" i="1"/>
  <c r="BT31" i="1" s="1"/>
  <c r="AM33" i="1"/>
  <c r="AL33" i="1"/>
  <c r="AK33" i="1"/>
  <c r="AJ33" i="1"/>
  <c r="AI33" i="1"/>
  <c r="CD32" i="1"/>
  <c r="CC32" i="1"/>
  <c r="BU32" i="1"/>
  <c r="DH32" i="1" s="1"/>
  <c r="BJ32" i="1"/>
  <c r="BI32" i="1"/>
  <c r="BH32" i="1"/>
  <c r="BG32" i="1"/>
  <c r="BF32" i="1"/>
  <c r="BE32" i="1"/>
  <c r="BD32" i="1"/>
  <c r="BC32" i="1"/>
  <c r="BB32" i="1"/>
  <c r="BA32" i="1"/>
  <c r="AZ32" i="1"/>
  <c r="AY32" i="1"/>
  <c r="CE32" i="1" s="1"/>
  <c r="AX32" i="1"/>
  <c r="AW32" i="1"/>
  <c r="AV32" i="1"/>
  <c r="AU32" i="1"/>
  <c r="CA32" i="1" s="1"/>
  <c r="AT32" i="1"/>
  <c r="AS32" i="1"/>
  <c r="BY32" i="1" s="1"/>
  <c r="DN32" i="1" s="1"/>
  <c r="AR32" i="1"/>
  <c r="AQ32" i="1"/>
  <c r="AP32" i="1"/>
  <c r="AO32" i="1"/>
  <c r="AN32" i="1"/>
  <c r="AM32" i="1"/>
  <c r="AL32" i="1"/>
  <c r="AK32" i="1"/>
  <c r="AJ32" i="1"/>
  <c r="AI32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CD31" i="1" s="1"/>
  <c r="AW31" i="1"/>
  <c r="CC31" i="1" s="1"/>
  <c r="AV31" i="1"/>
  <c r="AU31" i="1"/>
  <c r="AT31" i="1"/>
  <c r="AS31" i="1"/>
  <c r="AR31" i="1"/>
  <c r="AQ31" i="1"/>
  <c r="AP31" i="1"/>
  <c r="BV31" i="1" s="1"/>
  <c r="DL31" i="1" s="1"/>
  <c r="AO31" i="1"/>
  <c r="BU31" i="1" s="1"/>
  <c r="DH31" i="1" s="1"/>
  <c r="AN31" i="1"/>
  <c r="AM31" i="1"/>
  <c r="AL31" i="1"/>
  <c r="AK31" i="1"/>
  <c r="AJ31" i="1"/>
  <c r="AI31" i="1"/>
  <c r="CK30" i="1"/>
  <c r="BJ30" i="1"/>
  <c r="BI30" i="1"/>
  <c r="BH30" i="1"/>
  <c r="BG30" i="1"/>
  <c r="BF30" i="1"/>
  <c r="BE30" i="1"/>
  <c r="BD30" i="1"/>
  <c r="BC30" i="1"/>
  <c r="BB30" i="1"/>
  <c r="BA30" i="1"/>
  <c r="CG30" i="1" s="1"/>
  <c r="AZ30" i="1"/>
  <c r="AY30" i="1"/>
  <c r="CE30" i="1" s="1"/>
  <c r="AX30" i="1"/>
  <c r="AW30" i="1"/>
  <c r="AV30" i="1"/>
  <c r="CB30" i="1" s="1"/>
  <c r="AU30" i="1"/>
  <c r="CA30" i="1" s="1"/>
  <c r="AT30" i="1"/>
  <c r="AS30" i="1"/>
  <c r="BY30" i="1" s="1"/>
  <c r="DN30" i="1" s="1"/>
  <c r="AR30" i="1"/>
  <c r="AQ30" i="1"/>
  <c r="AP30" i="1"/>
  <c r="AO30" i="1"/>
  <c r="AN30" i="1"/>
  <c r="AM30" i="1"/>
  <c r="AL30" i="1"/>
  <c r="AK30" i="1"/>
  <c r="AJ30" i="1"/>
  <c r="AI30" i="1"/>
  <c r="BO30" i="1" s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BX29" i="1" s="1"/>
  <c r="DR29" i="1" s="1"/>
  <c r="AQ29" i="1"/>
  <c r="BW29" i="1" s="1"/>
  <c r="DJ29" i="1" s="1"/>
  <c r="AP29" i="1"/>
  <c r="BV29" i="1" s="1"/>
  <c r="DL29" i="1" s="1"/>
  <c r="AO29" i="1"/>
  <c r="BU29" i="1" s="1"/>
  <c r="DH29" i="1" s="1"/>
  <c r="AN29" i="1"/>
  <c r="AM29" i="1"/>
  <c r="AL29" i="1"/>
  <c r="AK29" i="1"/>
  <c r="BQ29" i="1" s="1"/>
  <c r="AJ29" i="1"/>
  <c r="AI29" i="1"/>
  <c r="EJ4" i="1"/>
  <c r="BD3" i="3" l="1"/>
  <c r="AI2" i="1"/>
  <c r="BF10" i="2"/>
  <c r="AJ8" i="3"/>
  <c r="BD4" i="3"/>
  <c r="BE3" i="3"/>
  <c r="BI8" i="3"/>
  <c r="BI10" i="3"/>
  <c r="BG12" i="3"/>
  <c r="AU13" i="3"/>
  <c r="AI14" i="3"/>
  <c r="AQ14" i="3"/>
  <c r="AY14" i="3"/>
  <c r="BG14" i="3"/>
  <c r="AM14" i="3"/>
  <c r="BC14" i="3"/>
  <c r="AI15" i="3"/>
  <c r="AM17" i="3"/>
  <c r="AU17" i="3"/>
  <c r="BC17" i="3"/>
  <c r="AI18" i="3"/>
  <c r="AQ18" i="3"/>
  <c r="AY18" i="3"/>
  <c r="BG18" i="3"/>
  <c r="AM19" i="3"/>
  <c r="AU19" i="3"/>
  <c r="AI20" i="3"/>
  <c r="AY20" i="3"/>
  <c r="AM21" i="3"/>
  <c r="AU21" i="3"/>
  <c r="AQ22" i="3"/>
  <c r="BG22" i="3"/>
  <c r="AU23" i="3"/>
  <c r="AI24" i="3"/>
  <c r="AY24" i="3"/>
  <c r="AM25" i="3"/>
  <c r="AU25" i="3"/>
  <c r="AI26" i="3"/>
  <c r="AQ26" i="3"/>
  <c r="AY26" i="3"/>
  <c r="AM27" i="3"/>
  <c r="AP4" i="2"/>
  <c r="AZ14" i="3"/>
  <c r="BH12" i="3"/>
  <c r="BH14" i="3"/>
  <c r="BH18" i="3"/>
  <c r="AV19" i="3"/>
  <c r="AW11" i="3"/>
  <c r="BE11" i="3"/>
  <c r="AW21" i="3"/>
  <c r="AN3" i="3"/>
  <c r="AN7" i="3"/>
  <c r="BH10" i="3"/>
  <c r="AK14" i="3"/>
  <c r="CP34" i="3"/>
  <c r="BT29" i="3"/>
  <c r="CB29" i="3"/>
  <c r="CJ29" i="3"/>
  <c r="BS31" i="3"/>
  <c r="CA31" i="3"/>
  <c r="DK31" i="3" s="1"/>
  <c r="CI31" i="3"/>
  <c r="DO31" i="3" s="1"/>
  <c r="BQ33" i="3"/>
  <c r="BY33" i="3"/>
  <c r="DN33" i="3" s="1"/>
  <c r="CO33" i="3"/>
  <c r="CF33" i="3"/>
  <c r="AQ15" i="3"/>
  <c r="AY15" i="3"/>
  <c r="BC18" i="3"/>
  <c r="AQ19" i="3"/>
  <c r="BC20" i="3"/>
  <c r="AI21" i="3"/>
  <c r="AY21" i="3"/>
  <c r="AM22" i="3"/>
  <c r="BC22" i="3"/>
  <c r="AQ23" i="3"/>
  <c r="BC24" i="3"/>
  <c r="CC29" i="3"/>
  <c r="BO32" i="3"/>
  <c r="DM32" i="3" s="1"/>
  <c r="CE32" i="3"/>
  <c r="BR33" i="3"/>
  <c r="CH33" i="3"/>
  <c r="CP33" i="3"/>
  <c r="DQ33" i="3" s="1"/>
  <c r="BD6" i="3"/>
  <c r="AZ8" i="3"/>
  <c r="BH8" i="3"/>
  <c r="AV8" i="3"/>
  <c r="AN10" i="3"/>
  <c r="AR16" i="3"/>
  <c r="CH35" i="3"/>
  <c r="CP35" i="3"/>
  <c r="BS30" i="3"/>
  <c r="CA30" i="3"/>
  <c r="CI30" i="3"/>
  <c r="DO30" i="3" s="1"/>
  <c r="BO31" i="3"/>
  <c r="BW31" i="3"/>
  <c r="DJ31" i="3" s="1"/>
  <c r="CE31" i="3"/>
  <c r="CM31" i="3"/>
  <c r="CG34" i="3"/>
  <c r="CK30" i="3"/>
  <c r="BZ34" i="3"/>
  <c r="DP34" i="3" s="1"/>
  <c r="CC30" i="3"/>
  <c r="BR34" i="3"/>
  <c r="CH34" i="3"/>
  <c r="BS34" i="3"/>
  <c r="CI34" i="3"/>
  <c r="DO34" i="3" s="1"/>
  <c r="BV35" i="3"/>
  <c r="DL35" i="3" s="1"/>
  <c r="CD35" i="3"/>
  <c r="CL35" i="3"/>
  <c r="CX35" i="3" s="1"/>
  <c r="AT5" i="3"/>
  <c r="BB7" i="3"/>
  <c r="DI33" i="3"/>
  <c r="DQ34" i="3"/>
  <c r="CN29" i="3"/>
  <c r="BZ32" i="3"/>
  <c r="DP32" i="3" s="1"/>
  <c r="BZ29" i="3"/>
  <c r="DP29" i="3" s="1"/>
  <c r="BU32" i="3"/>
  <c r="DH32" i="3" s="1"/>
  <c r="CC32" i="3"/>
  <c r="CK32" i="3"/>
  <c r="BU33" i="3"/>
  <c r="DH33" i="3" s="1"/>
  <c r="CC33" i="3"/>
  <c r="CK33" i="3"/>
  <c r="CO34" i="3"/>
  <c r="BT35" i="3"/>
  <c r="DS35" i="3" s="1"/>
  <c r="AI2" i="3"/>
  <c r="AQ2" i="3"/>
  <c r="AY2" i="3"/>
  <c r="BG2" i="3"/>
  <c r="AM3" i="3"/>
  <c r="BC3" i="3"/>
  <c r="AI4" i="3"/>
  <c r="AQ3" i="3"/>
  <c r="AY3" i="3"/>
  <c r="BG4" i="3"/>
  <c r="AM4" i="3"/>
  <c r="AU5" i="3"/>
  <c r="BC5" i="3"/>
  <c r="AI6" i="3"/>
  <c r="AV10" i="3"/>
  <c r="BD10" i="3"/>
  <c r="AN12" i="3"/>
  <c r="AN15" i="3"/>
  <c r="AV14" i="3"/>
  <c r="AZ15" i="3"/>
  <c r="BH16" i="3"/>
  <c r="AN16" i="3"/>
  <c r="AV16" i="3"/>
  <c r="BD16" i="3"/>
  <c r="AJ18" i="3"/>
  <c r="BD19" i="3"/>
  <c r="AJ20" i="3"/>
  <c r="AR19" i="3"/>
  <c r="AN21" i="3"/>
  <c r="BD20" i="3"/>
  <c r="AZ21" i="3"/>
  <c r="BH22" i="3"/>
  <c r="AN23" i="3"/>
  <c r="AV23" i="3"/>
  <c r="BD23" i="3"/>
  <c r="AR24" i="3"/>
  <c r="AR25" i="3"/>
  <c r="AZ25" i="3"/>
  <c r="BH25" i="3"/>
  <c r="BP30" i="3"/>
  <c r="BX30" i="3"/>
  <c r="DR30" i="3" s="1"/>
  <c r="CN30" i="3"/>
  <c r="CB35" i="3"/>
  <c r="BQ35" i="3"/>
  <c r="BY35" i="3"/>
  <c r="DN35" i="3" s="1"/>
  <c r="CG35" i="3"/>
  <c r="CO35" i="3"/>
  <c r="BQ30" i="3"/>
  <c r="BY30" i="3"/>
  <c r="DN30" i="3" s="1"/>
  <c r="CG30" i="3"/>
  <c r="CO30" i="3"/>
  <c r="BQ31" i="3"/>
  <c r="BY31" i="3"/>
  <c r="DN31" i="3" s="1"/>
  <c r="CG31" i="3"/>
  <c r="CO31" i="3"/>
  <c r="BX32" i="3"/>
  <c r="DR32" i="3" s="1"/>
  <c r="CN32" i="3"/>
  <c r="BP33" i="3"/>
  <c r="BX33" i="3"/>
  <c r="DR33" i="3" s="1"/>
  <c r="CN33" i="3"/>
  <c r="DQ36" i="3"/>
  <c r="CF30" i="3"/>
  <c r="BO29" i="3"/>
  <c r="DM29" i="3" s="1"/>
  <c r="BW29" i="3"/>
  <c r="DJ29" i="3" s="1"/>
  <c r="CE29" i="3"/>
  <c r="CM29" i="3"/>
  <c r="BR31" i="3"/>
  <c r="BZ31" i="3"/>
  <c r="DP31" i="3" s="1"/>
  <c r="CH31" i="3"/>
  <c r="CP31" i="3"/>
  <c r="BU34" i="3"/>
  <c r="DH34" i="3" s="1"/>
  <c r="CC34" i="3"/>
  <c r="ET34" i="3" s="1"/>
  <c r="CK34" i="3"/>
  <c r="BP34" i="3"/>
  <c r="BX34" i="3"/>
  <c r="DR34" i="3" s="1"/>
  <c r="CF34" i="3"/>
  <c r="CN34" i="3"/>
  <c r="BX29" i="3"/>
  <c r="DR29" i="3" s="1"/>
  <c r="BU30" i="3"/>
  <c r="DH30" i="3" s="1"/>
  <c r="CH32" i="3"/>
  <c r="CJ35" i="3"/>
  <c r="CB36" i="3"/>
  <c r="CF29" i="3"/>
  <c r="BR32" i="3"/>
  <c r="BT36" i="3"/>
  <c r="CJ36" i="3"/>
  <c r="BQ29" i="3"/>
  <c r="BY29" i="3"/>
  <c r="DN29" i="3" s="1"/>
  <c r="CG29" i="3"/>
  <c r="CO29" i="3"/>
  <c r="BT30" i="3"/>
  <c r="CB30" i="3"/>
  <c r="CJ30" i="3"/>
  <c r="BS32" i="3"/>
  <c r="CA32" i="3"/>
  <c r="DK32" i="3" s="1"/>
  <c r="CI32" i="3"/>
  <c r="DO32" i="3" s="1"/>
  <c r="DQ35" i="3"/>
  <c r="BP29" i="3"/>
  <c r="CK29" i="3"/>
  <c r="CP32" i="3"/>
  <c r="BR29" i="3"/>
  <c r="CH29" i="3"/>
  <c r="CP29" i="3"/>
  <c r="BU31" i="3"/>
  <c r="DH31" i="3" s="1"/>
  <c r="CC31" i="3"/>
  <c r="CK31" i="3"/>
  <c r="BP32" i="3"/>
  <c r="BT33" i="3"/>
  <c r="DT33" i="3" s="1"/>
  <c r="CB33" i="3"/>
  <c r="CJ33" i="3"/>
  <c r="BS35" i="3"/>
  <c r="CA35" i="3"/>
  <c r="DK35" i="3" s="1"/>
  <c r="DQ37" i="3"/>
  <c r="AQ6" i="3"/>
  <c r="AY6" i="3"/>
  <c r="BG5" i="3"/>
  <c r="AM7" i="3"/>
  <c r="AU7" i="3"/>
  <c r="BC7" i="3"/>
  <c r="AQ7" i="3"/>
  <c r="AY8" i="3"/>
  <c r="BG7" i="3"/>
  <c r="AM9" i="3"/>
  <c r="AU9" i="3"/>
  <c r="BC9" i="3"/>
  <c r="AQ9" i="3"/>
  <c r="AY9" i="3"/>
  <c r="BG9" i="3"/>
  <c r="AM10" i="3"/>
  <c r="AU11" i="3"/>
  <c r="AI12" i="3"/>
  <c r="AQ12" i="3"/>
  <c r="AY12" i="3"/>
  <c r="AM12" i="3"/>
  <c r="BC12" i="3"/>
  <c r="AR28" i="3"/>
  <c r="BX28" i="3" s="1"/>
  <c r="DR28" i="3" s="1"/>
  <c r="AZ28" i="3"/>
  <c r="CF28" i="3" s="1"/>
  <c r="BH28" i="3"/>
  <c r="CN28" i="3" s="1"/>
  <c r="DG28" i="3" s="1"/>
  <c r="BI2" i="3"/>
  <c r="BI3" i="3"/>
  <c r="AW4" i="3"/>
  <c r="BE6" i="3"/>
  <c r="AW8" i="3"/>
  <c r="AS12" i="3"/>
  <c r="BA11" i="3"/>
  <c r="BI12" i="3"/>
  <c r="AW13" i="3"/>
  <c r="BE13" i="3"/>
  <c r="BE15" i="3"/>
  <c r="AK16" i="3"/>
  <c r="BA16" i="3"/>
  <c r="AW19" i="3"/>
  <c r="BA20" i="3"/>
  <c r="AW23" i="3"/>
  <c r="AK24" i="3"/>
  <c r="AS24" i="3"/>
  <c r="BA24" i="3"/>
  <c r="BI24" i="3"/>
  <c r="AW25" i="3"/>
  <c r="BE25" i="3"/>
  <c r="AK26" i="3"/>
  <c r="AS25" i="3"/>
  <c r="BA25" i="3"/>
  <c r="BI26" i="3"/>
  <c r="AO26" i="3"/>
  <c r="AW26" i="3"/>
  <c r="BS33" i="3"/>
  <c r="CA33" i="3"/>
  <c r="EO33" i="3" s="1"/>
  <c r="CI33" i="3"/>
  <c r="DO33" i="3" s="1"/>
  <c r="BT34" i="3"/>
  <c r="CB34" i="3"/>
  <c r="CJ34" i="3"/>
  <c r="BR36" i="3"/>
  <c r="BZ36" i="3"/>
  <c r="DP36" i="3" s="1"/>
  <c r="AT26" i="3"/>
  <c r="BJ26" i="3"/>
  <c r="AP27" i="3"/>
  <c r="AP28" i="3"/>
  <c r="BV28" i="3" s="1"/>
  <c r="DL28" i="3" s="1"/>
  <c r="BV32" i="3"/>
  <c r="DL32" i="3" s="1"/>
  <c r="CD32" i="3"/>
  <c r="CL32" i="3"/>
  <c r="CM33" i="3"/>
  <c r="BO36" i="3"/>
  <c r="DM36" i="3" s="1"/>
  <c r="BW36" i="3"/>
  <c r="DJ36" i="3" s="1"/>
  <c r="CE36" i="3"/>
  <c r="CM36" i="3"/>
  <c r="AO12" i="3"/>
  <c r="AS13" i="3"/>
  <c r="AS15" i="3"/>
  <c r="BI15" i="3"/>
  <c r="AO17" i="3"/>
  <c r="AW17" i="3"/>
  <c r="BE16" i="3"/>
  <c r="AK17" i="3"/>
  <c r="AS17" i="3"/>
  <c r="BA17" i="3"/>
  <c r="BI17" i="3"/>
  <c r="AO18" i="3"/>
  <c r="BE18" i="3"/>
  <c r="AK20" i="3"/>
  <c r="BI19" i="3"/>
  <c r="AO20" i="3"/>
  <c r="BE20" i="3"/>
  <c r="BA22" i="3"/>
  <c r="BI21" i="3"/>
  <c r="AO23" i="3"/>
  <c r="BE22" i="3"/>
  <c r="AO24" i="3"/>
  <c r="AX4" i="2"/>
  <c r="AT11" i="2"/>
  <c r="AL15" i="2"/>
  <c r="BB15" i="2"/>
  <c r="AX15" i="2"/>
  <c r="BB17" i="2"/>
  <c r="AL22" i="2"/>
  <c r="BB22" i="2"/>
  <c r="AP23" i="2"/>
  <c r="BF23" i="2"/>
  <c r="AT26" i="2"/>
  <c r="AL2" i="3"/>
  <c r="AT2" i="3"/>
  <c r="BB2" i="3"/>
  <c r="BJ2" i="3"/>
  <c r="AP3" i="3"/>
  <c r="AX3" i="3"/>
  <c r="BF3" i="3"/>
  <c r="AL4" i="3"/>
  <c r="AT3" i="3"/>
  <c r="BB3" i="3"/>
  <c r="BJ3" i="3"/>
  <c r="AP5" i="3"/>
  <c r="AX5" i="3"/>
  <c r="BF5" i="3"/>
  <c r="AL6" i="3"/>
  <c r="AT6" i="3"/>
  <c r="BB6" i="3"/>
  <c r="BJ5" i="3"/>
  <c r="AP7" i="3"/>
  <c r="AX6" i="3"/>
  <c r="BF7" i="3"/>
  <c r="AL7" i="3"/>
  <c r="AT7" i="3"/>
  <c r="BB8" i="3"/>
  <c r="BJ8" i="3"/>
  <c r="AP9" i="3"/>
  <c r="AX8" i="3"/>
  <c r="BF9" i="3"/>
  <c r="AL9" i="3"/>
  <c r="AT10" i="3"/>
  <c r="BJ10" i="3"/>
  <c r="AL12" i="3"/>
  <c r="AT12" i="3"/>
  <c r="BJ12" i="3"/>
  <c r="BF12" i="3"/>
  <c r="AL13" i="3"/>
  <c r="AT14" i="3"/>
  <c r="BJ14" i="3"/>
  <c r="BF15" i="3"/>
  <c r="AT16" i="3"/>
  <c r="BJ16" i="3"/>
  <c r="AP17" i="3"/>
  <c r="BF16" i="3"/>
  <c r="AT18" i="3"/>
  <c r="BJ18" i="3"/>
  <c r="BF18" i="3"/>
  <c r="AT20" i="3"/>
  <c r="BJ20" i="3"/>
  <c r="AP21" i="3"/>
  <c r="AT22" i="3"/>
  <c r="AP23" i="3"/>
  <c r="AT24" i="3"/>
  <c r="BJ24" i="3"/>
  <c r="AY13" i="2"/>
  <c r="BH4" i="2"/>
  <c r="BH6" i="2"/>
  <c r="BD6" i="2"/>
  <c r="BD8" i="2"/>
  <c r="AJ16" i="2"/>
  <c r="AJ18" i="2"/>
  <c r="AJ19" i="2"/>
  <c r="AN21" i="2"/>
  <c r="AJ21" i="2"/>
  <c r="BH21" i="2"/>
  <c r="BH24" i="2"/>
  <c r="AN26" i="2"/>
  <c r="AV26" i="2"/>
  <c r="BD28" i="2"/>
  <c r="CJ28" i="2" s="1"/>
  <c r="BB16" i="2"/>
  <c r="AL2" i="2"/>
  <c r="AT2" i="2"/>
  <c r="BB2" i="2"/>
  <c r="BF3" i="2"/>
  <c r="AL4" i="2"/>
  <c r="AT4" i="2"/>
  <c r="BB4" i="2"/>
  <c r="BF5" i="2"/>
  <c r="AL6" i="2"/>
  <c r="AT6" i="2"/>
  <c r="BB5" i="2"/>
  <c r="AX7" i="2"/>
  <c r="BF7" i="2"/>
  <c r="AT8" i="2"/>
  <c r="BB8" i="2"/>
  <c r="BF9" i="2"/>
  <c r="AX12" i="3"/>
  <c r="BB22" i="3"/>
  <c r="BB27" i="3"/>
  <c r="AX28" i="3"/>
  <c r="AS19" i="3"/>
  <c r="AJ11" i="3"/>
  <c r="BF10" i="3"/>
  <c r="AT19" i="3"/>
  <c r="AN4" i="3"/>
  <c r="AU14" i="3"/>
  <c r="BG15" i="3"/>
  <c r="BG19" i="3"/>
  <c r="BG23" i="3"/>
  <c r="BG25" i="3"/>
  <c r="BJ21" i="3"/>
  <c r="BJ28" i="3"/>
  <c r="CP28" i="3" s="1"/>
  <c r="AX11" i="3"/>
  <c r="BB12" i="3"/>
  <c r="BB14" i="3"/>
  <c r="AX15" i="3"/>
  <c r="AL16" i="3"/>
  <c r="BB15" i="3"/>
  <c r="AX17" i="3"/>
  <c r="AL18" i="3"/>
  <c r="BB18" i="3"/>
  <c r="AX19" i="3"/>
  <c r="AL20" i="3"/>
  <c r="BB20" i="3"/>
  <c r="AX21" i="3"/>
  <c r="BF21" i="3"/>
  <c r="AL22" i="3"/>
  <c r="BB21" i="3"/>
  <c r="AX23" i="3"/>
  <c r="BF23" i="3"/>
  <c r="AL23" i="3"/>
  <c r="AX25" i="3"/>
  <c r="AL25" i="3"/>
  <c r="BB26" i="3"/>
  <c r="BF27" i="3"/>
  <c r="AL27" i="3"/>
  <c r="BB28" i="3"/>
  <c r="CH28" i="3" s="1"/>
  <c r="AK2" i="3"/>
  <c r="AS2" i="3"/>
  <c r="BA2" i="3"/>
  <c r="AO3" i="3"/>
  <c r="AS4" i="3"/>
  <c r="BA3" i="3"/>
  <c r="AO5" i="3"/>
  <c r="AS6" i="3"/>
  <c r="BA6" i="3"/>
  <c r="AO7" i="3"/>
  <c r="AS8" i="3"/>
  <c r="BA7" i="3"/>
  <c r="AO8" i="3"/>
  <c r="BE9" i="3"/>
  <c r="AK9" i="3"/>
  <c r="AS9" i="3"/>
  <c r="BA9" i="3"/>
  <c r="AK11" i="3"/>
  <c r="BJ9" i="3"/>
  <c r="AP10" i="3"/>
  <c r="AP3" i="2"/>
  <c r="AP5" i="2"/>
  <c r="AP7" i="2"/>
  <c r="AP8" i="2"/>
  <c r="AL24" i="2"/>
  <c r="AL3" i="3"/>
  <c r="AZ17" i="3"/>
  <c r="BI20" i="2"/>
  <c r="AP28" i="2"/>
  <c r="BV28" i="2" s="1"/>
  <c r="DL28" i="2" s="1"/>
  <c r="AW4" i="2"/>
  <c r="BE19" i="2"/>
  <c r="AW26" i="2"/>
  <c r="BJ27" i="2"/>
  <c r="AZ5" i="2"/>
  <c r="AU11" i="2"/>
  <c r="AT23" i="3"/>
  <c r="BB23" i="3"/>
  <c r="AX26" i="3"/>
  <c r="AT27" i="3"/>
  <c r="BG14" i="2"/>
  <c r="AR8" i="2"/>
  <c r="AZ7" i="2"/>
  <c r="AR9" i="2"/>
  <c r="AZ20" i="2"/>
  <c r="BB4" i="3"/>
  <c r="BB16" i="3"/>
  <c r="BJ2" i="2"/>
  <c r="BJ4" i="2"/>
  <c r="AX5" i="2"/>
  <c r="BJ6" i="2"/>
  <c r="AX6" i="2"/>
  <c r="AX8" i="2"/>
  <c r="AL14" i="3"/>
  <c r="AL19" i="3"/>
  <c r="BH3" i="2"/>
  <c r="BJ6" i="3"/>
  <c r="BF8" i="3"/>
  <c r="AX9" i="3"/>
  <c r="BB11" i="3"/>
  <c r="AT13" i="3"/>
  <c r="AT15" i="3"/>
  <c r="AX20" i="3"/>
  <c r="BJ23" i="3"/>
  <c r="BB25" i="3"/>
  <c r="AU26" i="3"/>
  <c r="BC27" i="3"/>
  <c r="AI28" i="3"/>
  <c r="BO28" i="3" s="1"/>
  <c r="DM28" i="3" s="1"/>
  <c r="AQ28" i="3"/>
  <c r="BW28" i="3" s="1"/>
  <c r="DJ28" i="3" s="1"/>
  <c r="AY28" i="3"/>
  <c r="CE28" i="3" s="1"/>
  <c r="BG28" i="3"/>
  <c r="CM28" i="3" s="1"/>
  <c r="AM28" i="3"/>
  <c r="BS28" i="3" s="1"/>
  <c r="AU28" i="3"/>
  <c r="CA28" i="3" s="1"/>
  <c r="DK28" i="3" s="1"/>
  <c r="BC28" i="3"/>
  <c r="CI28" i="3" s="1"/>
  <c r="DO28" i="3" s="1"/>
  <c r="BF6" i="2"/>
  <c r="BF6" i="3"/>
  <c r="AL8" i="3"/>
  <c r="AL10" i="3"/>
  <c r="BJ11" i="3"/>
  <c r="BB13" i="3"/>
  <c r="BJ15" i="3"/>
  <c r="BF20" i="3"/>
  <c r="AP22" i="3"/>
  <c r="BJ25" i="3"/>
  <c r="AX27" i="3"/>
  <c r="AN28" i="3"/>
  <c r="BT28" i="3" s="1"/>
  <c r="DS28" i="3" s="1"/>
  <c r="AV28" i="3"/>
  <c r="CB28" i="3" s="1"/>
  <c r="BD28" i="3"/>
  <c r="CJ28" i="3" s="1"/>
  <c r="AT4" i="3"/>
  <c r="AL5" i="3"/>
  <c r="AT8" i="3"/>
  <c r="BF11" i="3"/>
  <c r="BJ13" i="3"/>
  <c r="AX18" i="3"/>
  <c r="AX22" i="3"/>
  <c r="AL24" i="3"/>
  <c r="AL26" i="3"/>
  <c r="AL28" i="3"/>
  <c r="BR28" i="3" s="1"/>
  <c r="BJ27" i="3"/>
  <c r="BF28" i="3"/>
  <c r="CL28" i="3" s="1"/>
  <c r="AR21" i="1"/>
  <c r="AK2" i="2"/>
  <c r="AS2" i="2"/>
  <c r="BA2" i="2"/>
  <c r="BI2" i="2"/>
  <c r="AO3" i="2"/>
  <c r="AW3" i="2"/>
  <c r="BE3" i="2"/>
  <c r="AK4" i="2"/>
  <c r="AS3" i="2"/>
  <c r="BA3" i="2"/>
  <c r="BI4" i="2"/>
  <c r="AO4" i="2"/>
  <c r="BE4" i="2"/>
  <c r="AK6" i="2"/>
  <c r="AS6" i="2"/>
  <c r="BA6" i="2"/>
  <c r="BI6" i="2"/>
  <c r="AO6" i="2"/>
  <c r="AW6" i="2"/>
  <c r="AK8" i="2"/>
  <c r="AS8" i="2"/>
  <c r="BA8" i="2"/>
  <c r="BI8" i="2"/>
  <c r="AO8" i="2"/>
  <c r="AW8" i="2"/>
  <c r="BE8" i="2"/>
  <c r="AS10" i="2"/>
  <c r="BI9" i="2"/>
  <c r="BE11" i="2"/>
  <c r="AS12" i="2"/>
  <c r="BA11" i="2"/>
  <c r="BI11" i="2"/>
  <c r="AS13" i="2"/>
  <c r="BI14" i="2"/>
  <c r="BE15" i="2"/>
  <c r="AK15" i="2"/>
  <c r="BI16" i="2"/>
  <c r="BE17" i="2"/>
  <c r="AS17" i="2"/>
  <c r="BI17" i="2"/>
  <c r="BE18" i="2"/>
  <c r="AK20" i="2"/>
  <c r="AS19" i="2"/>
  <c r="AO21" i="2"/>
  <c r="BE21" i="2"/>
  <c r="AK21" i="2"/>
  <c r="AS22" i="2"/>
  <c r="AO23" i="2"/>
  <c r="BE22" i="2"/>
  <c r="AK24" i="2"/>
  <c r="AS24" i="2"/>
  <c r="BA24" i="2"/>
  <c r="AO27" i="2"/>
  <c r="AK28" i="2"/>
  <c r="BQ28" i="2" s="1"/>
  <c r="AO28" i="2"/>
  <c r="BU28" i="2" s="1"/>
  <c r="DH28" i="2" s="1"/>
  <c r="BE28" i="2"/>
  <c r="CK28" i="2" s="1"/>
  <c r="BB5" i="3"/>
  <c r="BJ7" i="3"/>
  <c r="BF22" i="3"/>
  <c r="AX24" i="3"/>
  <c r="AP26" i="3"/>
  <c r="AT28" i="3"/>
  <c r="BZ28" i="3" s="1"/>
  <c r="DP28" i="3" s="1"/>
  <c r="AL10" i="2"/>
  <c r="AT10" i="2"/>
  <c r="BB10" i="2"/>
  <c r="BJ10" i="2"/>
  <c r="AP10" i="2"/>
  <c r="AX11" i="2"/>
  <c r="BF11" i="2"/>
  <c r="AL11" i="2"/>
  <c r="BB12" i="2"/>
  <c r="BJ12" i="2"/>
  <c r="AP13" i="2"/>
  <c r="AX13" i="2"/>
  <c r="BF12" i="2"/>
  <c r="AL13" i="2"/>
  <c r="BB13" i="2"/>
  <c r="AP15" i="2"/>
  <c r="AX14" i="2"/>
  <c r="BF14" i="2"/>
  <c r="AL16" i="2"/>
  <c r="BF17" i="2"/>
  <c r="BB18" i="2"/>
  <c r="BJ17" i="2"/>
  <c r="AP18" i="2"/>
  <c r="AX19" i="2"/>
  <c r="BF18" i="2"/>
  <c r="AL19" i="2"/>
  <c r="BB20" i="2"/>
  <c r="BJ19" i="2"/>
  <c r="AP21" i="2"/>
  <c r="AX21" i="2"/>
  <c r="BF21" i="2"/>
  <c r="AP22" i="2"/>
  <c r="AX22" i="2"/>
  <c r="BF22" i="2"/>
  <c r="AL23" i="2"/>
  <c r="BB23" i="2"/>
  <c r="AP24" i="2"/>
  <c r="AX25" i="2"/>
  <c r="BF24" i="2"/>
  <c r="AL26" i="2"/>
  <c r="BB26" i="2"/>
  <c r="AL27" i="2"/>
  <c r="BB27" i="2"/>
  <c r="BF28" i="2"/>
  <c r="CL28" i="2" s="1"/>
  <c r="BJ4" i="3"/>
  <c r="AL11" i="3"/>
  <c r="AP16" i="3"/>
  <c r="BB19" i="3"/>
  <c r="BJ22" i="3"/>
  <c r="BB24" i="3"/>
  <c r="BF26" i="3"/>
  <c r="AT11" i="3"/>
  <c r="BF17" i="3"/>
  <c r="BJ19" i="3"/>
  <c r="AL21" i="3"/>
  <c r="AL20" i="2"/>
  <c r="AJ3" i="2"/>
  <c r="AR3" i="2"/>
  <c r="AJ5" i="2"/>
  <c r="AN6" i="2"/>
  <c r="BD5" i="2"/>
  <c r="AJ7" i="2"/>
  <c r="AJ8" i="2"/>
  <c r="AP8" i="3"/>
  <c r="AL15" i="3"/>
  <c r="BF19" i="3"/>
  <c r="AT21" i="3"/>
  <c r="BC23" i="3"/>
  <c r="AP6" i="3"/>
  <c r="AX24" i="2"/>
  <c r="AO11" i="2"/>
  <c r="AO14" i="2"/>
  <c r="AO17" i="2"/>
  <c r="BI23" i="2"/>
  <c r="AX28" i="2"/>
  <c r="CD28" i="2" s="1"/>
  <c r="AT12" i="2"/>
  <c r="AT16" i="2"/>
  <c r="AJ25" i="3"/>
  <c r="BI19" i="2"/>
  <c r="BI21" i="2"/>
  <c r="BI27" i="2"/>
  <c r="AJ12" i="3"/>
  <c r="AI7" i="3"/>
  <c r="AI9" i="3"/>
  <c r="BC10" i="3"/>
  <c r="BJ3" i="2"/>
  <c r="BJ7" i="2"/>
  <c r="BC2" i="2"/>
  <c r="AR7" i="2"/>
  <c r="AP12" i="3"/>
  <c r="AP15" i="3"/>
  <c r="AP18" i="3"/>
  <c r="AP20" i="3"/>
  <c r="AP24" i="3"/>
  <c r="AT25" i="3"/>
  <c r="AJ6" i="2"/>
  <c r="BJ11" i="2"/>
  <c r="AW11" i="2"/>
  <c r="AW12" i="2"/>
  <c r="BA14" i="2"/>
  <c r="AW14" i="2"/>
  <c r="BA16" i="2"/>
  <c r="AW17" i="2"/>
  <c r="AW19" i="2"/>
  <c r="AW21" i="2"/>
  <c r="AW27" i="2"/>
  <c r="AW28" i="2"/>
  <c r="CC28" i="2" s="1"/>
  <c r="AK3" i="3"/>
  <c r="AT13" i="2"/>
  <c r="BJ13" i="2"/>
  <c r="BJ16" i="2"/>
  <c r="AT17" i="2"/>
  <c r="BJ18" i="2"/>
  <c r="AT20" i="2"/>
  <c r="BJ20" i="2"/>
  <c r="AT22" i="2"/>
  <c r="AT24" i="2"/>
  <c r="BJ24" i="2"/>
  <c r="BJ26" i="2"/>
  <c r="AT27" i="2"/>
  <c r="BI22" i="2"/>
  <c r="AR23" i="3"/>
  <c r="AT18" i="2"/>
  <c r="AP25" i="2"/>
  <c r="AQ9" i="2"/>
  <c r="AU10" i="2"/>
  <c r="AY18" i="2"/>
  <c r="AT9" i="3"/>
  <c r="AV15" i="3"/>
  <c r="AU8" i="2"/>
  <c r="AY9" i="2"/>
  <c r="AM13" i="2"/>
  <c r="BC16" i="2"/>
  <c r="AY16" i="2"/>
  <c r="AY24" i="2"/>
  <c r="AX16" i="3"/>
  <c r="AP19" i="3"/>
  <c r="AP25" i="3"/>
  <c r="AP9" i="2"/>
  <c r="AK16" i="2"/>
  <c r="BJ23" i="2"/>
  <c r="AR5" i="2"/>
  <c r="AZ6" i="2"/>
  <c r="AM23" i="3"/>
  <c r="AX9" i="2"/>
  <c r="AK22" i="2"/>
  <c r="BE23" i="2"/>
  <c r="AW5" i="3"/>
  <c r="BA12" i="3"/>
  <c r="AO13" i="3"/>
  <c r="AR5" i="3"/>
  <c r="AR6" i="3"/>
  <c r="AZ6" i="3"/>
  <c r="AZ5" i="3"/>
  <c r="AV6" i="3"/>
  <c r="AV7" i="3"/>
  <c r="AN8" i="3"/>
  <c r="AN9" i="3"/>
  <c r="BD8" i="3"/>
  <c r="BD9" i="3"/>
  <c r="AR9" i="3"/>
  <c r="AR10" i="3"/>
  <c r="AZ9" i="3"/>
  <c r="AZ10" i="3"/>
  <c r="AR11" i="3"/>
  <c r="AR12" i="3"/>
  <c r="AZ11" i="3"/>
  <c r="AZ12" i="3"/>
  <c r="AV12" i="3"/>
  <c r="AV13" i="3"/>
  <c r="BD12" i="3"/>
  <c r="BD13" i="3"/>
  <c r="AJ14" i="3"/>
  <c r="AJ13" i="3"/>
  <c r="AR13" i="3"/>
  <c r="AR14" i="3"/>
  <c r="BD14" i="3"/>
  <c r="BD15" i="3"/>
  <c r="AJ15" i="3"/>
  <c r="AJ16" i="3"/>
  <c r="AR18" i="3"/>
  <c r="AR17" i="3"/>
  <c r="AZ19" i="3"/>
  <c r="AZ20" i="3"/>
  <c r="BH20" i="3"/>
  <c r="BH19" i="3"/>
  <c r="AV21" i="3"/>
  <c r="AV20" i="3"/>
  <c r="AJ22" i="3"/>
  <c r="AJ21" i="3"/>
  <c r="AR22" i="3"/>
  <c r="AR21" i="3"/>
  <c r="AJ23" i="3"/>
  <c r="AJ24" i="3"/>
  <c r="AZ24" i="3"/>
  <c r="AZ23" i="3"/>
  <c r="BH24" i="3"/>
  <c r="BH23" i="3"/>
  <c r="AN24" i="3"/>
  <c r="AN25" i="3"/>
  <c r="AV25" i="3"/>
  <c r="AV24" i="3"/>
  <c r="BD24" i="3"/>
  <c r="BD25" i="3"/>
  <c r="AN26" i="3"/>
  <c r="AN27" i="3"/>
  <c r="AV27" i="3"/>
  <c r="AV26" i="3"/>
  <c r="BD26" i="3"/>
  <c r="BD27" i="3"/>
  <c r="AJ27" i="3"/>
  <c r="AJ28" i="3"/>
  <c r="BP28" i="3" s="1"/>
  <c r="AL3" i="2"/>
  <c r="BA4" i="2"/>
  <c r="AL5" i="2"/>
  <c r="AP11" i="2"/>
  <c r="AZ13" i="3"/>
  <c r="BD21" i="3"/>
  <c r="AR23" i="1"/>
  <c r="AT5" i="2"/>
  <c r="AR6" i="2"/>
  <c r="AT19" i="2"/>
  <c r="AP2" i="2"/>
  <c r="AX2" i="2"/>
  <c r="BF2" i="2"/>
  <c r="AT3" i="2"/>
  <c r="BF4" i="2"/>
  <c r="AR15" i="3"/>
  <c r="AJ17" i="3"/>
  <c r="AJ19" i="3"/>
  <c r="AT7" i="2"/>
  <c r="BF8" i="2"/>
  <c r="AL12" i="2"/>
  <c r="AI2" i="2"/>
  <c r="AQ2" i="2"/>
  <c r="AY2" i="2"/>
  <c r="BG2" i="2"/>
  <c r="AI4" i="2"/>
  <c r="AQ3" i="2"/>
  <c r="AY4" i="2"/>
  <c r="BG3" i="2"/>
  <c r="AM5" i="2"/>
  <c r="AU5" i="2"/>
  <c r="BC4" i="2"/>
  <c r="AI5" i="2"/>
  <c r="AQ6" i="2"/>
  <c r="AY5" i="2"/>
  <c r="BG5" i="2"/>
  <c r="AM7" i="2"/>
  <c r="AU7" i="2"/>
  <c r="BC6" i="2"/>
  <c r="AI7" i="2"/>
  <c r="AQ7" i="2"/>
  <c r="AY7" i="2"/>
  <c r="AM8" i="2"/>
  <c r="BC8" i="2"/>
  <c r="AI10" i="2"/>
  <c r="AQ10" i="2"/>
  <c r="AY10" i="2"/>
  <c r="BG10" i="2"/>
  <c r="AM11" i="2"/>
  <c r="AI12" i="2"/>
  <c r="AY12" i="2"/>
  <c r="BG12" i="2"/>
  <c r="AM12" i="2"/>
  <c r="AU13" i="2"/>
  <c r="BC13" i="2"/>
  <c r="AI13" i="2"/>
  <c r="AM15" i="2"/>
  <c r="AU14" i="2"/>
  <c r="BC15" i="2"/>
  <c r="AI16" i="2"/>
  <c r="AQ15" i="2"/>
  <c r="BG16" i="2"/>
  <c r="AM16" i="2"/>
  <c r="AU17" i="2"/>
  <c r="BC17" i="2"/>
  <c r="AI18" i="2"/>
  <c r="AQ18" i="2"/>
  <c r="BG18" i="2"/>
  <c r="AM19" i="2"/>
  <c r="AU18" i="2"/>
  <c r="AI19" i="2"/>
  <c r="AQ20" i="2"/>
  <c r="BH11" i="3"/>
  <c r="AR20" i="3"/>
  <c r="AR4" i="2"/>
  <c r="AW7" i="2"/>
  <c r="BI12" i="2"/>
  <c r="AX18" i="2"/>
  <c r="AT23" i="2"/>
  <c r="BI24" i="2"/>
  <c r="AZ16" i="3"/>
  <c r="AZ18" i="3"/>
  <c r="AZ22" i="3"/>
  <c r="AP6" i="2"/>
  <c r="BB6" i="2"/>
  <c r="AK9" i="2"/>
  <c r="AK10" i="2"/>
  <c r="AK11" i="2"/>
  <c r="AK12" i="2"/>
  <c r="BA22" i="2"/>
  <c r="BA21" i="2"/>
  <c r="AN13" i="3"/>
  <c r="AN14" i="3"/>
  <c r="AP16" i="2"/>
  <c r="AP17" i="2"/>
  <c r="AX17" i="2"/>
  <c r="AX16" i="2"/>
  <c r="AL17" i="2"/>
  <c r="AL18" i="2"/>
  <c r="BJ21" i="2"/>
  <c r="BJ22" i="2"/>
  <c r="AN20" i="3"/>
  <c r="BH21" i="3"/>
  <c r="AO2" i="2"/>
  <c r="AW2" i="2"/>
  <c r="BE2" i="2"/>
  <c r="BA4" i="3"/>
  <c r="BE7" i="3"/>
  <c r="BE8" i="3"/>
  <c r="AM18" i="3"/>
  <c r="AN2" i="3"/>
  <c r="BD2" i="3"/>
  <c r="BH5" i="3"/>
  <c r="BH9" i="3"/>
  <c r="BH13" i="3"/>
  <c r="BH15" i="3"/>
  <c r="AY20" i="2"/>
  <c r="BG20" i="2"/>
  <c r="AM20" i="2"/>
  <c r="BC20" i="2"/>
  <c r="AI22" i="2"/>
  <c r="AQ22" i="2"/>
  <c r="AY21" i="2"/>
  <c r="AM23" i="2"/>
  <c r="AU23" i="2"/>
  <c r="AI23" i="2"/>
  <c r="AQ24" i="2"/>
  <c r="AY23" i="2"/>
  <c r="BG24" i="2"/>
  <c r="AM25" i="2"/>
  <c r="AU24" i="2"/>
  <c r="BC25" i="2"/>
  <c r="AQ25" i="2"/>
  <c r="AY25" i="2"/>
  <c r="BG25" i="2"/>
  <c r="AM27" i="2"/>
  <c r="AU27" i="2"/>
  <c r="BC27" i="2"/>
  <c r="AI28" i="2"/>
  <c r="BO28" i="2" s="1"/>
  <c r="DM28" i="2" s="1"/>
  <c r="AQ28" i="2"/>
  <c r="BW28" i="2" s="1"/>
  <c r="DJ28" i="2" s="1"/>
  <c r="BG28" i="2"/>
  <c r="CM28" i="2" s="1"/>
  <c r="AU28" i="2"/>
  <c r="CA28" i="2" s="1"/>
  <c r="DK28" i="2" s="1"/>
  <c r="BI4" i="3"/>
  <c r="AJ2" i="2"/>
  <c r="AR2" i="2"/>
  <c r="AZ2" i="2"/>
  <c r="BH2" i="2"/>
  <c r="AV3" i="2"/>
  <c r="BD3" i="2"/>
  <c r="AZ3" i="2"/>
  <c r="AN5" i="2"/>
  <c r="AV4" i="2"/>
  <c r="BD4" i="2"/>
  <c r="BH5" i="2"/>
  <c r="AV6" i="2"/>
  <c r="BH8" i="2"/>
  <c r="AN9" i="2"/>
  <c r="AV8" i="2"/>
  <c r="BD9" i="2"/>
  <c r="AJ10" i="2"/>
  <c r="AR10" i="2"/>
  <c r="AZ9" i="2"/>
  <c r="AV10" i="2"/>
  <c r="AJ12" i="2"/>
  <c r="AN13" i="2"/>
  <c r="AV13" i="2"/>
  <c r="BD12" i="2"/>
  <c r="AJ13" i="2"/>
  <c r="AR13" i="2"/>
  <c r="AZ13" i="2"/>
  <c r="BH13" i="2"/>
  <c r="AN15" i="2"/>
  <c r="AV14" i="2"/>
  <c r="BD14" i="2"/>
  <c r="AR16" i="2"/>
  <c r="AZ16" i="2"/>
  <c r="BH16" i="2"/>
  <c r="AV16" i="2"/>
  <c r="BD16" i="2"/>
  <c r="AJ17" i="2"/>
  <c r="AR17" i="2"/>
  <c r="AZ17" i="2"/>
  <c r="BH18" i="2"/>
  <c r="AN19" i="2"/>
  <c r="AV19" i="2"/>
  <c r="BD19" i="2"/>
  <c r="AJ20" i="2"/>
  <c r="BH20" i="2"/>
  <c r="AN20" i="2"/>
  <c r="BD20" i="2"/>
  <c r="AR21" i="2"/>
  <c r="AZ21" i="2"/>
  <c r="AN23" i="2"/>
  <c r="AV22" i="2"/>
  <c r="AJ24" i="2"/>
  <c r="AR23" i="2"/>
  <c r="BH23" i="2"/>
  <c r="AR26" i="2"/>
  <c r="AZ26" i="2"/>
  <c r="AN27" i="2"/>
  <c r="BD26" i="2"/>
  <c r="AR28" i="2"/>
  <c r="BX28" i="2" s="1"/>
  <c r="DR28" i="2" s="1"/>
  <c r="BH27" i="2"/>
  <c r="AN28" i="2"/>
  <c r="BT28" i="2" s="1"/>
  <c r="DT28" i="2" s="1"/>
  <c r="AV28" i="2"/>
  <c r="CB28" i="2" s="1"/>
  <c r="BA5" i="3"/>
  <c r="BE12" i="3"/>
  <c r="AK15" i="3"/>
  <c r="BA15" i="3"/>
  <c r="AW20" i="3"/>
  <c r="BA21" i="3"/>
  <c r="AO22" i="3"/>
  <c r="BI16" i="3"/>
  <c r="BE21" i="3"/>
  <c r="AK21" i="3"/>
  <c r="BE23" i="3"/>
  <c r="AW22" i="3"/>
  <c r="AO16" i="3"/>
  <c r="AO21" i="3"/>
  <c r="AS16" i="3"/>
  <c r="BE17" i="3"/>
  <c r="BD7" i="3"/>
  <c r="BI5" i="3"/>
  <c r="AK7" i="3"/>
  <c r="AJ5" i="3"/>
  <c r="AN6" i="3"/>
  <c r="AJ9" i="3"/>
  <c r="AU15" i="3"/>
  <c r="AP2" i="3"/>
  <c r="AX2" i="3"/>
  <c r="BF2" i="3"/>
  <c r="BH17" i="3"/>
  <c r="AS10" i="3"/>
  <c r="BI9" i="3"/>
  <c r="AK12" i="3"/>
  <c r="BI7" i="3"/>
  <c r="BI11" i="3"/>
  <c r="AS14" i="3"/>
  <c r="AW24" i="3"/>
  <c r="AS26" i="3"/>
  <c r="BA26" i="3"/>
  <c r="AO9" i="3"/>
  <c r="BE14" i="3"/>
  <c r="AO25" i="3"/>
  <c r="AI3" i="2"/>
  <c r="AN4" i="2"/>
  <c r="AK27" i="3"/>
  <c r="AO27" i="3"/>
  <c r="BI27" i="3"/>
  <c r="AO28" i="3"/>
  <c r="BU28" i="3" s="1"/>
  <c r="DH28" i="3" s="1"/>
  <c r="AW28" i="3"/>
  <c r="CC28" i="3" s="1"/>
  <c r="BE28" i="3"/>
  <c r="CK28" i="3" s="1"/>
  <c r="AN11" i="2"/>
  <c r="AO2" i="3"/>
  <c r="AU2" i="3"/>
  <c r="AW2" i="3"/>
  <c r="AV2" i="3"/>
  <c r="AO10" i="3"/>
  <c r="BA13" i="3"/>
  <c r="AQ13" i="3"/>
  <c r="BG13" i="3"/>
  <c r="AM16" i="3"/>
  <c r="BC16" i="3"/>
  <c r="AQ16" i="3"/>
  <c r="BG16" i="3"/>
  <c r="AW18" i="3"/>
  <c r="AU20" i="3"/>
  <c r="BE24" i="3"/>
  <c r="AY25" i="3"/>
  <c r="BE26" i="3"/>
  <c r="AS27" i="3"/>
  <c r="BY27" i="3" s="1"/>
  <c r="DN27" i="3" s="1"/>
  <c r="BC19" i="3"/>
  <c r="AU24" i="3"/>
  <c r="BG26" i="3"/>
  <c r="AS3" i="3"/>
  <c r="AO4" i="3"/>
  <c r="AW9" i="3"/>
  <c r="AS11" i="3"/>
  <c r="AU12" i="3"/>
  <c r="AK13" i="3"/>
  <c r="BC15" i="3"/>
  <c r="AU18" i="3"/>
  <c r="AK19" i="3"/>
  <c r="BA19" i="3"/>
  <c r="AO19" i="3"/>
  <c r="BE19" i="3"/>
  <c r="AS20" i="3"/>
  <c r="BI20" i="3"/>
  <c r="BC21" i="3"/>
  <c r="AQ21" i="3"/>
  <c r="BG21" i="3"/>
  <c r="AM24" i="3"/>
  <c r="BG24" i="3"/>
  <c r="AI25" i="3"/>
  <c r="BI25" i="3"/>
  <c r="AU27" i="3"/>
  <c r="AW27" i="3"/>
  <c r="BI28" i="3"/>
  <c r="AI19" i="3"/>
  <c r="AQ20" i="3"/>
  <c r="AU22" i="3"/>
  <c r="AY23" i="3"/>
  <c r="AQ25" i="3"/>
  <c r="BE2" i="3"/>
  <c r="AW3" i="3"/>
  <c r="AQ4" i="3"/>
  <c r="BE4" i="3"/>
  <c r="AK5" i="3"/>
  <c r="AW12" i="3"/>
  <c r="AM13" i="3"/>
  <c r="BI13" i="3"/>
  <c r="AM15" i="3"/>
  <c r="AI23" i="3"/>
  <c r="BA27" i="3"/>
  <c r="CG27" i="3" s="1"/>
  <c r="AK28" i="3"/>
  <c r="BQ28" i="3" s="1"/>
  <c r="BC4" i="3"/>
  <c r="BC13" i="3"/>
  <c r="AY19" i="3"/>
  <c r="BG20" i="3"/>
  <c r="BE10" i="3"/>
  <c r="AI13" i="3"/>
  <c r="AY13" i="3"/>
  <c r="AU16" i="3"/>
  <c r="AI16" i="3"/>
  <c r="AY16" i="3"/>
  <c r="BI22" i="3"/>
  <c r="AK25" i="3"/>
  <c r="AQ5" i="3"/>
  <c r="AS7" i="3"/>
  <c r="AW16" i="3"/>
  <c r="AS21" i="3"/>
  <c r="AI22" i="3"/>
  <c r="AQ24" i="3"/>
  <c r="AY22" i="3"/>
  <c r="AY7" i="3"/>
  <c r="AM26" i="3"/>
  <c r="BG8" i="3"/>
  <c r="AQ8" i="3"/>
  <c r="BC11" i="3"/>
  <c r="AU10" i="3"/>
  <c r="BG3" i="3"/>
  <c r="AI3" i="3"/>
  <c r="AV3" i="3"/>
  <c r="AY5" i="3"/>
  <c r="BG6" i="3"/>
  <c r="AM5" i="3"/>
  <c r="AM11" i="3"/>
  <c r="BC2" i="3"/>
  <c r="AI5" i="3"/>
  <c r="AI8" i="3"/>
  <c r="AU3" i="3"/>
  <c r="AU4" i="3"/>
  <c r="AY4" i="3"/>
  <c r="AM2" i="3"/>
  <c r="BH2" i="3"/>
  <c r="AJ2" i="3"/>
  <c r="AR2" i="3"/>
  <c r="AZ2" i="3"/>
  <c r="BC6" i="3"/>
  <c r="AX4" i="3"/>
  <c r="AM6" i="3"/>
  <c r="AP11" i="3"/>
  <c r="AK4" i="3"/>
  <c r="AI11" i="3"/>
  <c r="AQ11" i="3"/>
  <c r="AY11" i="3"/>
  <c r="BG11" i="3"/>
  <c r="AS5" i="3"/>
  <c r="BB10" i="3"/>
  <c r="BB9" i="3"/>
  <c r="AW15" i="3"/>
  <c r="AW14" i="3"/>
  <c r="AJ3" i="3"/>
  <c r="AR3" i="3"/>
  <c r="AZ3" i="3"/>
  <c r="BH3" i="3"/>
  <c r="AP4" i="3"/>
  <c r="AU6" i="3"/>
  <c r="AX7" i="3"/>
  <c r="BA8" i="3"/>
  <c r="AP14" i="3"/>
  <c r="AX14" i="3"/>
  <c r="BF14" i="3"/>
  <c r="AO14" i="3"/>
  <c r="BF4" i="3"/>
  <c r="AN5" i="3"/>
  <c r="AV5" i="3"/>
  <c r="BD5" i="3"/>
  <c r="AK8" i="3"/>
  <c r="AX10" i="3"/>
  <c r="AO6" i="3"/>
  <c r="AW6" i="3"/>
  <c r="AJ7" i="3"/>
  <c r="AR7" i="3"/>
  <c r="AZ7" i="3"/>
  <c r="BH7" i="3"/>
  <c r="AM8" i="3"/>
  <c r="AU8" i="3"/>
  <c r="BC8" i="3"/>
  <c r="AK10" i="3"/>
  <c r="AW10" i="3"/>
  <c r="AI10" i="3"/>
  <c r="AQ10" i="3"/>
  <c r="AY10" i="3"/>
  <c r="BG10" i="3"/>
  <c r="AV9" i="3"/>
  <c r="BA10" i="3"/>
  <c r="AN11" i="3"/>
  <c r="AV11" i="3"/>
  <c r="BD11" i="3"/>
  <c r="AP13" i="3"/>
  <c r="AX13" i="3"/>
  <c r="BF13" i="3"/>
  <c r="AI17" i="3"/>
  <c r="AQ17" i="3"/>
  <c r="AY17" i="3"/>
  <c r="BG17" i="3"/>
  <c r="AN18" i="3"/>
  <c r="AN17" i="3"/>
  <c r="AV18" i="3"/>
  <c r="AV17" i="3"/>
  <c r="BD18" i="3"/>
  <c r="BD17" i="3"/>
  <c r="AL17" i="3"/>
  <c r="AT17" i="3"/>
  <c r="BB17" i="3"/>
  <c r="BJ17" i="3"/>
  <c r="BC26" i="3"/>
  <c r="BC25" i="3"/>
  <c r="AI27" i="3"/>
  <c r="AQ27" i="3"/>
  <c r="AY27" i="3"/>
  <c r="BG27" i="3"/>
  <c r="AK23" i="3"/>
  <c r="AS23" i="3"/>
  <c r="BA23" i="3"/>
  <c r="BI23" i="3"/>
  <c r="AR27" i="3"/>
  <c r="AR26" i="3"/>
  <c r="AZ27" i="3"/>
  <c r="AZ26" i="3"/>
  <c r="BH27" i="3"/>
  <c r="BH26" i="3"/>
  <c r="AK18" i="3"/>
  <c r="AS18" i="3"/>
  <c r="BA18" i="3"/>
  <c r="BI18" i="3"/>
  <c r="AM20" i="3"/>
  <c r="AN22" i="3"/>
  <c r="AV22" i="3"/>
  <c r="BD22" i="3"/>
  <c r="BF25" i="3"/>
  <c r="BF24" i="3"/>
  <c r="DG32" i="3"/>
  <c r="BV34" i="3"/>
  <c r="BV29" i="3"/>
  <c r="DL29" i="3" s="1"/>
  <c r="BV31" i="3"/>
  <c r="DL31" i="3" s="1"/>
  <c r="BV30" i="3"/>
  <c r="DL30" i="3" s="1"/>
  <c r="CD34" i="3"/>
  <c r="CD29" i="3"/>
  <c r="CD30" i="3"/>
  <c r="CD31" i="3"/>
  <c r="CL34" i="3"/>
  <c r="CL29" i="3"/>
  <c r="CL31" i="3"/>
  <c r="CL30" i="3"/>
  <c r="AJ26" i="3"/>
  <c r="DG34" i="3"/>
  <c r="EP37" i="3"/>
  <c r="DG30" i="3"/>
  <c r="BO33" i="3"/>
  <c r="BW33" i="3"/>
  <c r="CE33" i="3"/>
  <c r="CY33" i="3"/>
  <c r="DT36" i="3"/>
  <c r="DS36" i="3"/>
  <c r="DT37" i="3"/>
  <c r="DS37" i="3"/>
  <c r="CX37" i="3"/>
  <c r="BY28" i="3"/>
  <c r="DN28" i="3" s="1"/>
  <c r="CG28" i="3"/>
  <c r="BS29" i="3"/>
  <c r="CA29" i="3"/>
  <c r="CI29" i="3"/>
  <c r="DO29" i="3" s="1"/>
  <c r="DT29" i="3"/>
  <c r="DS29" i="3"/>
  <c r="BT32" i="3"/>
  <c r="CB32" i="3"/>
  <c r="CJ32" i="3"/>
  <c r="BR30" i="3"/>
  <c r="BZ30" i="3"/>
  <c r="DP30" i="3" s="1"/>
  <c r="CH30" i="3"/>
  <c r="CP30" i="3"/>
  <c r="BW32" i="3"/>
  <c r="DJ32" i="3" s="1"/>
  <c r="DK36" i="3"/>
  <c r="DK30" i="3"/>
  <c r="DM37" i="3"/>
  <c r="DT30" i="3"/>
  <c r="DS30" i="3"/>
  <c r="BP36" i="3"/>
  <c r="BP31" i="3"/>
  <c r="BX36" i="3"/>
  <c r="DR36" i="3" s="1"/>
  <c r="BX31" i="3"/>
  <c r="DR31" i="3" s="1"/>
  <c r="CF36" i="3"/>
  <c r="CZ36" i="3" s="1"/>
  <c r="CF31" i="3"/>
  <c r="CN36" i="3"/>
  <c r="CN31" i="3"/>
  <c r="DG37" i="3"/>
  <c r="DM31" i="3"/>
  <c r="DS33" i="3"/>
  <c r="DG33" i="3"/>
  <c r="DT34" i="3"/>
  <c r="DS34" i="3"/>
  <c r="BQ37" i="3"/>
  <c r="ES37" i="3" s="1"/>
  <c r="BQ32" i="3"/>
  <c r="BY37" i="3"/>
  <c r="DN37" i="3" s="1"/>
  <c r="BY32" i="3"/>
  <c r="DN32" i="3" s="1"/>
  <c r="CG37" i="3"/>
  <c r="CG32" i="3"/>
  <c r="CO37" i="3"/>
  <c r="CO32" i="3"/>
  <c r="CD28" i="3"/>
  <c r="DG29" i="3"/>
  <c r="BT31" i="3"/>
  <c r="CB31" i="3"/>
  <c r="CJ31" i="3"/>
  <c r="CM32" i="3"/>
  <c r="BO35" i="3"/>
  <c r="BO30" i="3"/>
  <c r="BW35" i="3"/>
  <c r="DJ35" i="3" s="1"/>
  <c r="BW30" i="3"/>
  <c r="DJ30" i="3" s="1"/>
  <c r="CE35" i="3"/>
  <c r="CE30" i="3"/>
  <c r="CM35" i="3"/>
  <c r="CM30" i="3"/>
  <c r="BV33" i="3"/>
  <c r="DL33" i="3" s="1"/>
  <c r="CD33" i="3"/>
  <c r="CL33" i="3"/>
  <c r="BO34" i="3"/>
  <c r="BW34" i="3"/>
  <c r="CE34" i="3"/>
  <c r="CM34" i="3"/>
  <c r="DK34" i="3"/>
  <c r="BP35" i="3"/>
  <c r="ET35" i="3" s="1"/>
  <c r="BX35" i="3"/>
  <c r="CF35" i="3"/>
  <c r="CN35" i="3"/>
  <c r="BQ36" i="3"/>
  <c r="BY36" i="3"/>
  <c r="DN36" i="3" s="1"/>
  <c r="CG36" i="3"/>
  <c r="CO36" i="3"/>
  <c r="EQ36" i="3" s="1"/>
  <c r="BR37" i="3"/>
  <c r="BZ37" i="3"/>
  <c r="DP37" i="3" s="1"/>
  <c r="ER37" i="3"/>
  <c r="CZ37" i="3"/>
  <c r="AU12" i="2"/>
  <c r="AM2" i="2"/>
  <c r="AV5" i="2"/>
  <c r="AU2" i="2"/>
  <c r="AL7" i="2"/>
  <c r="BC7" i="2"/>
  <c r="BH7" i="2"/>
  <c r="BB3" i="2"/>
  <c r="BC5" i="2"/>
  <c r="BG9" i="2"/>
  <c r="BC10" i="2"/>
  <c r="BC12" i="2"/>
  <c r="BG13" i="2"/>
  <c r="BC14" i="2"/>
  <c r="BG7" i="2"/>
  <c r="AM6" i="2"/>
  <c r="AK5" i="2"/>
  <c r="AI9" i="2"/>
  <c r="AQ13" i="2"/>
  <c r="AQ14" i="2"/>
  <c r="AM10" i="2"/>
  <c r="AM4" i="2"/>
  <c r="BD10" i="2"/>
  <c r="BD11" i="2"/>
  <c r="AZ23" i="2"/>
  <c r="AZ24" i="2"/>
  <c r="BH26" i="2"/>
  <c r="BH25" i="2"/>
  <c r="AI15" i="2"/>
  <c r="BG19" i="2"/>
  <c r="AK14" i="2"/>
  <c r="AK13" i="2"/>
  <c r="BA20" i="2"/>
  <c r="BA19" i="2"/>
  <c r="AN10" i="2"/>
  <c r="AV12" i="2"/>
  <c r="AI20" i="2"/>
  <c r="AO20" i="2"/>
  <c r="BD21" i="2"/>
  <c r="AM22" i="2"/>
  <c r="AO22" i="2"/>
  <c r="AI24" i="2"/>
  <c r="AQ27" i="2"/>
  <c r="BI28" i="2"/>
  <c r="AY15" i="2"/>
  <c r="AU16" i="2"/>
  <c r="AQ19" i="2"/>
  <c r="AY19" i="2"/>
  <c r="AU20" i="2"/>
  <c r="AI21" i="2"/>
  <c r="BG23" i="2"/>
  <c r="BC24" i="2"/>
  <c r="AI25" i="2"/>
  <c r="AM26" i="2"/>
  <c r="BC26" i="2"/>
  <c r="AI27" i="2"/>
  <c r="BG27" i="2"/>
  <c r="AM28" i="2"/>
  <c r="BS28" i="2" s="1"/>
  <c r="BC28" i="2"/>
  <c r="CI28" i="2" s="1"/>
  <c r="DO28" i="2" s="1"/>
  <c r="BC19" i="2"/>
  <c r="BC18" i="2"/>
  <c r="BG22" i="2"/>
  <c r="BG21" i="2"/>
  <c r="AM14" i="2"/>
  <c r="AM17" i="2"/>
  <c r="BH10" i="2"/>
  <c r="BH9" i="2"/>
  <c r="AN16" i="2"/>
  <c r="AN17" i="2"/>
  <c r="AJ25" i="2"/>
  <c r="AJ26" i="2"/>
  <c r="AV11" i="2"/>
  <c r="AN14" i="2"/>
  <c r="AU19" i="2"/>
  <c r="AS16" i="2"/>
  <c r="AS15" i="2"/>
  <c r="BA17" i="2"/>
  <c r="BA18" i="2"/>
  <c r="AW23" i="2"/>
  <c r="AW22" i="2"/>
  <c r="BD13" i="2"/>
  <c r="AV23" i="2"/>
  <c r="AS9" i="2"/>
  <c r="AS5" i="2"/>
  <c r="AV9" i="2"/>
  <c r="BA15" i="2"/>
  <c r="AQ16" i="2"/>
  <c r="BH17" i="2"/>
  <c r="BI18" i="2"/>
  <c r="AS20" i="2"/>
  <c r="BE20" i="2"/>
  <c r="AQ21" i="2"/>
  <c r="AU22" i="2"/>
  <c r="AZ22" i="2"/>
  <c r="AR24" i="2"/>
  <c r="AR27" i="2"/>
  <c r="BC23" i="2"/>
  <c r="BC22" i="2"/>
  <c r="AU15" i="2"/>
  <c r="AR20" i="2"/>
  <c r="AR19" i="2"/>
  <c r="AJ27" i="2"/>
  <c r="AJ28" i="2"/>
  <c r="BP28" i="2" s="1"/>
  <c r="AZ28" i="2"/>
  <c r="CF28" i="2" s="1"/>
  <c r="AZ27" i="2"/>
  <c r="BE6" i="2"/>
  <c r="BE7" i="2"/>
  <c r="AO18" i="2"/>
  <c r="AO19" i="2"/>
  <c r="BE26" i="2"/>
  <c r="BE27" i="2"/>
  <c r="AS27" i="2"/>
  <c r="AS28" i="2"/>
  <c r="BY28" i="2" s="1"/>
  <c r="DN28" i="2" s="1"/>
  <c r="BA28" i="2"/>
  <c r="CG28" i="2" s="1"/>
  <c r="BA27" i="2"/>
  <c r="AZ10" i="2"/>
  <c r="AN12" i="2"/>
  <c r="AM18" i="2"/>
  <c r="BH19" i="2"/>
  <c r="AN22" i="2"/>
  <c r="AZ25" i="2"/>
  <c r="BH28" i="2"/>
  <c r="CN28" i="2" s="1"/>
  <c r="DG28" i="2" s="1"/>
  <c r="AN8" i="2"/>
  <c r="BD15" i="2"/>
  <c r="AZ18" i="2"/>
  <c r="BI10" i="2"/>
  <c r="AW18" i="2"/>
  <c r="AS21" i="2"/>
  <c r="AY22" i="2"/>
  <c r="AY28" i="2"/>
  <c r="CE28" i="2" s="1"/>
  <c r="AY27" i="2"/>
  <c r="AQ23" i="2"/>
  <c r="AV21" i="2"/>
  <c r="AV20" i="2"/>
  <c r="BD23" i="2"/>
  <c r="BD22" i="2"/>
  <c r="BA10" i="2"/>
  <c r="BA9" i="2"/>
  <c r="BA12" i="2"/>
  <c r="BE14" i="2"/>
  <c r="BG15" i="2"/>
  <c r="AK19" i="2"/>
  <c r="AU25" i="2"/>
  <c r="AU26" i="2"/>
  <c r="AK27" i="2"/>
  <c r="BQ27" i="2" s="1"/>
  <c r="AP12" i="2"/>
  <c r="BF13" i="2"/>
  <c r="AP14" i="2"/>
  <c r="BG6" i="2"/>
  <c r="BB11" i="2"/>
  <c r="BC11" i="2"/>
  <c r="AQ12" i="2"/>
  <c r="BB19" i="2"/>
  <c r="BF19" i="2"/>
  <c r="BB24" i="2"/>
  <c r="BF25" i="2"/>
  <c r="BJ8" i="2"/>
  <c r="BJ15" i="2"/>
  <c r="AL8" i="2"/>
  <c r="AX10" i="2"/>
  <c r="AT15" i="2"/>
  <c r="BF16" i="2"/>
  <c r="BF15" i="2"/>
  <c r="BJ5" i="2"/>
  <c r="AQ4" i="2"/>
  <c r="BG4" i="2"/>
  <c r="AU4" i="2"/>
  <c r="AU6" i="2"/>
  <c r="AY3" i="2"/>
  <c r="AQ5" i="2"/>
  <c r="AN2" i="2"/>
  <c r="BA5" i="2"/>
  <c r="BD2" i="2"/>
  <c r="AX3" i="2"/>
  <c r="AN3" i="2"/>
  <c r="AO5" i="2"/>
  <c r="AI6" i="2"/>
  <c r="AY6" i="2"/>
  <c r="BD7" i="2"/>
  <c r="AV2" i="2"/>
  <c r="AJ4" i="2"/>
  <c r="AZ4" i="2"/>
  <c r="BI5" i="2"/>
  <c r="BE5" i="2"/>
  <c r="AN7" i="2"/>
  <c r="AK3" i="2"/>
  <c r="AM3" i="2"/>
  <c r="AU3" i="2"/>
  <c r="BC3" i="2"/>
  <c r="AW5" i="2"/>
  <c r="AV7" i="2"/>
  <c r="AO9" i="2"/>
  <c r="AO10" i="2"/>
  <c r="AW9" i="2"/>
  <c r="AW10" i="2"/>
  <c r="BE9" i="2"/>
  <c r="BE10" i="2"/>
  <c r="DG35" i="2"/>
  <c r="AU9" i="2"/>
  <c r="AO7" i="2"/>
  <c r="AK7" i="2"/>
  <c r="AS7" i="2"/>
  <c r="BA7" i="2"/>
  <c r="BI7" i="2"/>
  <c r="AI8" i="2"/>
  <c r="AQ8" i="2"/>
  <c r="AY8" i="2"/>
  <c r="BG8" i="2"/>
  <c r="AZ8" i="2"/>
  <c r="AL9" i="2"/>
  <c r="AT9" i="2"/>
  <c r="BB9" i="2"/>
  <c r="BJ9" i="2"/>
  <c r="AJ9" i="2"/>
  <c r="AI11" i="2"/>
  <c r="AQ11" i="2"/>
  <c r="AY11" i="2"/>
  <c r="BG11" i="2"/>
  <c r="BB7" i="2"/>
  <c r="AM9" i="2"/>
  <c r="BC9" i="2"/>
  <c r="AZ12" i="2"/>
  <c r="BH12" i="2"/>
  <c r="AO12" i="2"/>
  <c r="AX12" i="2"/>
  <c r="BI13" i="2"/>
  <c r="AS14" i="2"/>
  <c r="AJ11" i="2"/>
  <c r="AR11" i="2"/>
  <c r="AZ11" i="2"/>
  <c r="BH11" i="2"/>
  <c r="AO13" i="2"/>
  <c r="AW13" i="2"/>
  <c r="BE13" i="2"/>
  <c r="AL14" i="2"/>
  <c r="AT14" i="2"/>
  <c r="BB14" i="2"/>
  <c r="BJ14" i="2"/>
  <c r="AR12" i="2"/>
  <c r="BA13" i="2"/>
  <c r="AI14" i="2"/>
  <c r="AY14" i="2"/>
  <c r="AV15" i="2"/>
  <c r="AN25" i="2"/>
  <c r="AN24" i="2"/>
  <c r="AV25" i="2"/>
  <c r="AV24" i="2"/>
  <c r="BD25" i="2"/>
  <c r="BD24" i="2"/>
  <c r="BE12" i="2"/>
  <c r="AJ14" i="2"/>
  <c r="AJ15" i="2"/>
  <c r="AR14" i="2"/>
  <c r="AR15" i="2"/>
  <c r="AZ14" i="2"/>
  <c r="AZ15" i="2"/>
  <c r="BH14" i="2"/>
  <c r="BH15" i="2"/>
  <c r="AI17" i="2"/>
  <c r="AQ17" i="2"/>
  <c r="AY17" i="2"/>
  <c r="BG17" i="2"/>
  <c r="AO15" i="2"/>
  <c r="AO16" i="2"/>
  <c r="AW15" i="2"/>
  <c r="AW16" i="2"/>
  <c r="AW20" i="2"/>
  <c r="BE16" i="2"/>
  <c r="AR18" i="2"/>
  <c r="BB21" i="2"/>
  <c r="AS18" i="2"/>
  <c r="AL21" i="2"/>
  <c r="AN18" i="2"/>
  <c r="AV18" i="2"/>
  <c r="BD18" i="2"/>
  <c r="BD17" i="2"/>
  <c r="AK18" i="2"/>
  <c r="AZ19" i="2"/>
  <c r="AV17" i="2"/>
  <c r="AP19" i="2"/>
  <c r="AP20" i="2"/>
  <c r="AT21" i="2"/>
  <c r="AR22" i="2"/>
  <c r="AO25" i="2"/>
  <c r="AO24" i="2"/>
  <c r="AW25" i="2"/>
  <c r="AW24" i="2"/>
  <c r="BE25" i="2"/>
  <c r="BE24" i="2"/>
  <c r="DM30" i="2"/>
  <c r="EO32" i="2"/>
  <c r="DG32" i="2"/>
  <c r="AX20" i="2"/>
  <c r="BF20" i="2"/>
  <c r="AM21" i="2"/>
  <c r="AU21" i="2"/>
  <c r="BC21" i="2"/>
  <c r="AJ22" i="2"/>
  <c r="AJ23" i="2"/>
  <c r="AX23" i="2"/>
  <c r="AR25" i="2"/>
  <c r="AO26" i="2"/>
  <c r="BQ29" i="2"/>
  <c r="BQ32" i="2"/>
  <c r="DA32" i="2" s="1"/>
  <c r="BY29" i="2"/>
  <c r="DN29" i="2" s="1"/>
  <c r="BY32" i="2"/>
  <c r="DN32" i="2" s="1"/>
  <c r="CG29" i="2"/>
  <c r="CG32" i="2"/>
  <c r="CO29" i="2"/>
  <c r="DI29" i="2" s="1"/>
  <c r="CO32" i="2"/>
  <c r="AM24" i="2"/>
  <c r="DC34" i="2"/>
  <c r="DT31" i="2"/>
  <c r="DS31" i="2"/>
  <c r="BH22" i="2"/>
  <c r="AP27" i="2"/>
  <c r="AP26" i="2"/>
  <c r="AX27" i="2"/>
  <c r="AX26" i="2"/>
  <c r="BF27" i="2"/>
  <c r="BF26" i="2"/>
  <c r="EQ33" i="2"/>
  <c r="DI33" i="2"/>
  <c r="AK23" i="2"/>
  <c r="AS23" i="2"/>
  <c r="BA23" i="2"/>
  <c r="AK26" i="2"/>
  <c r="AK25" i="2"/>
  <c r="AS26" i="2"/>
  <c r="AS25" i="2"/>
  <c r="BA26" i="2"/>
  <c r="BA25" i="2"/>
  <c r="BI26" i="2"/>
  <c r="BI25" i="2"/>
  <c r="CW30" i="2"/>
  <c r="BR30" i="2"/>
  <c r="BR33" i="2"/>
  <c r="CY33" i="2" s="1"/>
  <c r="BZ30" i="2"/>
  <c r="DP30" i="2" s="1"/>
  <c r="BZ33" i="2"/>
  <c r="DP33" i="2" s="1"/>
  <c r="CH30" i="2"/>
  <c r="CH33" i="2"/>
  <c r="DB33" i="2" s="1"/>
  <c r="CP30" i="2"/>
  <c r="DQ30" i="2" s="1"/>
  <c r="CP33" i="2"/>
  <c r="DQ33" i="2" s="1"/>
  <c r="AL25" i="2"/>
  <c r="AT25" i="2"/>
  <c r="BB25" i="2"/>
  <c r="BJ25" i="2"/>
  <c r="AI26" i="2"/>
  <c r="AQ26" i="2"/>
  <c r="AY26" i="2"/>
  <c r="BG26" i="2"/>
  <c r="AV27" i="2"/>
  <c r="BD27" i="2"/>
  <c r="AL28" i="2"/>
  <c r="BR28" i="2" s="1"/>
  <c r="AT28" i="2"/>
  <c r="BZ28" i="2" s="1"/>
  <c r="DP28" i="2" s="1"/>
  <c r="BB28" i="2"/>
  <c r="CH28" i="2" s="1"/>
  <c r="BJ28" i="2"/>
  <c r="CP28" i="2" s="1"/>
  <c r="DQ28" i="2" s="1"/>
  <c r="BZ29" i="2"/>
  <c r="DP29" i="2" s="1"/>
  <c r="BQ30" i="2"/>
  <c r="BY30" i="2"/>
  <c r="DN30" i="2" s="1"/>
  <c r="CG30" i="2"/>
  <c r="CO30" i="2"/>
  <c r="DI30" i="2" s="1"/>
  <c r="DK32" i="2"/>
  <c r="BS33" i="2"/>
  <c r="CA33" i="2"/>
  <c r="CI33" i="2"/>
  <c r="DO33" i="2" s="1"/>
  <c r="DK35" i="2"/>
  <c r="DT37" i="2"/>
  <c r="DS37" i="2"/>
  <c r="CV37" i="2"/>
  <c r="EP29" i="2"/>
  <c r="CH29" i="2"/>
  <c r="DM31" i="2"/>
  <c r="ES31" i="2"/>
  <c r="DT33" i="2"/>
  <c r="DS33" i="2"/>
  <c r="BT32" i="2"/>
  <c r="CW32" i="2" s="1"/>
  <c r="BT35" i="2"/>
  <c r="EO35" i="2" s="1"/>
  <c r="BT29" i="2"/>
  <c r="BT30" i="2"/>
  <c r="CB32" i="2"/>
  <c r="ER32" i="2" s="1"/>
  <c r="CB35" i="2"/>
  <c r="CZ35" i="2" s="1"/>
  <c r="CB29" i="2"/>
  <c r="CB30" i="2"/>
  <c r="CJ32" i="2"/>
  <c r="CJ35" i="2"/>
  <c r="ET35" i="2" s="1"/>
  <c r="CJ29" i="2"/>
  <c r="CJ30" i="2"/>
  <c r="DT36" i="2"/>
  <c r="DS36" i="2"/>
  <c r="DC36" i="2"/>
  <c r="ET36" i="2"/>
  <c r="CX37" i="2"/>
  <c r="CP29" i="2"/>
  <c r="DQ29" i="2" s="1"/>
  <c r="DG31" i="2"/>
  <c r="CX35" i="2"/>
  <c r="DC35" i="2"/>
  <c r="BU33" i="2"/>
  <c r="DH33" i="2" s="1"/>
  <c r="BU36" i="2"/>
  <c r="DH36" i="2" s="1"/>
  <c r="BU30" i="2"/>
  <c r="DH30" i="2" s="1"/>
  <c r="BU31" i="2"/>
  <c r="DH31" i="2" s="1"/>
  <c r="CC33" i="2"/>
  <c r="CC36" i="2"/>
  <c r="DB36" i="2" s="1"/>
  <c r="CC30" i="2"/>
  <c r="CC31" i="2"/>
  <c r="CK33" i="2"/>
  <c r="EU33" i="2" s="1"/>
  <c r="CK36" i="2"/>
  <c r="CK30" i="2"/>
  <c r="CK31" i="2"/>
  <c r="EU36" i="2"/>
  <c r="BV34" i="2"/>
  <c r="DL34" i="2" s="1"/>
  <c r="BV37" i="2"/>
  <c r="DL37" i="2" s="1"/>
  <c r="BV31" i="2"/>
  <c r="DL31" i="2" s="1"/>
  <c r="BV32" i="2"/>
  <c r="DL32" i="2" s="1"/>
  <c r="CD34" i="2"/>
  <c r="CD37" i="2"/>
  <c r="CD31" i="2"/>
  <c r="CD32" i="2"/>
  <c r="CZ32" i="2" s="1"/>
  <c r="CL34" i="2"/>
  <c r="CX34" i="2" s="1"/>
  <c r="CL37" i="2"/>
  <c r="EP37" i="2" s="1"/>
  <c r="CL31" i="2"/>
  <c r="CL32" i="2"/>
  <c r="EP32" i="2" s="1"/>
  <c r="DC37" i="2"/>
  <c r="BO29" i="2"/>
  <c r="BW29" i="2"/>
  <c r="DJ29" i="2" s="1"/>
  <c r="CE29" i="2"/>
  <c r="CM29" i="2"/>
  <c r="DK30" i="2"/>
  <c r="CZ30" i="2"/>
  <c r="ER30" i="2"/>
  <c r="BQ31" i="2"/>
  <c r="BY31" i="2"/>
  <c r="DN31" i="2" s="1"/>
  <c r="CG31" i="2"/>
  <c r="CO31" i="2"/>
  <c r="CY31" i="2" s="1"/>
  <c r="BS31" i="2"/>
  <c r="BS34" i="2"/>
  <c r="BS29" i="2"/>
  <c r="CX29" i="2" s="1"/>
  <c r="CA31" i="2"/>
  <c r="CA34" i="2"/>
  <c r="CA29" i="2"/>
  <c r="CI31" i="2"/>
  <c r="DO31" i="2" s="1"/>
  <c r="CI34" i="2"/>
  <c r="DO34" i="2" s="1"/>
  <c r="CI29" i="2"/>
  <c r="DO29" i="2" s="1"/>
  <c r="DM34" i="2"/>
  <c r="DM37" i="2"/>
  <c r="DA37" i="2"/>
  <c r="ES37" i="2"/>
  <c r="CY37" i="2"/>
  <c r="EQ37" i="2"/>
  <c r="BP29" i="2"/>
  <c r="BX29" i="2"/>
  <c r="DR29" i="2" s="1"/>
  <c r="CF29" i="2"/>
  <c r="CN29" i="2"/>
  <c r="CI30" i="2"/>
  <c r="DO30" i="2" s="1"/>
  <c r="BR31" i="2"/>
  <c r="DA31" i="2" s="1"/>
  <c r="BZ31" i="2"/>
  <c r="DP31" i="2" s="1"/>
  <c r="CH31" i="2"/>
  <c r="CP31" i="2"/>
  <c r="DQ31" i="2" s="1"/>
  <c r="BT34" i="2"/>
  <c r="CB34" i="2"/>
  <c r="DA34" i="2" s="1"/>
  <c r="CJ34" i="2"/>
  <c r="CY34" i="2"/>
  <c r="EQ34" i="2"/>
  <c r="DA36" i="2"/>
  <c r="ES36" i="2"/>
  <c r="CY36" i="2"/>
  <c r="EQ36" i="2"/>
  <c r="CW36" i="2"/>
  <c r="CW37" i="2"/>
  <c r="EO37" i="2"/>
  <c r="DG37" i="2"/>
  <c r="EN37" i="2"/>
  <c r="ES33" i="2"/>
  <c r="DM35" i="2"/>
  <c r="EU35" i="2"/>
  <c r="ES32" i="2"/>
  <c r="DA33" i="2"/>
  <c r="EU34" i="2"/>
  <c r="DG36" i="2"/>
  <c r="EO36" i="2"/>
  <c r="DG34" i="2"/>
  <c r="ER37" i="2"/>
  <c r="DY37" i="2" s="1"/>
  <c r="DG33" i="2"/>
  <c r="EQ35" i="2"/>
  <c r="ER36" i="2"/>
  <c r="CZ37" i="2"/>
  <c r="ET37" i="2"/>
  <c r="AP13" i="1"/>
  <c r="AI10" i="1"/>
  <c r="AN28" i="1"/>
  <c r="BT28" i="1" s="1"/>
  <c r="AS13" i="1"/>
  <c r="AL20" i="1"/>
  <c r="BF21" i="1"/>
  <c r="AL22" i="1"/>
  <c r="AL26" i="1"/>
  <c r="BD26" i="1"/>
  <c r="AV28" i="1"/>
  <c r="CB28" i="1" s="1"/>
  <c r="DA37" i="1"/>
  <c r="CE31" i="1"/>
  <c r="CI32" i="1"/>
  <c r="DO32" i="1" s="1"/>
  <c r="BU35" i="1"/>
  <c r="DH35" i="1" s="1"/>
  <c r="CK34" i="1"/>
  <c r="BZ37" i="1"/>
  <c r="EN37" i="1" s="1"/>
  <c r="BV34" i="1"/>
  <c r="DL34" i="1" s="1"/>
  <c r="CD34" i="1"/>
  <c r="BT29" i="1"/>
  <c r="BQ31" i="1"/>
  <c r="BY31" i="1"/>
  <c r="DN31" i="1" s="1"/>
  <c r="BZ32" i="1"/>
  <c r="DP32" i="1" s="1"/>
  <c r="BW31" i="1"/>
  <c r="DJ31" i="1" s="1"/>
  <c r="CE34" i="1"/>
  <c r="CM35" i="1"/>
  <c r="CC35" i="1"/>
  <c r="BW36" i="1"/>
  <c r="DJ36" i="1" s="1"/>
  <c r="CM36" i="1"/>
  <c r="BT32" i="1"/>
  <c r="CJ34" i="1"/>
  <c r="BO29" i="1"/>
  <c r="CF31" i="1"/>
  <c r="CF32" i="1"/>
  <c r="CC29" i="1"/>
  <c r="BV32" i="1"/>
  <c r="DL32" i="1" s="1"/>
  <c r="BP36" i="1"/>
  <c r="CN36" i="1"/>
  <c r="DG36" i="1" s="1"/>
  <c r="CD29" i="1"/>
  <c r="CB32" i="1"/>
  <c r="BP35" i="1"/>
  <c r="CD35" i="1"/>
  <c r="CA31" i="1"/>
  <c r="ER31" i="1" s="1"/>
  <c r="DS36" i="1"/>
  <c r="CB31" i="1"/>
  <c r="BR36" i="1"/>
  <c r="EQ36" i="1" s="1"/>
  <c r="CK36" i="1"/>
  <c r="EP36" i="1" s="1"/>
  <c r="AR3" i="1"/>
  <c r="AK7" i="1"/>
  <c r="AW8" i="1"/>
  <c r="BA9" i="1"/>
  <c r="CN29" i="1"/>
  <c r="CF30" i="1"/>
  <c r="CO32" i="1"/>
  <c r="DI32" i="1" s="1"/>
  <c r="BV35" i="1"/>
  <c r="DL35" i="1" s="1"/>
  <c r="BE4" i="1"/>
  <c r="BF23" i="1"/>
  <c r="AP21" i="1"/>
  <c r="AU17" i="1"/>
  <c r="AN19" i="1"/>
  <c r="AN20" i="1"/>
  <c r="AV21" i="1"/>
  <c r="BD21" i="1"/>
  <c r="AN23" i="1"/>
  <c r="AV22" i="1"/>
  <c r="AV25" i="1"/>
  <c r="AN27" i="1"/>
  <c r="AT22" i="1"/>
  <c r="AR12" i="1"/>
  <c r="AT20" i="1"/>
  <c r="AT28" i="1"/>
  <c r="BZ28" i="1" s="1"/>
  <c r="DP28" i="1" s="1"/>
  <c r="AJ12" i="1"/>
  <c r="AJ23" i="1"/>
  <c r="AR24" i="1"/>
  <c r="AJ28" i="1"/>
  <c r="BP28" i="1" s="1"/>
  <c r="AR28" i="1"/>
  <c r="BX28" i="1" s="1"/>
  <c r="DR28" i="1" s="1"/>
  <c r="AI3" i="1"/>
  <c r="BD4" i="1"/>
  <c r="AW5" i="1"/>
  <c r="AS6" i="1"/>
  <c r="BE7" i="1"/>
  <c r="AR18" i="1"/>
  <c r="AZ21" i="1"/>
  <c r="AJ11" i="1"/>
  <c r="BC5" i="1"/>
  <c r="BC9" i="1"/>
  <c r="AP12" i="1"/>
  <c r="AU15" i="1"/>
  <c r="AZ19" i="1"/>
  <c r="AT15" i="1"/>
  <c r="AS10" i="1"/>
  <c r="BC14" i="1"/>
  <c r="BF22" i="1"/>
  <c r="BF7" i="1"/>
  <c r="BJ16" i="1"/>
  <c r="BA10" i="1"/>
  <c r="AX12" i="1"/>
  <c r="AY14" i="1"/>
  <c r="AM17" i="1"/>
  <c r="AZ22" i="1"/>
  <c r="BD27" i="1"/>
  <c r="AZ27" i="1"/>
  <c r="AT18" i="1"/>
  <c r="BD13" i="1"/>
  <c r="AR17" i="1"/>
  <c r="AV4" i="1"/>
  <c r="BD28" i="1"/>
  <c r="CJ28" i="1" s="1"/>
  <c r="AK2" i="1"/>
  <c r="BI2" i="1"/>
  <c r="AX2" i="1"/>
  <c r="BF2" i="1"/>
  <c r="AK4" i="1"/>
  <c r="BJ10" i="1"/>
  <c r="AU18" i="1"/>
  <c r="AP23" i="1"/>
  <c r="AP2" i="1"/>
  <c r="AP15" i="1"/>
  <c r="AM19" i="1"/>
  <c r="BC18" i="1"/>
  <c r="AI26" i="1"/>
  <c r="AM14" i="1"/>
  <c r="AX26" i="1"/>
  <c r="AN13" i="1"/>
  <c r="BD12" i="1"/>
  <c r="BD11" i="1"/>
  <c r="AX21" i="1"/>
  <c r="AX23" i="1"/>
  <c r="AX25" i="1"/>
  <c r="AV12" i="1"/>
  <c r="AV11" i="1"/>
  <c r="AU16" i="1"/>
  <c r="AN11" i="1"/>
  <c r="AP4" i="1"/>
  <c r="AN18" i="1"/>
  <c r="AP10" i="1"/>
  <c r="BC13" i="1"/>
  <c r="AO10" i="1"/>
  <c r="BE10" i="1"/>
  <c r="AL11" i="1"/>
  <c r="AT11" i="1"/>
  <c r="BF12" i="1"/>
  <c r="AY15" i="1"/>
  <c r="AL27" i="1"/>
  <c r="AR11" i="1"/>
  <c r="AZ12" i="1"/>
  <c r="AR13" i="1"/>
  <c r="BJ21" i="1"/>
  <c r="BJ26" i="1"/>
  <c r="BC10" i="1"/>
  <c r="BC6" i="1"/>
  <c r="BH11" i="1"/>
  <c r="AM18" i="1"/>
  <c r="AS4" i="1"/>
  <c r="BA4" i="1"/>
  <c r="AV18" i="1"/>
  <c r="AJ21" i="1"/>
  <c r="AS3" i="1"/>
  <c r="AW3" i="1"/>
  <c r="AL5" i="1"/>
  <c r="AT5" i="1"/>
  <c r="BJ5" i="1"/>
  <c r="AP6" i="1"/>
  <c r="AX6" i="1"/>
  <c r="BF6" i="1"/>
  <c r="AL7" i="1"/>
  <c r="AT7" i="1"/>
  <c r="BJ6" i="1"/>
  <c r="AX8" i="1"/>
  <c r="AX9" i="1"/>
  <c r="BF9" i="1"/>
  <c r="AM11" i="1"/>
  <c r="AU11" i="1"/>
  <c r="AI12" i="1"/>
  <c r="AQ12" i="1"/>
  <c r="AY12" i="1"/>
  <c r="BG11" i="1"/>
  <c r="AM13" i="1"/>
  <c r="AU12" i="1"/>
  <c r="AQ13" i="1"/>
  <c r="AZ14" i="1"/>
  <c r="BH13" i="1"/>
  <c r="AN14" i="1"/>
  <c r="BD15" i="1"/>
  <c r="AJ15" i="1"/>
  <c r="AR16" i="1"/>
  <c r="AJ2" i="1"/>
  <c r="BE2" i="1"/>
  <c r="AX18" i="1"/>
  <c r="AJ5" i="1"/>
  <c r="AO2" i="1"/>
  <c r="BF4" i="1"/>
  <c r="AT14" i="1"/>
  <c r="AX15" i="1"/>
  <c r="BF15" i="1"/>
  <c r="AT16" i="1"/>
  <c r="AX17" i="1"/>
  <c r="BC24" i="1"/>
  <c r="AZ17" i="1"/>
  <c r="AW2" i="1"/>
  <c r="AS12" i="1"/>
  <c r="AT6" i="1"/>
  <c r="BA8" i="1"/>
  <c r="BF20" i="1"/>
  <c r="BF14" i="1"/>
  <c r="AS18" i="1"/>
  <c r="BA18" i="1"/>
  <c r="BI18" i="1"/>
  <c r="AO20" i="1"/>
  <c r="AK20" i="1"/>
  <c r="AS21" i="1"/>
  <c r="BA21" i="1"/>
  <c r="BI21" i="1"/>
  <c r="AW21" i="1"/>
  <c r="AS23" i="1"/>
  <c r="AW23" i="1"/>
  <c r="AK25" i="1"/>
  <c r="AS25" i="1"/>
  <c r="BA25" i="1"/>
  <c r="BI24" i="1"/>
  <c r="AW26" i="1"/>
  <c r="BE26" i="1"/>
  <c r="AK26" i="1"/>
  <c r="AS26" i="1"/>
  <c r="BA27" i="1"/>
  <c r="BI27" i="1"/>
  <c r="AO28" i="1"/>
  <c r="BU28" i="1" s="1"/>
  <c r="DH28" i="1" s="1"/>
  <c r="AW27" i="1"/>
  <c r="BE27" i="1"/>
  <c r="AS28" i="1"/>
  <c r="BY28" i="1" s="1"/>
  <c r="DN28" i="1" s="1"/>
  <c r="BI28" i="1"/>
  <c r="CO28" i="1" s="1"/>
  <c r="DI28" i="1" s="1"/>
  <c r="AW7" i="1"/>
  <c r="AS2" i="1"/>
  <c r="BA2" i="1"/>
  <c r="BE13" i="1"/>
  <c r="AK14" i="1"/>
  <c r="AS15" i="1"/>
  <c r="AW16" i="1"/>
  <c r="AS17" i="1"/>
  <c r="BA17" i="1"/>
  <c r="BI17" i="1"/>
  <c r="AO18" i="1"/>
  <c r="AW18" i="1"/>
  <c r="AL19" i="1"/>
  <c r="AP20" i="1"/>
  <c r="AL21" i="1"/>
  <c r="BB21" i="1"/>
  <c r="AL23" i="1"/>
  <c r="BB23" i="1"/>
  <c r="AT25" i="1"/>
  <c r="BJ25" i="1"/>
  <c r="AP26" i="1"/>
  <c r="BF26" i="1"/>
  <c r="BJ27" i="1"/>
  <c r="AP28" i="1"/>
  <c r="BV28" i="1" s="1"/>
  <c r="DL28" i="1" s="1"/>
  <c r="AX27" i="1"/>
  <c r="BF27" i="1"/>
  <c r="BJ28" i="1"/>
  <c r="CP28" i="1" s="1"/>
  <c r="DQ28" i="1" s="1"/>
  <c r="AQ11" i="1"/>
  <c r="AV6" i="1"/>
  <c r="BD5" i="1"/>
  <c r="AJ6" i="1"/>
  <c r="AR6" i="1"/>
  <c r="AZ6" i="1"/>
  <c r="AV8" i="1"/>
  <c r="AJ9" i="1"/>
  <c r="AR8" i="1"/>
  <c r="AZ9" i="1"/>
  <c r="AN10" i="1"/>
  <c r="BD10" i="1"/>
  <c r="AK11" i="1"/>
  <c r="BI11" i="1"/>
  <c r="AO12" i="1"/>
  <c r="AW12" i="1"/>
  <c r="AK12" i="1"/>
  <c r="BA12" i="1"/>
  <c r="BI13" i="1"/>
  <c r="AO13" i="1"/>
  <c r="AL15" i="1"/>
  <c r="AP16" i="1"/>
  <c r="AT17" i="1"/>
  <c r="BB17" i="1"/>
  <c r="BC19" i="1"/>
  <c r="AQ20" i="1"/>
  <c r="AY19" i="1"/>
  <c r="AM20" i="1"/>
  <c r="AU21" i="1"/>
  <c r="BC21" i="1"/>
  <c r="AI22" i="1"/>
  <c r="AQ22" i="1"/>
  <c r="AY22" i="1"/>
  <c r="AM22" i="1"/>
  <c r="AU22" i="1"/>
  <c r="BC23" i="1"/>
  <c r="AI23" i="1"/>
  <c r="AQ24" i="1"/>
  <c r="BG23" i="1"/>
  <c r="AU24" i="1"/>
  <c r="AQ26" i="1"/>
  <c r="AY26" i="1"/>
  <c r="BC27" i="1"/>
  <c r="AQ28" i="1"/>
  <c r="BW28" i="1" s="1"/>
  <c r="DJ28" i="1" s="1"/>
  <c r="AY27" i="1"/>
  <c r="BG28" i="1"/>
  <c r="CM28" i="1" s="1"/>
  <c r="BC17" i="1"/>
  <c r="AI18" i="1"/>
  <c r="BD2" i="1"/>
  <c r="AJ4" i="1"/>
  <c r="BH3" i="1"/>
  <c r="AW4" i="1"/>
  <c r="BE5" i="1"/>
  <c r="BA6" i="1"/>
  <c r="BI6" i="1"/>
  <c r="BE9" i="1"/>
  <c r="AT12" i="1"/>
  <c r="BF13" i="1"/>
  <c r="BH19" i="1"/>
  <c r="BH21" i="1"/>
  <c r="BH23" i="1"/>
  <c r="AZ25" i="1"/>
  <c r="BH24" i="1"/>
  <c r="BH27" i="1"/>
  <c r="BH28" i="1"/>
  <c r="CN28" i="1" s="1"/>
  <c r="DG28" i="1" s="1"/>
  <c r="BH20" i="1"/>
  <c r="BJ17" i="1"/>
  <c r="BJ19" i="1"/>
  <c r="BD6" i="1"/>
  <c r="AT10" i="1"/>
  <c r="BJ20" i="1"/>
  <c r="AP27" i="1"/>
  <c r="AV3" i="1"/>
  <c r="AZ3" i="1"/>
  <c r="BE14" i="1"/>
  <c r="BA26" i="1"/>
  <c r="AV2" i="1"/>
  <c r="AL10" i="1"/>
  <c r="AZ4" i="1"/>
  <c r="AS20" i="1"/>
  <c r="AT3" i="1"/>
  <c r="BB3" i="1"/>
  <c r="AM5" i="1"/>
  <c r="AU5" i="1"/>
  <c r="AQ5" i="1"/>
  <c r="BG5" i="1"/>
  <c r="AU7" i="1"/>
  <c r="AY8" i="1"/>
  <c r="BG7" i="1"/>
  <c r="AU9" i="1"/>
  <c r="AQ9" i="1"/>
  <c r="BJ12" i="1"/>
  <c r="BB14" i="1"/>
  <c r="AK10" i="1"/>
  <c r="AR7" i="1"/>
  <c r="AS14" i="1"/>
  <c r="AS16" i="1"/>
  <c r="BB5" i="1"/>
  <c r="BA16" i="1"/>
  <c r="AO27" i="1"/>
  <c r="AK13" i="1"/>
  <c r="AS27" i="1"/>
  <c r="BB15" i="1"/>
  <c r="BB22" i="1"/>
  <c r="BB25" i="1"/>
  <c r="BB26" i="1"/>
  <c r="BB28" i="1"/>
  <c r="AV7" i="1"/>
  <c r="BD9" i="1"/>
  <c r="BA13" i="1"/>
  <c r="BA19" i="1"/>
  <c r="AI5" i="1"/>
  <c r="BI20" i="1"/>
  <c r="AM3" i="1"/>
  <c r="AU3" i="1"/>
  <c r="BC3" i="1"/>
  <c r="AI4" i="1"/>
  <c r="AY3" i="1"/>
  <c r="BG3" i="1"/>
  <c r="BI10" i="1"/>
  <c r="BJ11" i="1"/>
  <c r="BB10" i="1"/>
  <c r="BI16" i="1"/>
  <c r="BB11" i="1"/>
  <c r="BB27" i="1"/>
  <c r="BB4" i="1"/>
  <c r="AI19" i="1"/>
  <c r="BG21" i="1"/>
  <c r="BG14" i="1"/>
  <c r="AI15" i="1"/>
  <c r="BG17" i="1"/>
  <c r="BG19" i="1"/>
  <c r="BB6" i="1"/>
  <c r="BB9" i="1"/>
  <c r="AY7" i="1"/>
  <c r="BG13" i="1"/>
  <c r="BG18" i="1"/>
  <c r="BG20" i="1"/>
  <c r="AY25" i="1"/>
  <c r="AQ19" i="1"/>
  <c r="AM23" i="1"/>
  <c r="BC26" i="1"/>
  <c r="BC15" i="1"/>
  <c r="BC22" i="1"/>
  <c r="AQ25" i="1"/>
  <c r="AI11" i="1"/>
  <c r="BG22" i="1"/>
  <c r="AU6" i="1"/>
  <c r="AU8" i="1"/>
  <c r="AM10" i="1"/>
  <c r="BG4" i="1"/>
  <c r="AY4" i="1"/>
  <c r="AU2" i="1"/>
  <c r="AL9" i="1"/>
  <c r="BJ9" i="1"/>
  <c r="BH10" i="1"/>
  <c r="BB13" i="1"/>
  <c r="AM21" i="1"/>
  <c r="BE6" i="1"/>
  <c r="AR2" i="1"/>
  <c r="AZ2" i="1"/>
  <c r="AO5" i="1"/>
  <c r="BA5" i="1"/>
  <c r="AU4" i="1"/>
  <c r="AP5" i="1"/>
  <c r="BF5" i="1"/>
  <c r="AZ7" i="1"/>
  <c r="AN8" i="1"/>
  <c r="AV15" i="1"/>
  <c r="AQ17" i="1"/>
  <c r="AY18" i="1"/>
  <c r="AP19" i="1"/>
  <c r="AX19" i="1"/>
  <c r="BF19" i="1"/>
  <c r="AO21" i="1"/>
  <c r="AN21" i="1"/>
  <c r="AI24" i="1"/>
  <c r="AR25" i="1"/>
  <c r="AL13" i="1"/>
  <c r="AL14" i="1"/>
  <c r="AS7" i="1"/>
  <c r="AO7" i="1"/>
  <c r="AN17" i="1"/>
  <c r="BD17" i="1"/>
  <c r="AZ26" i="1"/>
  <c r="AV26" i="1"/>
  <c r="BA24" i="1"/>
  <c r="AW6" i="1"/>
  <c r="AX3" i="1"/>
  <c r="AX4" i="1"/>
  <c r="BE17" i="1"/>
  <c r="AI21" i="1"/>
  <c r="AQ21" i="1"/>
  <c r="AY21" i="1"/>
  <c r="AJ22" i="1"/>
  <c r="AS24" i="1"/>
  <c r="BE12" i="1"/>
  <c r="BE11" i="1"/>
  <c r="AO6" i="1"/>
  <c r="AK5" i="1"/>
  <c r="AS5" i="1"/>
  <c r="BI5" i="1"/>
  <c r="AI6" i="1"/>
  <c r="BG6" i="1"/>
  <c r="BB8" i="1"/>
  <c r="AJ10" i="1"/>
  <c r="BF10" i="1"/>
  <c r="AO11" i="1"/>
  <c r="AT13" i="1"/>
  <c r="AO16" i="1"/>
  <c r="BE16" i="1"/>
  <c r="BD16" i="1"/>
  <c r="AW17" i="1"/>
  <c r="BC20" i="1"/>
  <c r="AW22" i="1"/>
  <c r="BE22" i="1"/>
  <c r="BB24" i="1"/>
  <c r="BC4" i="1"/>
  <c r="BG10" i="1"/>
  <c r="AZ8" i="1"/>
  <c r="BH8" i="1"/>
  <c r="AY9" i="1"/>
  <c r="AP11" i="1"/>
  <c r="BF11" i="1"/>
  <c r="AY16" i="1"/>
  <c r="AY17" i="1"/>
  <c r="AX22" i="1"/>
  <c r="AY24" i="1"/>
  <c r="AY23" i="1"/>
  <c r="AJ26" i="1"/>
  <c r="AR26" i="1"/>
  <c r="AL12" i="1"/>
  <c r="BB12" i="1"/>
  <c r="AX13" i="1"/>
  <c r="AU14" i="1"/>
  <c r="AQ14" i="1"/>
  <c r="AQ15" i="1"/>
  <c r="BH16" i="1"/>
  <c r="BH18" i="1"/>
  <c r="BB19" i="1"/>
  <c r="BB20" i="1"/>
  <c r="AZ24" i="1"/>
  <c r="AO25" i="1"/>
  <c r="AW25" i="1"/>
  <c r="BE25" i="1"/>
  <c r="AL2" i="1"/>
  <c r="BB2" i="1"/>
  <c r="AN3" i="1"/>
  <c r="BC2" i="1"/>
  <c r="AO3" i="1"/>
  <c r="BE3" i="1"/>
  <c r="AM4" i="1"/>
  <c r="AR5" i="1"/>
  <c r="AL6" i="1"/>
  <c r="AI9" i="1"/>
  <c r="AK9" i="1"/>
  <c r="AZ13" i="1"/>
  <c r="AK15" i="1"/>
  <c r="AL18" i="1"/>
  <c r="BB18" i="1"/>
  <c r="BJ18" i="1"/>
  <c r="AO19" i="1"/>
  <c r="AW19" i="1"/>
  <c r="BE18" i="1"/>
  <c r="AU23" i="1"/>
  <c r="AM27" i="1"/>
  <c r="AU27" i="1"/>
  <c r="AL28" i="1"/>
  <c r="BR28" i="1" s="1"/>
  <c r="AM28" i="1"/>
  <c r="BS28" i="1" s="1"/>
  <c r="AU28" i="1"/>
  <c r="AJ27" i="1"/>
  <c r="BC28" i="1"/>
  <c r="AW28" i="1"/>
  <c r="BE28" i="1"/>
  <c r="CK28" i="1" s="1"/>
  <c r="AQ2" i="1"/>
  <c r="AY2" i="1"/>
  <c r="BA3" i="1"/>
  <c r="BI3" i="1"/>
  <c r="AN5" i="1"/>
  <c r="AV5" i="1"/>
  <c r="AQ6" i="1"/>
  <c r="AY6" i="1"/>
  <c r="AX7" i="1"/>
  <c r="BC8" i="1"/>
  <c r="AS11" i="1"/>
  <c r="AO14" i="1"/>
  <c r="AW15" i="1"/>
  <c r="BE15" i="1"/>
  <c r="AO15" i="1"/>
  <c r="AQ16" i="1"/>
  <c r="BF16" i="1"/>
  <c r="AP18" i="1"/>
  <c r="AK19" i="1"/>
  <c r="BI19" i="1"/>
  <c r="AQ23" i="1"/>
  <c r="AU25" i="1"/>
  <c r="AQ27" i="1"/>
  <c r="BG27" i="1"/>
  <c r="BF28" i="1"/>
  <c r="CL28" i="1" s="1"/>
  <c r="AT2" i="1"/>
  <c r="BJ2" i="1"/>
  <c r="BD3" i="1"/>
  <c r="AL4" i="1"/>
  <c r="AT4" i="1"/>
  <c r="AK6" i="1"/>
  <c r="AP9" i="1"/>
  <c r="BC12" i="1"/>
  <c r="AY13" i="1"/>
  <c r="BD14" i="1"/>
  <c r="AR14" i="1"/>
  <c r="AZ15" i="1"/>
  <c r="AR15" i="1"/>
  <c r="BD18" i="1"/>
  <c r="AK22" i="1"/>
  <c r="AS22" i="1"/>
  <c r="BA22" i="1"/>
  <c r="AT23" i="1"/>
  <c r="BJ23" i="1"/>
  <c r="BA23" i="1"/>
  <c r="BI23" i="1"/>
  <c r="AP25" i="1"/>
  <c r="AT27" i="1"/>
  <c r="BA28" i="1"/>
  <c r="CG28" i="1" s="1"/>
  <c r="AN6" i="1"/>
  <c r="AN7" i="1"/>
  <c r="AW9" i="1"/>
  <c r="AW10" i="1"/>
  <c r="AJ19" i="1"/>
  <c r="AJ18" i="1"/>
  <c r="AU10" i="1"/>
  <c r="BZ30" i="1"/>
  <c r="DP30" i="1" s="1"/>
  <c r="BZ31" i="1"/>
  <c r="DP31" i="1" s="1"/>
  <c r="BP34" i="1"/>
  <c r="DT34" i="1"/>
  <c r="DS34" i="1"/>
  <c r="BH6" i="1"/>
  <c r="BH7" i="1"/>
  <c r="AM24" i="1"/>
  <c r="AM25" i="1"/>
  <c r="BH5" i="1"/>
  <c r="BH4" i="1"/>
  <c r="AN25" i="1"/>
  <c r="AN24" i="1"/>
  <c r="AV9" i="1"/>
  <c r="AV10" i="1"/>
  <c r="BY29" i="1"/>
  <c r="DN29" i="1" s="1"/>
  <c r="AV20" i="1"/>
  <c r="AV19" i="1"/>
  <c r="CM31" i="1"/>
  <c r="AP8" i="1"/>
  <c r="AP7" i="1"/>
  <c r="CM30" i="1"/>
  <c r="ER37" i="1"/>
  <c r="CZ37" i="1"/>
  <c r="DK37" i="1"/>
  <c r="AQ7" i="1"/>
  <c r="AQ8" i="1"/>
  <c r="BG16" i="1"/>
  <c r="AK24" i="1"/>
  <c r="AK23" i="1"/>
  <c r="BV33" i="1"/>
  <c r="DL33" i="1" s="1"/>
  <c r="AY5" i="1"/>
  <c r="AN16" i="1"/>
  <c r="BG26" i="1"/>
  <c r="AZ5" i="1"/>
  <c r="AN26" i="1"/>
  <c r="DC37" i="1"/>
  <c r="BI25" i="1"/>
  <c r="CC33" i="1"/>
  <c r="CC34" i="1"/>
  <c r="BH15" i="1"/>
  <c r="BH14" i="1"/>
  <c r="BS29" i="1"/>
  <c r="BI15" i="1"/>
  <c r="BI14" i="1"/>
  <c r="BF17" i="1"/>
  <c r="AX11" i="1"/>
  <c r="AX10" i="1"/>
  <c r="CO29" i="1"/>
  <c r="DI29" i="1" s="1"/>
  <c r="BP31" i="1"/>
  <c r="BP30" i="1"/>
  <c r="CJ31" i="1"/>
  <c r="CJ29" i="1"/>
  <c r="CG32" i="1"/>
  <c r="CH35" i="1"/>
  <c r="CG36" i="1"/>
  <c r="EP37" i="1"/>
  <c r="CX37" i="1"/>
  <c r="AT8" i="1"/>
  <c r="AT9" i="1"/>
  <c r="AY11" i="1"/>
  <c r="AY10" i="1"/>
  <c r="AI17" i="1"/>
  <c r="AI16" i="1"/>
  <c r="BH17" i="1"/>
  <c r="BD19" i="1"/>
  <c r="AJ25" i="1"/>
  <c r="AJ24" i="1"/>
  <c r="BD25" i="1"/>
  <c r="BD24" i="1"/>
  <c r="CP29" i="1"/>
  <c r="DQ29" i="1" s="1"/>
  <c r="CK31" i="1"/>
  <c r="CK29" i="1"/>
  <c r="AL17" i="1"/>
  <c r="AL16" i="1"/>
  <c r="BR34" i="1"/>
  <c r="BR32" i="1"/>
  <c r="AU20" i="1"/>
  <c r="BW32" i="1"/>
  <c r="BW34" i="1"/>
  <c r="BW33" i="1"/>
  <c r="DJ33" i="1" s="1"/>
  <c r="CJ30" i="1"/>
  <c r="AX14" i="1"/>
  <c r="DK31" i="1"/>
  <c r="CZ31" i="1"/>
  <c r="AZ18" i="1"/>
  <c r="AR22" i="1"/>
  <c r="CL30" i="1"/>
  <c r="BJ7" i="1"/>
  <c r="BJ8" i="1"/>
  <c r="BR33" i="1"/>
  <c r="AX5" i="1"/>
  <c r="AI8" i="1"/>
  <c r="AM16" i="1"/>
  <c r="AV17" i="1"/>
  <c r="AV16" i="1"/>
  <c r="BE23" i="1"/>
  <c r="BE24" i="1"/>
  <c r="EN29" i="1"/>
  <c r="CZ32" i="1"/>
  <c r="ER32" i="1"/>
  <c r="DK32" i="1"/>
  <c r="AM26" i="1"/>
  <c r="AO8" i="1"/>
  <c r="BH26" i="1"/>
  <c r="AO4" i="1"/>
  <c r="BI26" i="1"/>
  <c r="DT31" i="1"/>
  <c r="CH37" i="1"/>
  <c r="BJ4" i="1"/>
  <c r="BD23" i="1"/>
  <c r="BD22" i="1"/>
  <c r="CM29" i="1"/>
  <c r="AW11" i="1"/>
  <c r="AP24" i="1"/>
  <c r="DT29" i="1"/>
  <c r="DS29" i="1"/>
  <c r="AR4" i="1"/>
  <c r="AS9" i="1"/>
  <c r="AS8" i="1"/>
  <c r="BJ15" i="1"/>
  <c r="DQ37" i="1"/>
  <c r="CW37" i="1"/>
  <c r="AR9" i="1"/>
  <c r="AZ10" i="1"/>
  <c r="AZ11" i="1"/>
  <c r="AJ17" i="1"/>
  <c r="AJ16" i="1"/>
  <c r="BE19" i="1"/>
  <c r="DM29" i="1"/>
  <c r="CL29" i="1"/>
  <c r="CJ35" i="1"/>
  <c r="BG24" i="1"/>
  <c r="BG25" i="1"/>
  <c r="DK30" i="1"/>
  <c r="DM34" i="1"/>
  <c r="BX34" i="1"/>
  <c r="DR34" i="1" s="1"/>
  <c r="BX33" i="1"/>
  <c r="DR33" i="1" s="1"/>
  <c r="BX31" i="1"/>
  <c r="DR31" i="1" s="1"/>
  <c r="CO33" i="1"/>
  <c r="DI33" i="1" s="1"/>
  <c r="CO31" i="1"/>
  <c r="DI31" i="1" s="1"/>
  <c r="BI7" i="1"/>
  <c r="BI8" i="1"/>
  <c r="CP33" i="1"/>
  <c r="DQ33" i="1" s="1"/>
  <c r="CP31" i="1"/>
  <c r="DQ31" i="1" s="1"/>
  <c r="AI14" i="1"/>
  <c r="AI13" i="1"/>
  <c r="BH25" i="1"/>
  <c r="DS31" i="1"/>
  <c r="BI4" i="1"/>
  <c r="AJ14" i="1"/>
  <c r="AJ13" i="1"/>
  <c r="AO26" i="1"/>
  <c r="BF18" i="1"/>
  <c r="AO24" i="1"/>
  <c r="AQ4" i="1"/>
  <c r="BJ24" i="1"/>
  <c r="DG29" i="1"/>
  <c r="CG35" i="1"/>
  <c r="BA11" i="1"/>
  <c r="BC11" i="1"/>
  <c r="AP14" i="1"/>
  <c r="BJ14" i="1"/>
  <c r="BJ13" i="1"/>
  <c r="AN15" i="1"/>
  <c r="AK17" i="1"/>
  <c r="AK16" i="1"/>
  <c r="AT21" i="1"/>
  <c r="AO23" i="1"/>
  <c r="AL24" i="1"/>
  <c r="AL25" i="1"/>
  <c r="BF24" i="1"/>
  <c r="BF25" i="1"/>
  <c r="BP29" i="1"/>
  <c r="DG35" i="1"/>
  <c r="BA15" i="1"/>
  <c r="BD8" i="1"/>
  <c r="AM9" i="1"/>
  <c r="BD7" i="1"/>
  <c r="BE8" i="1"/>
  <c r="BW30" i="1"/>
  <c r="DJ30" i="1" s="1"/>
  <c r="AJ3" i="1"/>
  <c r="AL8" i="1"/>
  <c r="BF8" i="1"/>
  <c r="AO9" i="1"/>
  <c r="BI9" i="1"/>
  <c r="AW14" i="1"/>
  <c r="AV24" i="1"/>
  <c r="AX28" i="1"/>
  <c r="BX30" i="1"/>
  <c r="DR30" i="1" s="1"/>
  <c r="CG31" i="1"/>
  <c r="BP33" i="1"/>
  <c r="BP32" i="1"/>
  <c r="CJ32" i="1"/>
  <c r="CJ33" i="1"/>
  <c r="CF33" i="1"/>
  <c r="BO36" i="1"/>
  <c r="BO35" i="1"/>
  <c r="EO35" i="1" s="1"/>
  <c r="BB7" i="1"/>
  <c r="BU30" i="1"/>
  <c r="DH30" i="1" s="1"/>
  <c r="CO30" i="1"/>
  <c r="DI30" i="1" s="1"/>
  <c r="CD30" i="1"/>
  <c r="BS31" i="1"/>
  <c r="CM32" i="1"/>
  <c r="BC7" i="1"/>
  <c r="CP30" i="1"/>
  <c r="DQ30" i="1" s="1"/>
  <c r="AJ7" i="1"/>
  <c r="BH9" i="1"/>
  <c r="AV14" i="1"/>
  <c r="AW24" i="1"/>
  <c r="BO32" i="1"/>
  <c r="BO33" i="1"/>
  <c r="AK3" i="1"/>
  <c r="AM8" i="1"/>
  <c r="BG8" i="1"/>
  <c r="AQ10" i="1"/>
  <c r="AR19" i="1"/>
  <c r="AR20" i="1"/>
  <c r="AY28" i="1"/>
  <c r="CH31" i="1"/>
  <c r="BS32" i="1"/>
  <c r="BQ33" i="1"/>
  <c r="BQ32" i="1"/>
  <c r="CE33" i="1"/>
  <c r="BA7" i="1"/>
  <c r="CC30" i="1"/>
  <c r="AI7" i="1"/>
  <c r="AJ8" i="1"/>
  <c r="BG9" i="1"/>
  <c r="BV30" i="1"/>
  <c r="DL30" i="1" s="1"/>
  <c r="CH32" i="1"/>
  <c r="AK8" i="1"/>
  <c r="AN9" i="1"/>
  <c r="DM30" i="1"/>
  <c r="AL3" i="1"/>
  <c r="BF3" i="1"/>
  <c r="AN4" i="1"/>
  <c r="AM7" i="1"/>
  <c r="AM6" i="1"/>
  <c r="AR10" i="1"/>
  <c r="AX24" i="1"/>
  <c r="AZ28" i="1"/>
  <c r="BZ29" i="1"/>
  <c r="DP29" i="1" s="1"/>
  <c r="BO31" i="1"/>
  <c r="CI31" i="1"/>
  <c r="DO31" i="1" s="1"/>
  <c r="CI29" i="1"/>
  <c r="DO29" i="1" s="1"/>
  <c r="BR29" i="1"/>
  <c r="BR31" i="1"/>
  <c r="BR30" i="1"/>
  <c r="CN32" i="1"/>
  <c r="CN31" i="1"/>
  <c r="AM2" i="1"/>
  <c r="AP3" i="1"/>
  <c r="CG34" i="1"/>
  <c r="BH2" i="1"/>
  <c r="AN12" i="1"/>
  <c r="BC16" i="1"/>
  <c r="BY33" i="1"/>
  <c r="DN33" i="1" s="1"/>
  <c r="CH34" i="1"/>
  <c r="CY35" i="1"/>
  <c r="BY36" i="1"/>
  <c r="DN36" i="1" s="1"/>
  <c r="BI12" i="1"/>
  <c r="AU13" i="1"/>
  <c r="AY20" i="1"/>
  <c r="AI28" i="1"/>
  <c r="BO28" i="1" s="1"/>
  <c r="AI27" i="1"/>
  <c r="CH29" i="1"/>
  <c r="BQ30" i="1"/>
  <c r="CA34" i="1"/>
  <c r="CA33" i="1"/>
  <c r="DT37" i="1"/>
  <c r="DS37" i="1"/>
  <c r="EU37" i="1"/>
  <c r="BG2" i="1"/>
  <c r="BG12" i="1"/>
  <c r="AW20" i="1"/>
  <c r="CL35" i="1"/>
  <c r="BX36" i="1"/>
  <c r="CV36" i="1" s="1"/>
  <c r="BH12" i="1"/>
  <c r="AV13" i="1"/>
  <c r="AZ20" i="1"/>
  <c r="AO22" i="1"/>
  <c r="BI22" i="1"/>
  <c r="AV23" i="1"/>
  <c r="AV27" i="1"/>
  <c r="BX32" i="1"/>
  <c r="DR32" i="1" s="1"/>
  <c r="BZ36" i="1"/>
  <c r="DP36" i="1" s="1"/>
  <c r="CB36" i="1"/>
  <c r="CB33" i="1"/>
  <c r="CL31" i="1"/>
  <c r="CF34" i="1"/>
  <c r="BQ35" i="1"/>
  <c r="CK35" i="1"/>
  <c r="BJ3" i="1"/>
  <c r="AM12" i="1"/>
  <c r="BB16" i="1"/>
  <c r="BS30" i="1"/>
  <c r="BR35" i="1"/>
  <c r="AN2" i="1"/>
  <c r="AQ3" i="1"/>
  <c r="AX20" i="1"/>
  <c r="AW13" i="1"/>
  <c r="BA20" i="1"/>
  <c r="AP22" i="1"/>
  <c r="BJ22" i="1"/>
  <c r="AK28" i="1"/>
  <c r="BQ28" i="1" s="1"/>
  <c r="AK27" i="1"/>
  <c r="CD33" i="1"/>
  <c r="CG33" i="1"/>
  <c r="BQ34" i="1"/>
  <c r="CA36" i="1"/>
  <c r="ES37" i="1"/>
  <c r="CE29" i="1"/>
  <c r="AP17" i="1"/>
  <c r="CF29" i="1"/>
  <c r="BA14" i="1"/>
  <c r="AK21" i="1"/>
  <c r="BE21" i="1"/>
  <c r="AZ23" i="1"/>
  <c r="AR27" i="1"/>
  <c r="CG29" i="1"/>
  <c r="CK32" i="1"/>
  <c r="BY35" i="1"/>
  <c r="DN35" i="1" s="1"/>
  <c r="BY34" i="1"/>
  <c r="DN34" i="1" s="1"/>
  <c r="CP34" i="1"/>
  <c r="DQ34" i="1" s="1"/>
  <c r="CP35" i="1"/>
  <c r="DQ35" i="1" s="1"/>
  <c r="AO17" i="1"/>
  <c r="AM15" i="1"/>
  <c r="BG15" i="1"/>
  <c r="AQ18" i="1"/>
  <c r="AJ20" i="1"/>
  <c r="CL32" i="1"/>
  <c r="AI20" i="1"/>
  <c r="CH30" i="1"/>
  <c r="CL33" i="1"/>
  <c r="EP33" i="1" s="1"/>
  <c r="BS35" i="1"/>
  <c r="EQ37" i="1"/>
  <c r="CY37" i="1"/>
  <c r="AU19" i="1"/>
  <c r="BD20" i="1"/>
  <c r="AT26" i="1"/>
  <c r="CA29" i="1"/>
  <c r="CI30" i="1"/>
  <c r="DO30" i="1" s="1"/>
  <c r="BS33" i="1"/>
  <c r="CM33" i="1"/>
  <c r="BT35" i="1"/>
  <c r="CN34" i="1"/>
  <c r="AK18" i="1"/>
  <c r="BE20" i="1"/>
  <c r="AT24" i="1"/>
  <c r="AI25" i="1"/>
  <c r="BC25" i="1"/>
  <c r="AU26" i="1"/>
  <c r="CB29" i="1"/>
  <c r="BT33" i="1"/>
  <c r="CN33" i="1"/>
  <c r="CO34" i="1"/>
  <c r="DI34" i="1" s="1"/>
  <c r="CO35" i="1"/>
  <c r="EO37" i="1"/>
  <c r="AX16" i="1"/>
  <c r="BZ35" i="1"/>
  <c r="DP35" i="1" s="1"/>
  <c r="AS19" i="1"/>
  <c r="CA35" i="1"/>
  <c r="AZ16" i="1"/>
  <c r="AT19" i="1"/>
  <c r="AN22" i="1"/>
  <c r="BH22" i="1"/>
  <c r="BT30" i="1"/>
  <c r="CN30" i="1"/>
  <c r="CD27" i="2" l="1"/>
  <c r="BO2" i="1"/>
  <c r="BO2" i="3"/>
  <c r="BV27" i="3"/>
  <c r="DL27" i="3" s="1"/>
  <c r="CP23" i="3"/>
  <c r="CO27" i="2"/>
  <c r="DI27" i="2" s="1"/>
  <c r="BV27" i="2"/>
  <c r="DL27" i="2" s="1"/>
  <c r="CJ27" i="2"/>
  <c r="CL27" i="2"/>
  <c r="BO27" i="2"/>
  <c r="CF27" i="3"/>
  <c r="CD25" i="3"/>
  <c r="CN27" i="3"/>
  <c r="DG27" i="3" s="1"/>
  <c r="BV23" i="2"/>
  <c r="DL23" i="2" s="1"/>
  <c r="BR22" i="3"/>
  <c r="BQ26" i="2"/>
  <c r="BY27" i="2"/>
  <c r="DN27" i="2" s="1"/>
  <c r="CZ35" i="3"/>
  <c r="CW33" i="3"/>
  <c r="ET29" i="3"/>
  <c r="CB27" i="3"/>
  <c r="CV35" i="3"/>
  <c r="EU29" i="3"/>
  <c r="BX27" i="3"/>
  <c r="DR27" i="3" s="1"/>
  <c r="CH25" i="3"/>
  <c r="EQ29" i="3"/>
  <c r="DK33" i="3"/>
  <c r="EN29" i="3"/>
  <c r="CD26" i="3"/>
  <c r="DB35" i="3"/>
  <c r="DT35" i="3"/>
  <c r="DA31" i="3"/>
  <c r="CV29" i="3"/>
  <c r="DB34" i="3"/>
  <c r="CZ31" i="3"/>
  <c r="DI31" i="3"/>
  <c r="DI34" i="3"/>
  <c r="DC33" i="3"/>
  <c r="EP32" i="3"/>
  <c r="EU33" i="3"/>
  <c r="DQ28" i="3"/>
  <c r="EP33" i="3"/>
  <c r="ER31" i="3"/>
  <c r="DI32" i="3"/>
  <c r="CX36" i="3"/>
  <c r="EP35" i="3"/>
  <c r="CZ30" i="3"/>
  <c r="CW29" i="3"/>
  <c r="DQ29" i="3"/>
  <c r="ET33" i="3"/>
  <c r="CZ33" i="3"/>
  <c r="CY29" i="3"/>
  <c r="EQ31" i="3"/>
  <c r="DQ30" i="3"/>
  <c r="DB29" i="3"/>
  <c r="DQ31" i="3"/>
  <c r="DI36" i="3"/>
  <c r="ES29" i="3"/>
  <c r="CY31" i="3"/>
  <c r="DC29" i="3"/>
  <c r="DQ23" i="3"/>
  <c r="DQ32" i="3"/>
  <c r="EO37" i="3"/>
  <c r="DA29" i="3"/>
  <c r="ER36" i="3"/>
  <c r="EP34" i="3"/>
  <c r="EO29" i="3"/>
  <c r="DI30" i="3"/>
  <c r="DI35" i="3"/>
  <c r="CX34" i="3"/>
  <c r="DA32" i="3"/>
  <c r="DB33" i="3"/>
  <c r="EO30" i="3"/>
  <c r="CG24" i="3"/>
  <c r="CH24" i="3"/>
  <c r="DI29" i="3"/>
  <c r="CH27" i="3"/>
  <c r="CC26" i="2"/>
  <c r="CH26" i="3"/>
  <c r="CP22" i="3"/>
  <c r="CP24" i="3"/>
  <c r="BU26" i="2"/>
  <c r="DH26" i="2" s="1"/>
  <c r="CP27" i="3"/>
  <c r="CL26" i="3"/>
  <c r="BP26" i="2"/>
  <c r="CN27" i="2"/>
  <c r="DG27" i="2" s="1"/>
  <c r="BR20" i="3"/>
  <c r="CD27" i="3"/>
  <c r="BU27" i="2"/>
  <c r="DH27" i="2" s="1"/>
  <c r="BU26" i="3"/>
  <c r="DH26" i="3" s="1"/>
  <c r="CE26" i="3"/>
  <c r="BU24" i="3"/>
  <c r="DH24" i="3" s="1"/>
  <c r="CD17" i="3"/>
  <c r="CH18" i="3"/>
  <c r="BZ27" i="3"/>
  <c r="DP27" i="3" s="1"/>
  <c r="BZ19" i="3"/>
  <c r="DP19" i="3" s="1"/>
  <c r="CP25" i="3"/>
  <c r="CP20" i="3"/>
  <c r="CP26" i="3"/>
  <c r="CL27" i="3"/>
  <c r="BR5" i="3"/>
  <c r="BZ26" i="3"/>
  <c r="DP26" i="3" s="1"/>
  <c r="BZ18" i="3"/>
  <c r="DP18" i="3" s="1"/>
  <c r="BZ22" i="3"/>
  <c r="DP22" i="3" s="1"/>
  <c r="CP19" i="3"/>
  <c r="CP21" i="3"/>
  <c r="CP8" i="3"/>
  <c r="CP18" i="3"/>
  <c r="BY25" i="3"/>
  <c r="DN25" i="3" s="1"/>
  <c r="CD19" i="3"/>
  <c r="CD21" i="3"/>
  <c r="BS25" i="3"/>
  <c r="BS27" i="3"/>
  <c r="CJ27" i="3"/>
  <c r="CD18" i="3"/>
  <c r="CJ23" i="3"/>
  <c r="BU6" i="3"/>
  <c r="DH6" i="3" s="1"/>
  <c r="CL22" i="3"/>
  <c r="CH21" i="3"/>
  <c r="CL25" i="3"/>
  <c r="BS25" i="2"/>
  <c r="CA16" i="3"/>
  <c r="DK16" i="3" s="1"/>
  <c r="CI27" i="3"/>
  <c r="DO27" i="3" s="1"/>
  <c r="CA24" i="3"/>
  <c r="DK24" i="3" s="1"/>
  <c r="CE27" i="2"/>
  <c r="CI26" i="3"/>
  <c r="DO26" i="3" s="1"/>
  <c r="CA27" i="3"/>
  <c r="DK27" i="3" s="1"/>
  <c r="BR21" i="3"/>
  <c r="CN24" i="2"/>
  <c r="DG24" i="2" s="1"/>
  <c r="BR27" i="3"/>
  <c r="BR6" i="2"/>
  <c r="BR25" i="3"/>
  <c r="BV21" i="2"/>
  <c r="DL21" i="2" s="1"/>
  <c r="CC25" i="2"/>
  <c r="BT25" i="3"/>
  <c r="DS25" i="3" s="1"/>
  <c r="BY24" i="3"/>
  <c r="DN24" i="3" s="1"/>
  <c r="BT24" i="3"/>
  <c r="DT24" i="3" s="1"/>
  <c r="BV15" i="3"/>
  <c r="DL15" i="3" s="1"/>
  <c r="BV25" i="3"/>
  <c r="DL25" i="3" s="1"/>
  <c r="DT28" i="3"/>
  <c r="BT27" i="3"/>
  <c r="DS27" i="3" s="1"/>
  <c r="BV22" i="3"/>
  <c r="DL22" i="3" s="1"/>
  <c r="CC27" i="2"/>
  <c r="BV17" i="3"/>
  <c r="DL17" i="3" s="1"/>
  <c r="BT26" i="2"/>
  <c r="DT26" i="2" s="1"/>
  <c r="BT25" i="2"/>
  <c r="DS25" i="2" s="1"/>
  <c r="BV19" i="3"/>
  <c r="DL19" i="3" s="1"/>
  <c r="BZ11" i="3"/>
  <c r="DP11" i="3" s="1"/>
  <c r="CH20" i="3"/>
  <c r="CD20" i="3"/>
  <c r="CD16" i="3"/>
  <c r="BZ20" i="3"/>
  <c r="DP20" i="3" s="1"/>
  <c r="CH23" i="3"/>
  <c r="CD23" i="3"/>
  <c r="BV16" i="3"/>
  <c r="DL16" i="3" s="1"/>
  <c r="BV24" i="3"/>
  <c r="DL24" i="3" s="1"/>
  <c r="BV26" i="3"/>
  <c r="DL26" i="3" s="1"/>
  <c r="BV20" i="3"/>
  <c r="DL20" i="3" s="1"/>
  <c r="BZ24" i="3"/>
  <c r="DP24" i="3" s="1"/>
  <c r="CH22" i="3"/>
  <c r="CD24" i="3"/>
  <c r="CD22" i="3"/>
  <c r="BU15" i="3"/>
  <c r="DH15" i="3" s="1"/>
  <c r="BV18" i="3"/>
  <c r="DL18" i="3" s="1"/>
  <c r="BV23" i="3"/>
  <c r="DL23" i="3" s="1"/>
  <c r="BV14" i="3"/>
  <c r="DL14" i="3" s="1"/>
  <c r="BV21" i="3"/>
  <c r="DL21" i="3" s="1"/>
  <c r="CH19" i="3"/>
  <c r="BR23" i="3"/>
  <c r="BW26" i="3"/>
  <c r="DJ26" i="3" s="1"/>
  <c r="BR17" i="3"/>
  <c r="BR19" i="3"/>
  <c r="BR24" i="3"/>
  <c r="BR18" i="3"/>
  <c r="BR26" i="3"/>
  <c r="CJ24" i="3"/>
  <c r="DS28" i="2"/>
  <c r="CK27" i="2"/>
  <c r="CK23" i="2"/>
  <c r="BU27" i="3"/>
  <c r="DH27" i="3" s="1"/>
  <c r="CE26" i="2"/>
  <c r="CA27" i="2"/>
  <c r="DK27" i="2" s="1"/>
  <c r="BW26" i="2"/>
  <c r="DJ26" i="2" s="1"/>
  <c r="CD4" i="2"/>
  <c r="CD25" i="2"/>
  <c r="CB23" i="3"/>
  <c r="BP3" i="2"/>
  <c r="BP24" i="2"/>
  <c r="BZ12" i="2"/>
  <c r="DP12" i="2" s="1"/>
  <c r="CO26" i="2"/>
  <c r="DI26" i="2" s="1"/>
  <c r="CN26" i="2"/>
  <c r="DG26" i="2" s="1"/>
  <c r="CK4" i="2"/>
  <c r="CO4" i="2"/>
  <c r="DI4" i="2" s="1"/>
  <c r="CG2" i="2"/>
  <c r="CB17" i="2"/>
  <c r="BQ4" i="2"/>
  <c r="BZ23" i="3"/>
  <c r="DP23" i="3" s="1"/>
  <c r="BS23" i="3"/>
  <c r="BZ25" i="3"/>
  <c r="DP25" i="3" s="1"/>
  <c r="BZ21" i="3"/>
  <c r="DP21" i="3" s="1"/>
  <c r="BP7" i="2"/>
  <c r="BS21" i="3"/>
  <c r="CI24" i="2"/>
  <c r="DO24" i="2" s="1"/>
  <c r="CB26" i="3"/>
  <c r="BV13" i="3"/>
  <c r="DL13" i="3" s="1"/>
  <c r="CA20" i="2"/>
  <c r="DK20" i="2" s="1"/>
  <c r="CK21" i="2"/>
  <c r="CA23" i="3"/>
  <c r="DK23" i="3" s="1"/>
  <c r="CB24" i="3"/>
  <c r="BU20" i="3"/>
  <c r="DH20" i="3" s="1"/>
  <c r="BW22" i="3"/>
  <c r="DJ22" i="3" s="1"/>
  <c r="BQ24" i="3"/>
  <c r="CD15" i="3"/>
  <c r="BT23" i="3"/>
  <c r="CB25" i="3"/>
  <c r="BW25" i="3"/>
  <c r="DJ25" i="3" s="1"/>
  <c r="BZ25" i="2"/>
  <c r="DP25" i="2" s="1"/>
  <c r="BS20" i="2"/>
  <c r="CF23" i="2"/>
  <c r="BU23" i="3"/>
  <c r="DH23" i="3" s="1"/>
  <c r="CN16" i="3"/>
  <c r="DG16" i="3" s="1"/>
  <c r="BO24" i="3"/>
  <c r="DM24" i="3" s="1"/>
  <c r="CG26" i="3"/>
  <c r="CF17" i="2"/>
  <c r="CD14" i="3"/>
  <c r="CC16" i="2"/>
  <c r="BT12" i="3"/>
  <c r="DT12" i="3" s="1"/>
  <c r="CG26" i="2"/>
  <c r="CC4" i="2"/>
  <c r="CA26" i="2"/>
  <c r="DK26" i="2" s="1"/>
  <c r="BX27" i="2"/>
  <c r="DR27" i="2" s="1"/>
  <c r="BU21" i="3"/>
  <c r="DH21" i="3" s="1"/>
  <c r="BU19" i="3"/>
  <c r="DH19" i="3" s="1"/>
  <c r="BY26" i="3"/>
  <c r="DN26" i="3" s="1"/>
  <c r="BU22" i="3"/>
  <c r="DH22" i="3" s="1"/>
  <c r="CF5" i="2"/>
  <c r="BU25" i="3"/>
  <c r="DH25" i="3" s="1"/>
  <c r="BS26" i="3"/>
  <c r="CE12" i="2"/>
  <c r="BX2" i="2"/>
  <c r="DR2" i="2" s="1"/>
  <c r="BP25" i="2"/>
  <c r="CI26" i="2"/>
  <c r="DO26" i="2" s="1"/>
  <c r="CF16" i="3"/>
  <c r="BU14" i="3"/>
  <c r="DH14" i="3" s="1"/>
  <c r="CE7" i="2"/>
  <c r="CA23" i="2"/>
  <c r="DK23" i="2" s="1"/>
  <c r="BU18" i="3"/>
  <c r="DH18" i="3" s="1"/>
  <c r="CJ25" i="3"/>
  <c r="CG25" i="3"/>
  <c r="DA28" i="2"/>
  <c r="BP27" i="2"/>
  <c r="CN23" i="2"/>
  <c r="DG23" i="2" s="1"/>
  <c r="BW27" i="2"/>
  <c r="DJ27" i="2" s="1"/>
  <c r="BW2" i="2"/>
  <c r="CB27" i="2"/>
  <c r="BO24" i="2"/>
  <c r="DM24" i="2" s="1"/>
  <c r="CF24" i="2"/>
  <c r="BT26" i="3"/>
  <c r="DS26" i="3" s="1"/>
  <c r="CD13" i="3"/>
  <c r="CJ26" i="3"/>
  <c r="CN25" i="2"/>
  <c r="DG25" i="2" s="1"/>
  <c r="BX19" i="2"/>
  <c r="DR19" i="2" s="1"/>
  <c r="CJ3" i="2"/>
  <c r="CF25" i="2"/>
  <c r="CF27" i="2"/>
  <c r="CM27" i="2"/>
  <c r="BP17" i="3"/>
  <c r="CO27" i="3"/>
  <c r="BT20" i="2"/>
  <c r="DS20" i="2" s="1"/>
  <c r="BP27" i="3"/>
  <c r="CC27" i="3"/>
  <c r="BT27" i="2"/>
  <c r="CK2" i="3"/>
  <c r="BS9" i="3"/>
  <c r="CK13" i="3"/>
  <c r="BT16" i="3"/>
  <c r="DS16" i="3" s="1"/>
  <c r="BQ5" i="3"/>
  <c r="CP6" i="3"/>
  <c r="BO21" i="3"/>
  <c r="DM21" i="3" s="1"/>
  <c r="BR14" i="3"/>
  <c r="BU16" i="3"/>
  <c r="DH16" i="3" s="1"/>
  <c r="CN5" i="3"/>
  <c r="CN23" i="3"/>
  <c r="DG23" i="3" s="1"/>
  <c r="CK5" i="3"/>
  <c r="CK23" i="3"/>
  <c r="BS14" i="3"/>
  <c r="BS11" i="3"/>
  <c r="CK7" i="3"/>
  <c r="CK8" i="3"/>
  <c r="CA19" i="3"/>
  <c r="DK19" i="3" s="1"/>
  <c r="CF19" i="3"/>
  <c r="BQ3" i="3"/>
  <c r="CL17" i="3"/>
  <c r="BV8" i="3"/>
  <c r="DL8" i="3" s="1"/>
  <c r="BU7" i="3"/>
  <c r="DH7" i="3" s="1"/>
  <c r="BQ17" i="3"/>
  <c r="CA25" i="3"/>
  <c r="DK25" i="3" s="1"/>
  <c r="CK18" i="3"/>
  <c r="CA17" i="3"/>
  <c r="DK17" i="3" s="1"/>
  <c r="CA14" i="3"/>
  <c r="DK14" i="3" s="1"/>
  <c r="CM25" i="3"/>
  <c r="CK15" i="3"/>
  <c r="CN22" i="3"/>
  <c r="CM23" i="3"/>
  <c r="CK25" i="3"/>
  <c r="CK9" i="3"/>
  <c r="CK22" i="3"/>
  <c r="CK6" i="3"/>
  <c r="CN4" i="3"/>
  <c r="CN9" i="3"/>
  <c r="CK20" i="3"/>
  <c r="BT6" i="2"/>
  <c r="DT6" i="2" s="1"/>
  <c r="CK27" i="3"/>
  <c r="CN19" i="3"/>
  <c r="CO3" i="3"/>
  <c r="CK17" i="3"/>
  <c r="CK10" i="3"/>
  <c r="CK3" i="3"/>
  <c r="CK26" i="3"/>
  <c r="CO20" i="3"/>
  <c r="CO26" i="3"/>
  <c r="CK12" i="3"/>
  <c r="CK24" i="3"/>
  <c r="CN24" i="3"/>
  <c r="BO23" i="3"/>
  <c r="DM23" i="3" s="1"/>
  <c r="CK11" i="3"/>
  <c r="CK14" i="3"/>
  <c r="CM20" i="3"/>
  <c r="CM15" i="3"/>
  <c r="BS22" i="3"/>
  <c r="BW4" i="3"/>
  <c r="DJ4" i="3" s="1"/>
  <c r="BW20" i="3"/>
  <c r="DJ20" i="3" s="1"/>
  <c r="BW15" i="3"/>
  <c r="DJ15" i="3" s="1"/>
  <c r="CC18" i="3"/>
  <c r="CC22" i="3"/>
  <c r="CF23" i="3"/>
  <c r="CC19" i="3"/>
  <c r="CF5" i="3"/>
  <c r="CE3" i="3"/>
  <c r="CE25" i="3"/>
  <c r="CG15" i="3"/>
  <c r="CF20" i="3"/>
  <c r="CG23" i="3"/>
  <c r="CE12" i="3"/>
  <c r="CC9" i="3"/>
  <c r="CE6" i="3"/>
  <c r="CF10" i="3"/>
  <c r="CM24" i="3"/>
  <c r="DT25" i="3"/>
  <c r="CO8" i="3"/>
  <c r="BO20" i="2"/>
  <c r="DM20" i="2" s="1"/>
  <c r="CL19" i="3"/>
  <c r="CL3" i="3"/>
  <c r="CO28" i="3"/>
  <c r="CL11" i="3"/>
  <c r="CN25" i="3"/>
  <c r="BR9" i="1"/>
  <c r="CM22" i="3"/>
  <c r="CA26" i="3"/>
  <c r="DK26" i="3" s="1"/>
  <c r="BQ26" i="3"/>
  <c r="CC26" i="3"/>
  <c r="BY11" i="3"/>
  <c r="DN11" i="3" s="1"/>
  <c r="CO19" i="3"/>
  <c r="CL18" i="3"/>
  <c r="CE21" i="3"/>
  <c r="CC3" i="3"/>
  <c r="CA6" i="3"/>
  <c r="DK6" i="3" s="1"/>
  <c r="BR4" i="3"/>
  <c r="BR7" i="3"/>
  <c r="BR2" i="3"/>
  <c r="CA21" i="3"/>
  <c r="DK21" i="3" s="1"/>
  <c r="CA18" i="3"/>
  <c r="DK18" i="3" s="1"/>
  <c r="CJ16" i="3"/>
  <c r="CA10" i="3"/>
  <c r="DK10" i="3" s="1"/>
  <c r="BQ27" i="3"/>
  <c r="CM14" i="3"/>
  <c r="BU12" i="3"/>
  <c r="DH12" i="3" s="1"/>
  <c r="CJ8" i="3"/>
  <c r="CM5" i="3"/>
  <c r="CC12" i="3"/>
  <c r="CA8" i="3"/>
  <c r="DK8" i="3" s="1"/>
  <c r="BU10" i="3"/>
  <c r="DH10" i="3" s="1"/>
  <c r="CC13" i="3"/>
  <c r="CD11" i="3"/>
  <c r="CL2" i="3"/>
  <c r="CC17" i="3"/>
  <c r="CK21" i="3"/>
  <c r="CC24" i="3"/>
  <c r="CC21" i="3"/>
  <c r="BQ25" i="3"/>
  <c r="CC23" i="3"/>
  <c r="CO17" i="3"/>
  <c r="BW21" i="3"/>
  <c r="DJ21" i="3" s="1"/>
  <c r="CA13" i="3"/>
  <c r="DK13" i="3" s="1"/>
  <c r="CE9" i="3"/>
  <c r="CC11" i="3"/>
  <c r="BV12" i="3"/>
  <c r="DL12" i="3" s="1"/>
  <c r="CP5" i="3"/>
  <c r="BV2" i="3"/>
  <c r="DL2" i="3" s="1"/>
  <c r="CC15" i="3"/>
  <c r="CM7" i="3"/>
  <c r="BV5" i="3"/>
  <c r="DL5" i="3" s="1"/>
  <c r="CO25" i="3"/>
  <c r="CA12" i="3"/>
  <c r="DK12" i="3" s="1"/>
  <c r="CA15" i="3"/>
  <c r="DK15" i="3" s="1"/>
  <c r="CI7" i="3"/>
  <c r="DO7" i="3" s="1"/>
  <c r="CC25" i="3"/>
  <c r="CG14" i="3"/>
  <c r="BW14" i="3"/>
  <c r="DJ14" i="3" s="1"/>
  <c r="BU11" i="3"/>
  <c r="DH11" i="3" s="1"/>
  <c r="CC10" i="3"/>
  <c r="CN7" i="3"/>
  <c r="CC4" i="3"/>
  <c r="CK19" i="3"/>
  <c r="CA11" i="3"/>
  <c r="DK11" i="3" s="1"/>
  <c r="CO24" i="3"/>
  <c r="BU5" i="3"/>
  <c r="DH5" i="3" s="1"/>
  <c r="EP28" i="3"/>
  <c r="BW23" i="3"/>
  <c r="DJ23" i="3" s="1"/>
  <c r="CE24" i="3"/>
  <c r="CO22" i="3"/>
  <c r="CA20" i="3"/>
  <c r="CE20" i="3"/>
  <c r="BO14" i="3"/>
  <c r="DM14" i="3" s="1"/>
  <c r="BU13" i="3"/>
  <c r="DH13" i="3" s="1"/>
  <c r="CG21" i="3"/>
  <c r="CC8" i="3"/>
  <c r="CC16" i="3"/>
  <c r="CK4" i="3"/>
  <c r="BU17" i="3"/>
  <c r="DH17" i="3" s="1"/>
  <c r="BW24" i="3"/>
  <c r="DJ24" i="3" s="1"/>
  <c r="CA22" i="3"/>
  <c r="DK22" i="3" s="1"/>
  <c r="CC20" i="3"/>
  <c r="CG16" i="3"/>
  <c r="CO16" i="3"/>
  <c r="CE13" i="3"/>
  <c r="BT3" i="3"/>
  <c r="CG2" i="3"/>
  <c r="BV6" i="3"/>
  <c r="DL6" i="3" s="1"/>
  <c r="CA2" i="3"/>
  <c r="DK2" i="3" s="1"/>
  <c r="CA4" i="3"/>
  <c r="DK4" i="3" s="1"/>
  <c r="BS24" i="3"/>
  <c r="CK16" i="3"/>
  <c r="CL24" i="3"/>
  <c r="CN26" i="3"/>
  <c r="BQ22" i="3"/>
  <c r="BO16" i="3"/>
  <c r="DM16" i="3" s="1"/>
  <c r="CD12" i="3"/>
  <c r="BW16" i="3"/>
  <c r="DJ16" i="3" s="1"/>
  <c r="BV10" i="3"/>
  <c r="DL10" i="3" s="1"/>
  <c r="CL23" i="3"/>
  <c r="CM26" i="3"/>
  <c r="BX2" i="3"/>
  <c r="DR2" i="3" s="1"/>
  <c r="BO26" i="3"/>
  <c r="DM26" i="3" s="1"/>
  <c r="CA9" i="3"/>
  <c r="DK9" i="3" s="1"/>
  <c r="BS8" i="3"/>
  <c r="BS5" i="3"/>
  <c r="BS7" i="3"/>
  <c r="BS4" i="3"/>
  <c r="BS2" i="3"/>
  <c r="BT13" i="3"/>
  <c r="CI6" i="3"/>
  <c r="DO6" i="3" s="1"/>
  <c r="CI4" i="3"/>
  <c r="DO4" i="3" s="1"/>
  <c r="CI2" i="3"/>
  <c r="DO2" i="3" s="1"/>
  <c r="CI3" i="3"/>
  <c r="DO3" i="3" s="1"/>
  <c r="CI5" i="3"/>
  <c r="DO5" i="3" s="1"/>
  <c r="CH17" i="3"/>
  <c r="CH16" i="3"/>
  <c r="CH2" i="3"/>
  <c r="CH14" i="3"/>
  <c r="CH15" i="3"/>
  <c r="CH12" i="3"/>
  <c r="CH13" i="3"/>
  <c r="CH8" i="3"/>
  <c r="CH7" i="3"/>
  <c r="CH11" i="3"/>
  <c r="DG4" i="3"/>
  <c r="BY5" i="3"/>
  <c r="DN5" i="3" s="1"/>
  <c r="BY3" i="3"/>
  <c r="DN3" i="3" s="1"/>
  <c r="BY4" i="3"/>
  <c r="DN4" i="3" s="1"/>
  <c r="BY2" i="3"/>
  <c r="DN2" i="3" s="1"/>
  <c r="CY30" i="3"/>
  <c r="EQ30" i="3"/>
  <c r="DC30" i="3"/>
  <c r="EU30" i="3"/>
  <c r="DS24" i="3"/>
  <c r="DJ34" i="3"/>
  <c r="CV34" i="3"/>
  <c r="BT15" i="3"/>
  <c r="BX10" i="3"/>
  <c r="DR10" i="3" s="1"/>
  <c r="CW35" i="3"/>
  <c r="DG35" i="3"/>
  <c r="EO35" i="3"/>
  <c r="ER35" i="3"/>
  <c r="CV30" i="3"/>
  <c r="BX24" i="3"/>
  <c r="ER30" i="3"/>
  <c r="BQ23" i="3"/>
  <c r="BQ21" i="3"/>
  <c r="BQ16" i="3"/>
  <c r="BQ20" i="3"/>
  <c r="BQ7" i="3"/>
  <c r="BQ19" i="3"/>
  <c r="BQ9" i="3"/>
  <c r="BQ11" i="3"/>
  <c r="BQ12" i="3"/>
  <c r="CH3" i="3"/>
  <c r="CY34" i="3"/>
  <c r="EQ34" i="3"/>
  <c r="EU34" i="3"/>
  <c r="DC34" i="3"/>
  <c r="DB28" i="3"/>
  <c r="ET28" i="3"/>
  <c r="CB17" i="3"/>
  <c r="CB16" i="3"/>
  <c r="CB13" i="3"/>
  <c r="CB12" i="3"/>
  <c r="CB15" i="3"/>
  <c r="CB3" i="3"/>
  <c r="CB14" i="3"/>
  <c r="BT22" i="3"/>
  <c r="BT20" i="3"/>
  <c r="BT21" i="3"/>
  <c r="BT19" i="3"/>
  <c r="CD7" i="3"/>
  <c r="CD6" i="3"/>
  <c r="CD5" i="3"/>
  <c r="DA34" i="3"/>
  <c r="ES34" i="3"/>
  <c r="DM34" i="3"/>
  <c r="CW34" i="3"/>
  <c r="EO34" i="3"/>
  <c r="CI25" i="3"/>
  <c r="DO25" i="3" s="1"/>
  <c r="CI15" i="3"/>
  <c r="DO15" i="3" s="1"/>
  <c r="CI13" i="3"/>
  <c r="DO13" i="3" s="1"/>
  <c r="CI18" i="3"/>
  <c r="DO18" i="3" s="1"/>
  <c r="CI11" i="3"/>
  <c r="DO11" i="3" s="1"/>
  <c r="CI9" i="3"/>
  <c r="DO9" i="3" s="1"/>
  <c r="CI14" i="3"/>
  <c r="DO14" i="3" s="1"/>
  <c r="CI17" i="3"/>
  <c r="DO17" i="3" s="1"/>
  <c r="CI22" i="3"/>
  <c r="DO22" i="3" s="1"/>
  <c r="CI12" i="3"/>
  <c r="DO12" i="3" s="1"/>
  <c r="CI21" i="3"/>
  <c r="DO21" i="3" s="1"/>
  <c r="CI19" i="3"/>
  <c r="DO19" i="3" s="1"/>
  <c r="CI10" i="3"/>
  <c r="DO10" i="3" s="1"/>
  <c r="CI20" i="3"/>
  <c r="DO20" i="3" s="1"/>
  <c r="ET31" i="3"/>
  <c r="CX31" i="3"/>
  <c r="DB31" i="3"/>
  <c r="CI16" i="3"/>
  <c r="DO16" i="3" s="1"/>
  <c r="BX15" i="3"/>
  <c r="DR15" i="3" s="1"/>
  <c r="BQ6" i="3"/>
  <c r="BT4" i="3"/>
  <c r="DG36" i="3"/>
  <c r="CW36" i="3"/>
  <c r="EO36" i="3"/>
  <c r="DB30" i="3"/>
  <c r="ET30" i="3"/>
  <c r="BZ17" i="3"/>
  <c r="DP17" i="3" s="1"/>
  <c r="BZ4" i="3"/>
  <c r="DP4" i="3" s="1"/>
  <c r="BZ7" i="3"/>
  <c r="DP7" i="3" s="1"/>
  <c r="BZ10" i="3"/>
  <c r="DP10" i="3" s="1"/>
  <c r="BZ3" i="3"/>
  <c r="DP3" i="3" s="1"/>
  <c r="BZ9" i="3"/>
  <c r="DP9" i="3" s="1"/>
  <c r="BZ12" i="3"/>
  <c r="DP12" i="3" s="1"/>
  <c r="BZ13" i="3"/>
  <c r="DP13" i="3" s="1"/>
  <c r="BZ5" i="3"/>
  <c r="DP5" i="3" s="1"/>
  <c r="BZ6" i="3"/>
  <c r="DP6" i="3" s="1"/>
  <c r="BZ14" i="3"/>
  <c r="DP14" i="3" s="1"/>
  <c r="BZ2" i="3"/>
  <c r="DP2" i="3" s="1"/>
  <c r="BZ16" i="3"/>
  <c r="DP16" i="3" s="1"/>
  <c r="BP26" i="3"/>
  <c r="BP6" i="3"/>
  <c r="BP11" i="3"/>
  <c r="BP20" i="3"/>
  <c r="BP24" i="3"/>
  <c r="BP8" i="3"/>
  <c r="BP21" i="3"/>
  <c r="BP9" i="3"/>
  <c r="BP25" i="3"/>
  <c r="BP22" i="3"/>
  <c r="BP10" i="3"/>
  <c r="BP14" i="3"/>
  <c r="BP12" i="3"/>
  <c r="BP23" i="3"/>
  <c r="BP15" i="3"/>
  <c r="BP16" i="3"/>
  <c r="BP13" i="3"/>
  <c r="BP4" i="3"/>
  <c r="BP19" i="3"/>
  <c r="BP18" i="3"/>
  <c r="DC32" i="3"/>
  <c r="EU32" i="3"/>
  <c r="ES32" i="3"/>
  <c r="CV31" i="3"/>
  <c r="EN31" i="3"/>
  <c r="DT31" i="3"/>
  <c r="DS31" i="3"/>
  <c r="DA36" i="3"/>
  <c r="ES36" i="3"/>
  <c r="EU31" i="3"/>
  <c r="ER32" i="3"/>
  <c r="CZ32" i="3"/>
  <c r="EQ33" i="3"/>
  <c r="EP36" i="3"/>
  <c r="CZ34" i="3"/>
  <c r="ER34" i="3"/>
  <c r="EO32" i="3"/>
  <c r="CI23" i="3"/>
  <c r="DO23" i="3" s="1"/>
  <c r="BY14" i="3"/>
  <c r="DN14" i="3" s="1"/>
  <c r="CJ14" i="3"/>
  <c r="CB6" i="3"/>
  <c r="BP3" i="3"/>
  <c r="BP2" i="3"/>
  <c r="BZ8" i="3"/>
  <c r="DP8" i="3" s="1"/>
  <c r="CB2" i="3"/>
  <c r="DC36" i="3"/>
  <c r="EU36" i="3"/>
  <c r="CB22" i="3"/>
  <c r="CB19" i="3"/>
  <c r="CB20" i="3"/>
  <c r="CB21" i="3"/>
  <c r="CY35" i="3"/>
  <c r="EQ35" i="3"/>
  <c r="DC28" i="3"/>
  <c r="EU28" i="3"/>
  <c r="ES28" i="3"/>
  <c r="DA28" i="3"/>
  <c r="CD4" i="3"/>
  <c r="CD3" i="3"/>
  <c r="CD2" i="3"/>
  <c r="BY23" i="3"/>
  <c r="DN23" i="3" s="1"/>
  <c r="BY7" i="3"/>
  <c r="DN7" i="3" s="1"/>
  <c r="BY6" i="3"/>
  <c r="DN6" i="3" s="1"/>
  <c r="BY22" i="3"/>
  <c r="DN22" i="3" s="1"/>
  <c r="BY20" i="3"/>
  <c r="DN20" i="3" s="1"/>
  <c r="BY10" i="3"/>
  <c r="DN10" i="3" s="1"/>
  <c r="BY19" i="3"/>
  <c r="DN19" i="3" s="1"/>
  <c r="BY21" i="3"/>
  <c r="DN21" i="3" s="1"/>
  <c r="ER28" i="3"/>
  <c r="CZ28" i="3"/>
  <c r="DM30" i="3"/>
  <c r="DA30" i="3"/>
  <c r="ES30" i="3"/>
  <c r="DI37" i="3"/>
  <c r="CY37" i="3"/>
  <c r="EQ37" i="3"/>
  <c r="CW37" i="3"/>
  <c r="EN30" i="3"/>
  <c r="CV32" i="3"/>
  <c r="EN32" i="3"/>
  <c r="DT32" i="3"/>
  <c r="DS32" i="3"/>
  <c r="CV37" i="3"/>
  <c r="DJ33" i="3"/>
  <c r="EN33" i="3"/>
  <c r="EP30" i="3"/>
  <c r="CX30" i="3"/>
  <c r="CW32" i="3"/>
  <c r="BQ13" i="3"/>
  <c r="BX26" i="3"/>
  <c r="DR26" i="3" s="1"/>
  <c r="BX17" i="3"/>
  <c r="DR17" i="3" s="1"/>
  <c r="BX12" i="3"/>
  <c r="DR12" i="3" s="1"/>
  <c r="BX13" i="3"/>
  <c r="DR13" i="3" s="1"/>
  <c r="BX8" i="3"/>
  <c r="DR8" i="3" s="1"/>
  <c r="BX20" i="3"/>
  <c r="DR20" i="3" s="1"/>
  <c r="BX21" i="3"/>
  <c r="DR21" i="3" s="1"/>
  <c r="BX18" i="3"/>
  <c r="DR18" i="3" s="1"/>
  <c r="BX9" i="3"/>
  <c r="DR9" i="3" s="1"/>
  <c r="BX23" i="3"/>
  <c r="DR23" i="3" s="1"/>
  <c r="BX19" i="3"/>
  <c r="DR19" i="3" s="1"/>
  <c r="BX25" i="3"/>
  <c r="DR25" i="3" s="1"/>
  <c r="BX22" i="3"/>
  <c r="DR22" i="3" s="1"/>
  <c r="BX14" i="3"/>
  <c r="DR14" i="3" s="1"/>
  <c r="BX11" i="3"/>
  <c r="DR11" i="3" s="1"/>
  <c r="BX16" i="3"/>
  <c r="DR16" i="3" s="1"/>
  <c r="CI24" i="3"/>
  <c r="DO24" i="3" s="1"/>
  <c r="CJ18" i="3"/>
  <c r="CJ15" i="3"/>
  <c r="EP31" i="3"/>
  <c r="BZ15" i="3"/>
  <c r="DP15" i="3" s="1"/>
  <c r="BY12" i="3"/>
  <c r="DN12" i="3" s="1"/>
  <c r="BP5" i="3"/>
  <c r="BY9" i="3"/>
  <c r="DN9" i="3" s="1"/>
  <c r="CJ3" i="3"/>
  <c r="DR35" i="3"/>
  <c r="DC35" i="3"/>
  <c r="DB32" i="3"/>
  <c r="ET32" i="3"/>
  <c r="EU35" i="3"/>
  <c r="ER33" i="3"/>
  <c r="EN28" i="3"/>
  <c r="CY36" i="3"/>
  <c r="DC31" i="3"/>
  <c r="EN36" i="3"/>
  <c r="ES33" i="3"/>
  <c r="DY33" i="3" s="1"/>
  <c r="DM33" i="3"/>
  <c r="DA33" i="3"/>
  <c r="BO25" i="3"/>
  <c r="BS20" i="3"/>
  <c r="BS15" i="3"/>
  <c r="CG19" i="3"/>
  <c r="BO20" i="3"/>
  <c r="CB18" i="3"/>
  <c r="BY16" i="3"/>
  <c r="DN16" i="3" s="1"/>
  <c r="BQ15" i="3"/>
  <c r="BR13" i="3"/>
  <c r="CB11" i="3"/>
  <c r="CF13" i="3"/>
  <c r="CE10" i="3"/>
  <c r="BO13" i="3"/>
  <c r="CP14" i="3"/>
  <c r="CF7" i="3"/>
  <c r="CF6" i="3"/>
  <c r="CN14" i="3"/>
  <c r="CD10" i="3"/>
  <c r="BO12" i="3"/>
  <c r="CJ5" i="3"/>
  <c r="BR11" i="3"/>
  <c r="CA5" i="3"/>
  <c r="CB8" i="3"/>
  <c r="BR15" i="3"/>
  <c r="CP10" i="3"/>
  <c r="CE8" i="3"/>
  <c r="CF4" i="3"/>
  <c r="CM11" i="3"/>
  <c r="BY8" i="3"/>
  <c r="DN8" i="3" s="1"/>
  <c r="CJ9" i="3"/>
  <c r="CJ7" i="3"/>
  <c r="BR6" i="3"/>
  <c r="CG3" i="3"/>
  <c r="CP2" i="3"/>
  <c r="CM6" i="3"/>
  <c r="CL8" i="3"/>
  <c r="BU4" i="3"/>
  <c r="DH4" i="3" s="1"/>
  <c r="BU8" i="3"/>
  <c r="DH8" i="3" s="1"/>
  <c r="CJ6" i="3"/>
  <c r="CJ2" i="3"/>
  <c r="CX33" i="3"/>
  <c r="DB37" i="3"/>
  <c r="ET37" i="3"/>
  <c r="CV28" i="3"/>
  <c r="EN35" i="3"/>
  <c r="DK29" i="3"/>
  <c r="CZ29" i="3"/>
  <c r="ER29" i="3"/>
  <c r="DY29" i="3" s="1"/>
  <c r="CF22" i="3"/>
  <c r="CF25" i="3"/>
  <c r="EP29" i="3"/>
  <c r="CX29" i="3"/>
  <c r="CO18" i="3"/>
  <c r="CO10" i="3"/>
  <c r="CM27" i="3"/>
  <c r="CM19" i="3"/>
  <c r="BT17" i="3"/>
  <c r="CL21" i="3"/>
  <c r="CM17" i="3"/>
  <c r="BS17" i="3"/>
  <c r="BT11" i="3"/>
  <c r="BT9" i="3"/>
  <c r="BT10" i="3"/>
  <c r="BW10" i="3"/>
  <c r="DJ10" i="3" s="1"/>
  <c r="CF12" i="3"/>
  <c r="BX7" i="3"/>
  <c r="DR7" i="3" s="1"/>
  <c r="BX6" i="3"/>
  <c r="DR6" i="3" s="1"/>
  <c r="CL9" i="3"/>
  <c r="BR8" i="3"/>
  <c r="CB5" i="3"/>
  <c r="CL10" i="3"/>
  <c r="CL15" i="3"/>
  <c r="CN8" i="3"/>
  <c r="CG4" i="3"/>
  <c r="CH9" i="3"/>
  <c r="CH6" i="3"/>
  <c r="BW8" i="3"/>
  <c r="DJ8" i="3" s="1"/>
  <c r="CN12" i="3"/>
  <c r="CE11" i="3"/>
  <c r="CO7" i="3"/>
  <c r="BR16" i="3"/>
  <c r="CF9" i="3"/>
  <c r="CB7" i="3"/>
  <c r="CC5" i="3"/>
  <c r="CM2" i="3"/>
  <c r="BX4" i="3"/>
  <c r="DR4" i="3" s="1"/>
  <c r="BT6" i="3"/>
  <c r="BW6" i="3"/>
  <c r="DJ6" i="3" s="1"/>
  <c r="BT2" i="3"/>
  <c r="CD8" i="3"/>
  <c r="BR3" i="3"/>
  <c r="CM8" i="3"/>
  <c r="ET36" i="3"/>
  <c r="DB36" i="3"/>
  <c r="CV33" i="3"/>
  <c r="CX32" i="3"/>
  <c r="DL34" i="3"/>
  <c r="EN34" i="3"/>
  <c r="CX28" i="3"/>
  <c r="CG22" i="3"/>
  <c r="CG18" i="3"/>
  <c r="CG13" i="3"/>
  <c r="CE27" i="3"/>
  <c r="CE22" i="3"/>
  <c r="CE19" i="3"/>
  <c r="CN21" i="3"/>
  <c r="CG17" i="3"/>
  <c r="BT18" i="3"/>
  <c r="CN20" i="3"/>
  <c r="CE17" i="3"/>
  <c r="BS19" i="3"/>
  <c r="CL16" i="3"/>
  <c r="BS16" i="3"/>
  <c r="CE14" i="3"/>
  <c r="BO10" i="3"/>
  <c r="CO15" i="3"/>
  <c r="CM18" i="3"/>
  <c r="CP13" i="3"/>
  <c r="BP7" i="3"/>
  <c r="CE7" i="3"/>
  <c r="BT5" i="3"/>
  <c r="CL14" i="3"/>
  <c r="CB10" i="3"/>
  <c r="CO14" i="3"/>
  <c r="CF8" i="3"/>
  <c r="BV4" i="3"/>
  <c r="DL4" i="3" s="1"/>
  <c r="CH10" i="3"/>
  <c r="BO8" i="3"/>
  <c r="BW11" i="3"/>
  <c r="DJ11" i="3" s="1"/>
  <c r="BV7" i="3"/>
  <c r="DL7" i="3" s="1"/>
  <c r="CP12" i="3"/>
  <c r="BT7" i="3"/>
  <c r="CE2" i="3"/>
  <c r="CN6" i="3"/>
  <c r="BO6" i="3"/>
  <c r="BW5" i="3"/>
  <c r="DJ5" i="3" s="1"/>
  <c r="BU3" i="3"/>
  <c r="DH3" i="3" s="1"/>
  <c r="CA7" i="3"/>
  <c r="BR10" i="3"/>
  <c r="CL13" i="3"/>
  <c r="CL12" i="3"/>
  <c r="CJ11" i="3"/>
  <c r="CJ10" i="3"/>
  <c r="CM10" i="3"/>
  <c r="CM9" i="3"/>
  <c r="CY32" i="3"/>
  <c r="EQ32" i="3"/>
  <c r="ES31" i="3"/>
  <c r="CV36" i="3"/>
  <c r="EN37" i="3"/>
  <c r="CF24" i="3"/>
  <c r="BY18" i="3"/>
  <c r="DN18" i="3" s="1"/>
  <c r="CE23" i="3"/>
  <c r="BW27" i="3"/>
  <c r="BW19" i="3"/>
  <c r="DJ19" i="3" s="1"/>
  <c r="BW18" i="3"/>
  <c r="DJ18" i="3" s="1"/>
  <c r="CG20" i="3"/>
  <c r="CM21" i="3"/>
  <c r="CN18" i="3"/>
  <c r="CN17" i="3"/>
  <c r="BW17" i="3"/>
  <c r="DJ17" i="3" s="1"/>
  <c r="CF21" i="3"/>
  <c r="CF18" i="3"/>
  <c r="BT14" i="3"/>
  <c r="BY17" i="3"/>
  <c r="DN17" i="3" s="1"/>
  <c r="CE15" i="3"/>
  <c r="BS12" i="3"/>
  <c r="CG10" i="3"/>
  <c r="BR12" i="3"/>
  <c r="BY15" i="3"/>
  <c r="DN15" i="3" s="1"/>
  <c r="CE18" i="3"/>
  <c r="BQ10" i="3"/>
  <c r="CC6" i="3"/>
  <c r="CN13" i="3"/>
  <c r="BQ8" i="3"/>
  <c r="CM13" i="3"/>
  <c r="CO6" i="3"/>
  <c r="CL4" i="3"/>
  <c r="BU9" i="3"/>
  <c r="DH9" i="3" s="1"/>
  <c r="BW12" i="3"/>
  <c r="DJ12" i="3" s="1"/>
  <c r="BO9" i="3"/>
  <c r="CN3" i="3"/>
  <c r="CM12" i="3"/>
  <c r="CC14" i="3"/>
  <c r="CP9" i="3"/>
  <c r="BW7" i="3"/>
  <c r="DJ7" i="3" s="1"/>
  <c r="BO7" i="3"/>
  <c r="BO11" i="3"/>
  <c r="BX5" i="3"/>
  <c r="DR5" i="3" s="1"/>
  <c r="BS6" i="3"/>
  <c r="BY13" i="3"/>
  <c r="DN13" i="3" s="1"/>
  <c r="BW2" i="3"/>
  <c r="DJ2" i="3" s="1"/>
  <c r="BW3" i="3"/>
  <c r="DJ3" i="3" s="1"/>
  <c r="CP3" i="3"/>
  <c r="CG5" i="3"/>
  <c r="CM3" i="3"/>
  <c r="CA3" i="3"/>
  <c r="CE5" i="3"/>
  <c r="BQ18" i="3"/>
  <c r="CF26" i="3"/>
  <c r="CF14" i="3"/>
  <c r="CO23" i="3"/>
  <c r="CO21" i="3"/>
  <c r="BO27" i="3"/>
  <c r="BO22" i="3"/>
  <c r="BS18" i="3"/>
  <c r="CF17" i="3"/>
  <c r="CL20" i="3"/>
  <c r="BO17" i="3"/>
  <c r="CM16" i="3"/>
  <c r="CE16" i="3"/>
  <c r="BO15" i="3"/>
  <c r="CB9" i="3"/>
  <c r="CF11" i="3"/>
  <c r="BO19" i="3"/>
  <c r="BS10" i="3"/>
  <c r="CN15" i="3"/>
  <c r="CN10" i="3"/>
  <c r="BO18" i="3"/>
  <c r="CO12" i="3"/>
  <c r="CI8" i="3"/>
  <c r="DO8" i="3" s="1"/>
  <c r="CG7" i="3"/>
  <c r="BW13" i="3"/>
  <c r="DJ13" i="3" s="1"/>
  <c r="CG6" i="3"/>
  <c r="CO13" i="3"/>
  <c r="CG8" i="3"/>
  <c r="CO11" i="3"/>
  <c r="CF3" i="3"/>
  <c r="BW9" i="3"/>
  <c r="DJ9" i="3" s="1"/>
  <c r="CL6" i="3"/>
  <c r="BS13" i="3"/>
  <c r="CO9" i="3"/>
  <c r="BQ4" i="3"/>
  <c r="CN11" i="3"/>
  <c r="CH5" i="3"/>
  <c r="CN2" i="3"/>
  <c r="BO3" i="3"/>
  <c r="CM4" i="3"/>
  <c r="CC2" i="3"/>
  <c r="BV3" i="3"/>
  <c r="DL3" i="3" s="1"/>
  <c r="CD9" i="3"/>
  <c r="CO5" i="3"/>
  <c r="BQ2" i="3"/>
  <c r="CJ4" i="3"/>
  <c r="BS3" i="3"/>
  <c r="BO5" i="3"/>
  <c r="CH4" i="3"/>
  <c r="ES35" i="3"/>
  <c r="DM35" i="3"/>
  <c r="DA35" i="3"/>
  <c r="EU37" i="3"/>
  <c r="DY37" i="3" s="1"/>
  <c r="DC37" i="3"/>
  <c r="EO31" i="3"/>
  <c r="DG31" i="3"/>
  <c r="CW31" i="3"/>
  <c r="DA37" i="3"/>
  <c r="CW30" i="3"/>
  <c r="CJ22" i="3"/>
  <c r="CJ19" i="3"/>
  <c r="CJ20" i="3"/>
  <c r="CP17" i="3"/>
  <c r="CP11" i="3"/>
  <c r="CP4" i="3"/>
  <c r="CP16" i="3"/>
  <c r="CP7" i="3"/>
  <c r="CJ17" i="3"/>
  <c r="CJ12" i="3"/>
  <c r="CJ21" i="3"/>
  <c r="CP15" i="3"/>
  <c r="CF15" i="3"/>
  <c r="CG12" i="3"/>
  <c r="CG11" i="3"/>
  <c r="BX3" i="3"/>
  <c r="DR3" i="3" s="1"/>
  <c r="CJ13" i="3"/>
  <c r="BR9" i="3"/>
  <c r="CG9" i="3"/>
  <c r="CC7" i="3"/>
  <c r="BQ14" i="3"/>
  <c r="BV11" i="3"/>
  <c r="DL11" i="3" s="1"/>
  <c r="BV9" i="3"/>
  <c r="DL9" i="3" s="1"/>
  <c r="BT8" i="3"/>
  <c r="CO4" i="3"/>
  <c r="CL7" i="3"/>
  <c r="CF2" i="3"/>
  <c r="BO4" i="3"/>
  <c r="CE4" i="3"/>
  <c r="BU2" i="3"/>
  <c r="DH2" i="3" s="1"/>
  <c r="CO2" i="3"/>
  <c r="CL5" i="3"/>
  <c r="CB4" i="3"/>
  <c r="CI12" i="2"/>
  <c r="DO12" i="2" s="1"/>
  <c r="CO28" i="2"/>
  <c r="DI28" i="2" s="1"/>
  <c r="CH26" i="2"/>
  <c r="CI23" i="2"/>
  <c r="DO23" i="2" s="1"/>
  <c r="CP24" i="2"/>
  <c r="DQ24" i="2" s="1"/>
  <c r="BW7" i="2"/>
  <c r="DJ7" i="2" s="1"/>
  <c r="CI25" i="2"/>
  <c r="DO25" i="2" s="1"/>
  <c r="CH25" i="2"/>
  <c r="CL24" i="2"/>
  <c r="CJ19" i="2"/>
  <c r="CC8" i="2"/>
  <c r="CF20" i="2"/>
  <c r="BT22" i="2"/>
  <c r="DS22" i="2" s="1"/>
  <c r="BU14" i="2"/>
  <c r="DH14" i="2" s="1"/>
  <c r="CC22" i="2"/>
  <c r="CM5" i="2"/>
  <c r="BS24" i="2"/>
  <c r="BY12" i="2"/>
  <c r="DN12" i="2" s="1"/>
  <c r="BY23" i="2"/>
  <c r="DN23" i="2" s="1"/>
  <c r="BO23" i="2"/>
  <c r="DM23" i="2" s="1"/>
  <c r="CM26" i="2"/>
  <c r="CF19" i="2"/>
  <c r="CK26" i="2"/>
  <c r="BQ11" i="2"/>
  <c r="CF13" i="2"/>
  <c r="BP23" i="2"/>
  <c r="BZ16" i="2"/>
  <c r="DP16" i="2" s="1"/>
  <c r="CJ8" i="2"/>
  <c r="CK15" i="2"/>
  <c r="CM15" i="2"/>
  <c r="CB25" i="2"/>
  <c r="BS26" i="2"/>
  <c r="BS16" i="2"/>
  <c r="CH6" i="2"/>
  <c r="BT27" i="1"/>
  <c r="DS27" i="1" s="1"/>
  <c r="BR22" i="2"/>
  <c r="CF21" i="2"/>
  <c r="CN13" i="2"/>
  <c r="DG13" i="2" s="1"/>
  <c r="BY4" i="2"/>
  <c r="DN4" i="2" s="1"/>
  <c r="CD16" i="2"/>
  <c r="CF22" i="2"/>
  <c r="CG12" i="2"/>
  <c r="BO26" i="2"/>
  <c r="DM26" i="2" s="1"/>
  <c r="BY26" i="2"/>
  <c r="DN26" i="2" s="1"/>
  <c r="CN17" i="2"/>
  <c r="DG17" i="2" s="1"/>
  <c r="BU23" i="2"/>
  <c r="DH23" i="2" s="1"/>
  <c r="CB18" i="2"/>
  <c r="BY16" i="2"/>
  <c r="DN16" i="2" s="1"/>
  <c r="CC18" i="2"/>
  <c r="BT23" i="2"/>
  <c r="DS23" i="2" s="1"/>
  <c r="CF11" i="2"/>
  <c r="CG27" i="2"/>
  <c r="BR11" i="2"/>
  <c r="CA25" i="2"/>
  <c r="DK25" i="2" s="1"/>
  <c r="CL16" i="2"/>
  <c r="CH13" i="2"/>
  <c r="CO9" i="2"/>
  <c r="DI9" i="2" s="1"/>
  <c r="CF26" i="2"/>
  <c r="BQ21" i="2"/>
  <c r="CK25" i="2"/>
  <c r="BP21" i="2"/>
  <c r="CD21" i="2"/>
  <c r="CA22" i="2"/>
  <c r="DK22" i="2" s="1"/>
  <c r="CF18" i="2"/>
  <c r="CL22" i="2"/>
  <c r="BU25" i="2"/>
  <c r="DH25" i="2" s="1"/>
  <c r="BV19" i="2"/>
  <c r="DL19" i="2" s="1"/>
  <c r="BT12" i="2"/>
  <c r="DS12" i="2" s="1"/>
  <c r="BX26" i="2"/>
  <c r="DR26" i="2" s="1"/>
  <c r="BW12" i="2"/>
  <c r="DJ12" i="2" s="1"/>
  <c r="CH12" i="2"/>
  <c r="CA24" i="2"/>
  <c r="DK24" i="2" s="1"/>
  <c r="BS27" i="2"/>
  <c r="CI22" i="2"/>
  <c r="DO22" i="2" s="1"/>
  <c r="CI27" i="2"/>
  <c r="DO27" i="2" s="1"/>
  <c r="CX28" i="2"/>
  <c r="CO25" i="2"/>
  <c r="DI25" i="2" s="1"/>
  <c r="BO25" i="2"/>
  <c r="CA6" i="2"/>
  <c r="DK6" i="2" s="1"/>
  <c r="ER28" i="2"/>
  <c r="BT24" i="2"/>
  <c r="DT24" i="2" s="1"/>
  <c r="EN28" i="2"/>
  <c r="EU28" i="2"/>
  <c r="BY25" i="2"/>
  <c r="DN25" i="2" s="1"/>
  <c r="CG4" i="2"/>
  <c r="CL25" i="2"/>
  <c r="CE3" i="2"/>
  <c r="ES34" i="2"/>
  <c r="ER34" i="2"/>
  <c r="DK34" i="2"/>
  <c r="CZ34" i="2"/>
  <c r="DC31" i="2"/>
  <c r="EU31" i="2"/>
  <c r="CX36" i="2"/>
  <c r="EP36" i="2"/>
  <c r="CV36" i="2"/>
  <c r="CZ28" i="2"/>
  <c r="CP25" i="2"/>
  <c r="DQ25" i="2" s="1"/>
  <c r="CG25" i="2"/>
  <c r="CG23" i="2"/>
  <c r="CG19" i="2"/>
  <c r="EN31" i="2"/>
  <c r="BZ24" i="2"/>
  <c r="DP24" i="2" s="1"/>
  <c r="BP22" i="2"/>
  <c r="BP20" i="2"/>
  <c r="BV20" i="2"/>
  <c r="DL20" i="2" s="1"/>
  <c r="BW24" i="2"/>
  <c r="DJ24" i="2" s="1"/>
  <c r="CP18" i="2"/>
  <c r="DQ18" i="2" s="1"/>
  <c r="BY22" i="2"/>
  <c r="DN22" i="2" s="1"/>
  <c r="BP18" i="2"/>
  <c r="BX21" i="2"/>
  <c r="DR21" i="2" s="1"/>
  <c r="BZ18" i="2"/>
  <c r="DP18" i="2" s="1"/>
  <c r="CM21" i="2"/>
  <c r="BZ23" i="2"/>
  <c r="DP23" i="2" s="1"/>
  <c r="CO20" i="2"/>
  <c r="DI20" i="2" s="1"/>
  <c r="CO19" i="2"/>
  <c r="DI19" i="2" s="1"/>
  <c r="BY15" i="2"/>
  <c r="DN15" i="2" s="1"/>
  <c r="BQ20" i="2"/>
  <c r="BO17" i="2"/>
  <c r="BX15" i="2"/>
  <c r="DR15" i="2" s="1"/>
  <c r="CB24" i="2"/>
  <c r="CB23" i="2"/>
  <c r="CB15" i="2"/>
  <c r="BW20" i="2"/>
  <c r="DJ20" i="2" s="1"/>
  <c r="BO14" i="2"/>
  <c r="CK13" i="2"/>
  <c r="CI17" i="2"/>
  <c r="DO17" i="2" s="1"/>
  <c r="CN11" i="2"/>
  <c r="CN5" i="2"/>
  <c r="CN16" i="2"/>
  <c r="BU12" i="2"/>
  <c r="DH12" i="2" s="1"/>
  <c r="CL9" i="2"/>
  <c r="BO13" i="2"/>
  <c r="CF10" i="2"/>
  <c r="CI9" i="2"/>
  <c r="DO9" i="2" s="1"/>
  <c r="CI6" i="2"/>
  <c r="DO6" i="2" s="1"/>
  <c r="CI11" i="2"/>
  <c r="DO11" i="2" s="1"/>
  <c r="CB13" i="2"/>
  <c r="CP9" i="2"/>
  <c r="DQ9" i="2" s="1"/>
  <c r="CP8" i="2"/>
  <c r="DQ8" i="2" s="1"/>
  <c r="BO8" i="2"/>
  <c r="BU7" i="2"/>
  <c r="DH7" i="2" s="1"/>
  <c r="BY13" i="2"/>
  <c r="DN13" i="2" s="1"/>
  <c r="BW10" i="2"/>
  <c r="DJ10" i="2" s="1"/>
  <c r="CG17" i="2"/>
  <c r="CK10" i="2"/>
  <c r="CB7" i="2"/>
  <c r="CB6" i="2"/>
  <c r="CB4" i="2"/>
  <c r="BS3" i="2"/>
  <c r="CM7" i="2"/>
  <c r="BO5" i="2"/>
  <c r="CL8" i="2"/>
  <c r="BU6" i="2"/>
  <c r="DH6" i="2" s="1"/>
  <c r="CK3" i="2"/>
  <c r="CF6" i="2"/>
  <c r="BY8" i="2"/>
  <c r="DN8" i="2" s="1"/>
  <c r="BU5" i="2"/>
  <c r="DH5" i="2" s="1"/>
  <c r="BR8" i="2"/>
  <c r="BR5" i="2"/>
  <c r="BY5" i="2"/>
  <c r="DN5" i="2" s="1"/>
  <c r="BY6" i="2"/>
  <c r="DN6" i="2" s="1"/>
  <c r="BS2" i="2"/>
  <c r="CL5" i="2"/>
  <c r="CN2" i="2"/>
  <c r="DB34" i="2"/>
  <c r="DK31" i="2"/>
  <c r="CZ31" i="2"/>
  <c r="ER31" i="2"/>
  <c r="CX33" i="2"/>
  <c r="EP33" i="2"/>
  <c r="EO31" i="2"/>
  <c r="EN33" i="2"/>
  <c r="DB30" i="2"/>
  <c r="ET30" i="2"/>
  <c r="DB28" i="2"/>
  <c r="ET28" i="2"/>
  <c r="DC33" i="2"/>
  <c r="CV31" i="2"/>
  <c r="DB32" i="2"/>
  <c r="ET32" i="2"/>
  <c r="BX25" i="2"/>
  <c r="DR25" i="2" s="1"/>
  <c r="BX24" i="2"/>
  <c r="DR24" i="2" s="1"/>
  <c r="CI21" i="2"/>
  <c r="DO21" i="2" s="1"/>
  <c r="CI19" i="2"/>
  <c r="DO19" i="2" s="1"/>
  <c r="DC28" i="2"/>
  <c r="BU24" i="2"/>
  <c r="DH24" i="2" s="1"/>
  <c r="BU22" i="2"/>
  <c r="DH22" i="2" s="1"/>
  <c r="BU21" i="2"/>
  <c r="DH21" i="2" s="1"/>
  <c r="BY21" i="2"/>
  <c r="DN21" i="2" s="1"/>
  <c r="BQ18" i="2"/>
  <c r="CH24" i="2"/>
  <c r="BQ22" i="2"/>
  <c r="CJ18" i="2"/>
  <c r="CP26" i="2"/>
  <c r="DQ26" i="2" s="1"/>
  <c r="BR23" i="2"/>
  <c r="CO23" i="2"/>
  <c r="BY19" i="2"/>
  <c r="DN19" i="2" s="1"/>
  <c r="BQ15" i="2"/>
  <c r="CG16" i="2"/>
  <c r="BX14" i="2"/>
  <c r="DR14" i="2" s="1"/>
  <c r="CJ14" i="2"/>
  <c r="CG13" i="2"/>
  <c r="BV15" i="2"/>
  <c r="DL15" i="2" s="1"/>
  <c r="CC13" i="2"/>
  <c r="CB19" i="2"/>
  <c r="BQ17" i="2"/>
  <c r="BX16" i="2"/>
  <c r="DR16" i="2" s="1"/>
  <c r="CN12" i="2"/>
  <c r="BX13" i="2"/>
  <c r="DR13" i="2" s="1"/>
  <c r="BV9" i="2"/>
  <c r="DL9" i="2" s="1"/>
  <c r="CC12" i="2"/>
  <c r="CL10" i="2"/>
  <c r="BZ13" i="2"/>
  <c r="DP13" i="2" s="1"/>
  <c r="BX10" i="2"/>
  <c r="DR10" i="2" s="1"/>
  <c r="BS9" i="2"/>
  <c r="CM11" i="2"/>
  <c r="BU18" i="2"/>
  <c r="DH18" i="2" s="1"/>
  <c r="BT13" i="2"/>
  <c r="CH9" i="2"/>
  <c r="CO7" i="2"/>
  <c r="DI7" i="2" s="1"/>
  <c r="BS12" i="2"/>
  <c r="CI16" i="2"/>
  <c r="DO16" i="2" s="1"/>
  <c r="BQ14" i="2"/>
  <c r="CA9" i="2"/>
  <c r="CM12" i="2"/>
  <c r="CK9" i="2"/>
  <c r="CF7" i="2"/>
  <c r="CE2" i="2"/>
  <c r="CI5" i="2"/>
  <c r="DO5" i="2" s="1"/>
  <c r="CO8" i="2"/>
  <c r="DI8" i="2" s="1"/>
  <c r="CL6" i="2"/>
  <c r="BQ3" i="2"/>
  <c r="CI10" i="2"/>
  <c r="DO10" i="2" s="1"/>
  <c r="BP6" i="2"/>
  <c r="CD8" i="2"/>
  <c r="BT3" i="2"/>
  <c r="CI7" i="2"/>
  <c r="DO7" i="2" s="1"/>
  <c r="BS6" i="2"/>
  <c r="BQ5" i="2"/>
  <c r="BQ6" i="2"/>
  <c r="CL3" i="2"/>
  <c r="CD5" i="2"/>
  <c r="CA4" i="2"/>
  <c r="BP2" i="2"/>
  <c r="DB35" i="2"/>
  <c r="CV33" i="2"/>
  <c r="DK33" i="2"/>
  <c r="CZ33" i="2"/>
  <c r="ER33" i="2"/>
  <c r="DY33" i="2" s="1"/>
  <c r="BQ23" i="2"/>
  <c r="EP28" i="2"/>
  <c r="BR27" i="2"/>
  <c r="DB29" i="2"/>
  <c r="ET29" i="2"/>
  <c r="CA21" i="2"/>
  <c r="CA19" i="2"/>
  <c r="CA14" i="2"/>
  <c r="CK19" i="2"/>
  <c r="CM23" i="2"/>
  <c r="BU20" i="2"/>
  <c r="DH20" i="2" s="1"/>
  <c r="CJ17" i="2"/>
  <c r="CP21" i="2"/>
  <c r="DQ21" i="2" s="1"/>
  <c r="CO21" i="2"/>
  <c r="DI21" i="2" s="1"/>
  <c r="CJ21" i="2"/>
  <c r="CH20" i="2"/>
  <c r="BV22" i="2"/>
  <c r="DL22" i="2" s="1"/>
  <c r="CO24" i="2"/>
  <c r="DI24" i="2" s="1"/>
  <c r="BQ19" i="2"/>
  <c r="CC15" i="2"/>
  <c r="CL14" i="2"/>
  <c r="BQ16" i="2"/>
  <c r="BP15" i="2"/>
  <c r="CB14" i="2"/>
  <c r="BT17" i="2"/>
  <c r="BS13" i="2"/>
  <c r="CD14" i="2"/>
  <c r="BU13" i="2"/>
  <c r="DH13" i="2" s="1"/>
  <c r="BT19" i="2"/>
  <c r="CO16" i="2"/>
  <c r="DI16" i="2" s="1"/>
  <c r="BX11" i="2"/>
  <c r="DR11" i="2" s="1"/>
  <c r="BX5" i="2"/>
  <c r="DR5" i="2" s="1"/>
  <c r="CL15" i="2"/>
  <c r="CF12" i="2"/>
  <c r="BP13" i="2"/>
  <c r="CP15" i="2"/>
  <c r="DQ15" i="2" s="1"/>
  <c r="BO10" i="2"/>
  <c r="CL13" i="2"/>
  <c r="BP10" i="2"/>
  <c r="BX8" i="2"/>
  <c r="DR8" i="2" s="1"/>
  <c r="CE11" i="2"/>
  <c r="BZ9" i="2"/>
  <c r="DP9" i="2" s="1"/>
  <c r="CG7" i="2"/>
  <c r="CA11" i="2"/>
  <c r="CN8" i="2"/>
  <c r="CO12" i="2"/>
  <c r="DI12" i="2" s="1"/>
  <c r="CC10" i="2"/>
  <c r="CN6" i="2"/>
  <c r="BZ3" i="2"/>
  <c r="DP3" i="2" s="1"/>
  <c r="CA5" i="2"/>
  <c r="CG8" i="2"/>
  <c r="CD6" i="2"/>
  <c r="CM2" i="2"/>
  <c r="CK5" i="2"/>
  <c r="CK2" i="2"/>
  <c r="CA10" i="2"/>
  <c r="CJ5" i="2"/>
  <c r="BV8" i="2"/>
  <c r="DL8" i="2" s="1"/>
  <c r="CD3" i="2"/>
  <c r="CP7" i="2"/>
  <c r="DQ7" i="2" s="1"/>
  <c r="CB8" i="2"/>
  <c r="CG3" i="2"/>
  <c r="CM4" i="2"/>
  <c r="BV3" i="2"/>
  <c r="DL3" i="2" s="1"/>
  <c r="BV5" i="2"/>
  <c r="DL5" i="2" s="1"/>
  <c r="BS4" i="2"/>
  <c r="EO33" i="2"/>
  <c r="DY34" i="2"/>
  <c r="EN30" i="2"/>
  <c r="DT30" i="2"/>
  <c r="DS30" i="2"/>
  <c r="CV30" i="2"/>
  <c r="EQ31" i="2"/>
  <c r="DC30" i="2"/>
  <c r="EU30" i="2"/>
  <c r="BR25" i="2"/>
  <c r="BZ27" i="2"/>
  <c r="CL26" i="2"/>
  <c r="CP27" i="2"/>
  <c r="DQ27" i="2" s="1"/>
  <c r="DA35" i="2"/>
  <c r="CB26" i="2"/>
  <c r="BS21" i="2"/>
  <c r="EQ30" i="2"/>
  <c r="CC23" i="2"/>
  <c r="BS22" i="2"/>
  <c r="BO19" i="2"/>
  <c r="CE23" i="2"/>
  <c r="BV24" i="2"/>
  <c r="DL24" i="2" s="1"/>
  <c r="BW21" i="2"/>
  <c r="DJ21" i="2" s="1"/>
  <c r="BT18" i="2"/>
  <c r="BZ26" i="2"/>
  <c r="DP26" i="2" s="1"/>
  <c r="BR21" i="2"/>
  <c r="CB21" i="2"/>
  <c r="BS23" i="2"/>
  <c r="BW19" i="2"/>
  <c r="DJ19" i="2" s="1"/>
  <c r="CG21" i="2"/>
  <c r="CG24" i="2"/>
  <c r="CA17" i="2"/>
  <c r="BU16" i="2"/>
  <c r="DH16" i="2" s="1"/>
  <c r="BV14" i="2"/>
  <c r="DL14" i="2" s="1"/>
  <c r="CI18" i="2"/>
  <c r="DO18" i="2" s="1"/>
  <c r="CD15" i="2"/>
  <c r="BP14" i="2"/>
  <c r="BT14" i="2"/>
  <c r="CK17" i="2"/>
  <c r="BX12" i="2"/>
  <c r="DR12" i="2" s="1"/>
  <c r="CP14" i="2"/>
  <c r="DQ14" i="2" s="1"/>
  <c r="CP11" i="2"/>
  <c r="DQ11" i="2" s="1"/>
  <c r="CL21" i="2"/>
  <c r="CA18" i="2"/>
  <c r="BP11" i="2"/>
  <c r="BS15" i="2"/>
  <c r="CM19" i="2"/>
  <c r="CM10" i="2"/>
  <c r="CH15" i="2"/>
  <c r="BO12" i="2"/>
  <c r="CJ9" i="2"/>
  <c r="CD13" i="2"/>
  <c r="CG10" i="2"/>
  <c r="CH7" i="2"/>
  <c r="BW11" i="2"/>
  <c r="DJ11" i="2" s="1"/>
  <c r="BW15" i="2"/>
  <c r="DJ15" i="2" s="1"/>
  <c r="CJ12" i="2"/>
  <c r="BR9" i="2"/>
  <c r="BY7" i="2"/>
  <c r="DN7" i="2" s="1"/>
  <c r="BY10" i="2"/>
  <c r="DN10" i="2" s="1"/>
  <c r="CC9" i="2"/>
  <c r="BX6" i="2"/>
  <c r="DR6" i="2" s="1"/>
  <c r="BW13" i="2"/>
  <c r="DJ13" i="2" s="1"/>
  <c r="BO7" i="2"/>
  <c r="BS5" i="2"/>
  <c r="BX7" i="2"/>
  <c r="DR7" i="2" s="1"/>
  <c r="BV6" i="2"/>
  <c r="DL6" i="2" s="1"/>
  <c r="CM9" i="2"/>
  <c r="CO5" i="2"/>
  <c r="DI5" i="2" s="1"/>
  <c r="CO3" i="2"/>
  <c r="DI3" i="2" s="1"/>
  <c r="BS10" i="2"/>
  <c r="BW5" i="2"/>
  <c r="DJ5" i="2" s="1"/>
  <c r="CK7" i="2"/>
  <c r="CJ2" i="2"/>
  <c r="CC6" i="2"/>
  <c r="BT8" i="2"/>
  <c r="BU4" i="2"/>
  <c r="DH4" i="2" s="1"/>
  <c r="BY3" i="2"/>
  <c r="DN3" i="2" s="1"/>
  <c r="BW4" i="2"/>
  <c r="DJ4" i="2" s="1"/>
  <c r="BP5" i="2"/>
  <c r="CP2" i="2"/>
  <c r="DQ2" i="2" s="1"/>
  <c r="CJ4" i="2"/>
  <c r="CA7" i="2"/>
  <c r="CW29" i="2"/>
  <c r="EO29" i="2"/>
  <c r="DG29" i="2"/>
  <c r="CY29" i="2"/>
  <c r="EQ29" i="2"/>
  <c r="EP35" i="2"/>
  <c r="DT29" i="2"/>
  <c r="DS29" i="2"/>
  <c r="CV29" i="2"/>
  <c r="EN29" i="2"/>
  <c r="BQ25" i="2"/>
  <c r="CL23" i="2"/>
  <c r="CW34" i="2"/>
  <c r="CE25" i="2"/>
  <c r="BV25" i="2"/>
  <c r="DL25" i="2" s="1"/>
  <c r="CL20" i="2"/>
  <c r="CL18" i="2"/>
  <c r="CL17" i="2"/>
  <c r="CY30" i="2"/>
  <c r="BW25" i="2"/>
  <c r="DJ25" i="2" s="1"/>
  <c r="CG22" i="2"/>
  <c r="BZ21" i="2"/>
  <c r="DP21" i="2" s="1"/>
  <c r="BR18" i="2"/>
  <c r="BW23" i="2"/>
  <c r="DJ23" i="2" s="1"/>
  <c r="CP19" i="2"/>
  <c r="DQ19" i="2" s="1"/>
  <c r="CP20" i="2"/>
  <c r="DQ20" i="2" s="1"/>
  <c r="BR26" i="2"/>
  <c r="CK20" i="2"/>
  <c r="CM22" i="2"/>
  <c r="BT21" i="2"/>
  <c r="CB22" i="2"/>
  <c r="BX18" i="2"/>
  <c r="DR18" i="2" s="1"/>
  <c r="BX17" i="2"/>
  <c r="DR17" i="2" s="1"/>
  <c r="CC20" i="2"/>
  <c r="BY24" i="2"/>
  <c r="DN24" i="2" s="1"/>
  <c r="BU15" i="2"/>
  <c r="DH15" i="2" s="1"/>
  <c r="CP12" i="2"/>
  <c r="DQ12" i="2" s="1"/>
  <c r="BZ17" i="2"/>
  <c r="DP17" i="2" s="1"/>
  <c r="CN15" i="2"/>
  <c r="CI13" i="2"/>
  <c r="DO13" i="2" s="1"/>
  <c r="CD17" i="2"/>
  <c r="BU17" i="2"/>
  <c r="DH17" i="2" s="1"/>
  <c r="CE21" i="2"/>
  <c r="CH14" i="2"/>
  <c r="CH11" i="2"/>
  <c r="CM18" i="2"/>
  <c r="BT15" i="2"/>
  <c r="BY14" i="2"/>
  <c r="DN14" i="2" s="1"/>
  <c r="CJ16" i="2"/>
  <c r="BQ10" i="2"/>
  <c r="BZ15" i="2"/>
  <c r="DP15" i="2" s="1"/>
  <c r="CL11" i="2"/>
  <c r="CI8" i="2"/>
  <c r="DO8" i="2" s="1"/>
  <c r="BV13" i="2"/>
  <c r="DL13" i="2" s="1"/>
  <c r="CP10" i="2"/>
  <c r="DQ10" i="2" s="1"/>
  <c r="BW14" i="2"/>
  <c r="DJ14" i="2" s="1"/>
  <c r="BO11" i="2"/>
  <c r="BO15" i="2"/>
  <c r="CB12" i="2"/>
  <c r="CF8" i="2"/>
  <c r="BQ7" i="2"/>
  <c r="BQ12" i="2"/>
  <c r="BU10" i="2"/>
  <c r="DH10" i="2" s="1"/>
  <c r="CC5" i="2"/>
  <c r="CN9" i="2"/>
  <c r="CM6" i="2"/>
  <c r="CM3" i="2"/>
  <c r="CL7" i="2"/>
  <c r="CE9" i="2"/>
  <c r="CF4" i="2"/>
  <c r="CF3" i="2"/>
  <c r="CA8" i="2"/>
  <c r="CH3" i="2"/>
  <c r="CG5" i="2"/>
  <c r="CC7" i="2"/>
  <c r="CN4" i="2"/>
  <c r="CC2" i="2"/>
  <c r="CN3" i="2"/>
  <c r="CL4" i="2"/>
  <c r="BZ2" i="2"/>
  <c r="DP2" i="2" s="1"/>
  <c r="BT4" i="2"/>
  <c r="DI31" i="2"/>
  <c r="CW31" i="2"/>
  <c r="DY36" i="2"/>
  <c r="DS35" i="2"/>
  <c r="CV35" i="2"/>
  <c r="EN35" i="2"/>
  <c r="DT35" i="2"/>
  <c r="ES35" i="2"/>
  <c r="DM27" i="2"/>
  <c r="CD26" i="2"/>
  <c r="CD24" i="2"/>
  <c r="CN22" i="2"/>
  <c r="CN20" i="2"/>
  <c r="DC32" i="2"/>
  <c r="EU32" i="2"/>
  <c r="DY32" i="2" s="1"/>
  <c r="BR24" i="2"/>
  <c r="CD20" i="2"/>
  <c r="CD18" i="2"/>
  <c r="ES30" i="2"/>
  <c r="CK24" i="2"/>
  <c r="CK22" i="2"/>
  <c r="BX22" i="2"/>
  <c r="DR22" i="2" s="1"/>
  <c r="BX20" i="2"/>
  <c r="DR20" i="2" s="1"/>
  <c r="BZ20" i="2"/>
  <c r="DP20" i="2" s="1"/>
  <c r="CH19" i="2"/>
  <c r="CD22" i="2"/>
  <c r="BR20" i="2"/>
  <c r="CE22" i="2"/>
  <c r="CJ20" i="2"/>
  <c r="CH21" i="2"/>
  <c r="CH17" i="2"/>
  <c r="CK16" i="2"/>
  <c r="CN19" i="2"/>
  <c r="BQ24" i="2"/>
  <c r="CI15" i="2"/>
  <c r="DO15" i="2" s="1"/>
  <c r="CL12" i="2"/>
  <c r="CM17" i="2"/>
  <c r="CM16" i="2"/>
  <c r="CN14" i="2"/>
  <c r="CK12" i="2"/>
  <c r="BV17" i="2"/>
  <c r="DL17" i="2" s="1"/>
  <c r="CB20" i="2"/>
  <c r="CA16" i="2"/>
  <c r="CG18" i="2"/>
  <c r="BZ14" i="2"/>
  <c r="DP14" i="2" s="1"/>
  <c r="BZ11" i="2"/>
  <c r="DP11" i="2" s="1"/>
  <c r="CE18" i="2"/>
  <c r="CP13" i="2"/>
  <c r="DQ13" i="2" s="1"/>
  <c r="BS19" i="2"/>
  <c r="CO13" i="2"/>
  <c r="DI13" i="2" s="1"/>
  <c r="CB16" i="2"/>
  <c r="CJ10" i="2"/>
  <c r="BR15" i="2"/>
  <c r="CO11" i="2"/>
  <c r="DI11" i="2" s="1"/>
  <c r="CJ15" i="2"/>
  <c r="CA12" i="2"/>
  <c r="CH10" i="2"/>
  <c r="CK11" i="2"/>
  <c r="CE10" i="2"/>
  <c r="CI14" i="2"/>
  <c r="DO14" i="2" s="1"/>
  <c r="CD11" i="2"/>
  <c r="CM8" i="2"/>
  <c r="BS17" i="2"/>
  <c r="CG9" i="2"/>
  <c r="BV16" i="2"/>
  <c r="DL16" i="2" s="1"/>
  <c r="BV11" i="2"/>
  <c r="DL11" i="2" s="1"/>
  <c r="CW35" i="2"/>
  <c r="BS11" i="2"/>
  <c r="BU9" i="2"/>
  <c r="DH9" i="2" s="1"/>
  <c r="BO3" i="2"/>
  <c r="CH8" i="2"/>
  <c r="BW6" i="2"/>
  <c r="DJ6" i="2" s="1"/>
  <c r="BS18" i="2"/>
  <c r="CD7" i="2"/>
  <c r="BZ5" i="2"/>
  <c r="DP5" i="2" s="1"/>
  <c r="BW9" i="2"/>
  <c r="DJ9" i="2" s="1"/>
  <c r="BP4" i="2"/>
  <c r="CN7" i="2"/>
  <c r="BU3" i="2"/>
  <c r="DH3" i="2" s="1"/>
  <c r="CE6" i="2"/>
  <c r="CE4" i="2"/>
  <c r="BT5" i="2"/>
  <c r="BR3" i="2"/>
  <c r="CP6" i="2"/>
  <c r="DQ6" i="2" s="1"/>
  <c r="BX4" i="2"/>
  <c r="DR4" i="2" s="1"/>
  <c r="BU2" i="2"/>
  <c r="BX3" i="2"/>
  <c r="DR3" i="2" s="1"/>
  <c r="BR2" i="2"/>
  <c r="CO2" i="2"/>
  <c r="CB3" i="2"/>
  <c r="CI4" i="2"/>
  <c r="DO4" i="2" s="1"/>
  <c r="EO34" i="2"/>
  <c r="DY35" i="2"/>
  <c r="CV34" i="2"/>
  <c r="EN34" i="2"/>
  <c r="DT34" i="2"/>
  <c r="DS34" i="2"/>
  <c r="DB31" i="2"/>
  <c r="ET31" i="2"/>
  <c r="CX31" i="2"/>
  <c r="EP31" i="2"/>
  <c r="ET34" i="2"/>
  <c r="CV32" i="2"/>
  <c r="EN32" i="2"/>
  <c r="DT32" i="2"/>
  <c r="DS32" i="2"/>
  <c r="CV28" i="2"/>
  <c r="ER35" i="2"/>
  <c r="ET33" i="2"/>
  <c r="CJ26" i="2"/>
  <c r="EP34" i="2"/>
  <c r="EU29" i="2"/>
  <c r="DC29" i="2"/>
  <c r="CD23" i="2"/>
  <c r="CX32" i="2"/>
  <c r="DA30" i="2"/>
  <c r="CL19" i="2"/>
  <c r="CM24" i="2"/>
  <c r="CH22" i="2"/>
  <c r="BZ19" i="2"/>
  <c r="DP19" i="2" s="1"/>
  <c r="CE19" i="2"/>
  <c r="ES28" i="2"/>
  <c r="CN21" i="2"/>
  <c r="CC19" i="2"/>
  <c r="BW22" i="2"/>
  <c r="DJ22" i="2" s="1"/>
  <c r="BY18" i="2"/>
  <c r="DN18" i="2" s="1"/>
  <c r="BY17" i="2"/>
  <c r="DN17" i="2" s="1"/>
  <c r="BO21" i="2"/>
  <c r="CP23" i="2"/>
  <c r="DQ23" i="2" s="1"/>
  <c r="BU19" i="2"/>
  <c r="DH19" i="2" s="1"/>
  <c r="CP22" i="2"/>
  <c r="DQ22" i="2" s="1"/>
  <c r="CH16" i="2"/>
  <c r="CO15" i="2"/>
  <c r="DI15" i="2" s="1"/>
  <c r="CG20" i="2"/>
  <c r="CE17" i="2"/>
  <c r="CE15" i="2"/>
  <c r="CE16" i="2"/>
  <c r="CF15" i="2"/>
  <c r="CJ24" i="2"/>
  <c r="CJ23" i="2"/>
  <c r="CF16" i="2"/>
  <c r="CM20" i="2"/>
  <c r="CA15" i="2"/>
  <c r="BR17" i="2"/>
  <c r="BR12" i="2"/>
  <c r="BR14" i="2"/>
  <c r="BP17" i="2"/>
  <c r="BW18" i="2"/>
  <c r="DJ18" i="2" s="1"/>
  <c r="BQ13" i="2"/>
  <c r="BV18" i="2"/>
  <c r="DL18" i="2" s="1"/>
  <c r="CA13" i="2"/>
  <c r="BT16" i="2"/>
  <c r="CB10" i="2"/>
  <c r="CM13" i="2"/>
  <c r="CG11" i="2"/>
  <c r="CK14" i="2"/>
  <c r="CJ11" i="2"/>
  <c r="BZ10" i="2"/>
  <c r="DP10" i="2" s="1"/>
  <c r="CC11" i="2"/>
  <c r="BP9" i="2"/>
  <c r="BS14" i="2"/>
  <c r="CD10" i="2"/>
  <c r="CE8" i="2"/>
  <c r="BO16" i="2"/>
  <c r="BY9" i="2"/>
  <c r="DN9" i="2" s="1"/>
  <c r="CO14" i="2"/>
  <c r="DI14" i="2" s="1"/>
  <c r="CB11" i="2"/>
  <c r="CC17" i="2"/>
  <c r="CO10" i="2"/>
  <c r="DI10" i="2" s="1"/>
  <c r="BQ8" i="2"/>
  <c r="CI3" i="2"/>
  <c r="DO3" i="2" s="1"/>
  <c r="BZ8" i="2"/>
  <c r="DP8" i="2" s="1"/>
  <c r="CP5" i="2"/>
  <c r="DQ5" i="2" s="1"/>
  <c r="CF9" i="2"/>
  <c r="BV7" i="2"/>
  <c r="DL7" i="2" s="1"/>
  <c r="CH4" i="2"/>
  <c r="BO9" i="2"/>
  <c r="BW3" i="2"/>
  <c r="DJ3" i="2" s="1"/>
  <c r="BS7" i="2"/>
  <c r="BO2" i="2"/>
  <c r="BO6" i="2"/>
  <c r="BO4" i="2"/>
  <c r="CB9" i="2"/>
  <c r="CP4" i="2"/>
  <c r="DQ4" i="2" s="1"/>
  <c r="BZ6" i="2"/>
  <c r="DP6" i="2" s="1"/>
  <c r="CP3" i="2"/>
  <c r="DQ3" i="2" s="1"/>
  <c r="BV2" i="2"/>
  <c r="DL2" i="2" s="1"/>
  <c r="CO6" i="2"/>
  <c r="DI6" i="2" s="1"/>
  <c r="BV4" i="2"/>
  <c r="DL4" i="2" s="1"/>
  <c r="CH2" i="2"/>
  <c r="BY2" i="2"/>
  <c r="DN2" i="2" s="1"/>
  <c r="BT2" i="2"/>
  <c r="CL2" i="2"/>
  <c r="CZ36" i="2"/>
  <c r="DK29" i="2"/>
  <c r="CZ29" i="2"/>
  <c r="ER29" i="2"/>
  <c r="DM29" i="2"/>
  <c r="DA29" i="2"/>
  <c r="ES29" i="2"/>
  <c r="CX30" i="2"/>
  <c r="EP30" i="2"/>
  <c r="CW33" i="2"/>
  <c r="EN36" i="2"/>
  <c r="EO30" i="2"/>
  <c r="BX23" i="2"/>
  <c r="DR23" i="2" s="1"/>
  <c r="BV26" i="2"/>
  <c r="DL26" i="2" s="1"/>
  <c r="CM25" i="2"/>
  <c r="CY32" i="2"/>
  <c r="EQ32" i="2"/>
  <c r="DI32" i="2"/>
  <c r="CH27" i="2"/>
  <c r="CC24" i="2"/>
  <c r="CC21" i="2"/>
  <c r="CD19" i="2"/>
  <c r="CE24" i="2"/>
  <c r="BZ22" i="2"/>
  <c r="DP22" i="2" s="1"/>
  <c r="BR19" i="2"/>
  <c r="CO22" i="2"/>
  <c r="DI22" i="2" s="1"/>
  <c r="CO18" i="2"/>
  <c r="DI18" i="2" s="1"/>
  <c r="CN18" i="2"/>
  <c r="BO22" i="2"/>
  <c r="CI20" i="2"/>
  <c r="DO20" i="2" s="1"/>
  <c r="CH23" i="2"/>
  <c r="CH18" i="2"/>
  <c r="CJ22" i="2"/>
  <c r="BR16" i="2"/>
  <c r="CG15" i="2"/>
  <c r="BY20" i="2"/>
  <c r="DN20" i="2" s="1"/>
  <c r="BW17" i="2"/>
  <c r="DJ17" i="2" s="1"/>
  <c r="BW16" i="2"/>
  <c r="DJ16" i="2" s="1"/>
  <c r="CF14" i="2"/>
  <c r="CJ25" i="2"/>
  <c r="BP16" i="2"/>
  <c r="CE20" i="2"/>
  <c r="CE14" i="2"/>
  <c r="CP16" i="2"/>
  <c r="DQ16" i="2" s="1"/>
  <c r="BR13" i="2"/>
  <c r="BP19" i="2"/>
  <c r="BO18" i="2"/>
  <c r="BV12" i="2"/>
  <c r="DL12" i="2" s="1"/>
  <c r="CP17" i="2"/>
  <c r="DQ17" i="2" s="1"/>
  <c r="CD12" i="2"/>
  <c r="CM14" i="2"/>
  <c r="BT10" i="2"/>
  <c r="CE13" i="2"/>
  <c r="BY11" i="2"/>
  <c r="DN11" i="2" s="1"/>
  <c r="CC14" i="2"/>
  <c r="CN10" i="2"/>
  <c r="BR10" i="2"/>
  <c r="BU11" i="2"/>
  <c r="DH11" i="2" s="1"/>
  <c r="CK18" i="2"/>
  <c r="CJ13" i="2"/>
  <c r="CD9" i="2"/>
  <c r="BW8" i="2"/>
  <c r="DJ8" i="2" s="1"/>
  <c r="BP12" i="2"/>
  <c r="BQ9" i="2"/>
  <c r="CG14" i="2"/>
  <c r="BT11" i="2"/>
  <c r="CO17" i="2"/>
  <c r="DI17" i="2" s="1"/>
  <c r="BV10" i="2"/>
  <c r="DL10" i="2" s="1"/>
  <c r="BS8" i="2"/>
  <c r="CA2" i="2"/>
  <c r="CA3" i="2"/>
  <c r="BZ7" i="2"/>
  <c r="DP7" i="2" s="1"/>
  <c r="CB5" i="2"/>
  <c r="BP8" i="2"/>
  <c r="CK6" i="2"/>
  <c r="BR4" i="2"/>
  <c r="BT7" i="2"/>
  <c r="CB2" i="2"/>
  <c r="CJ7" i="2"/>
  <c r="CJ6" i="2"/>
  <c r="BX9" i="2"/>
  <c r="DR9" i="2" s="1"/>
  <c r="CH5" i="2"/>
  <c r="CK8" i="2"/>
  <c r="BZ4" i="2"/>
  <c r="DP4" i="2" s="1"/>
  <c r="BT9" i="2"/>
  <c r="CE5" i="2"/>
  <c r="CC3" i="2"/>
  <c r="BU8" i="2"/>
  <c r="DH8" i="2" s="1"/>
  <c r="CG6" i="2"/>
  <c r="CI2" i="2"/>
  <c r="DO2" i="2" s="1"/>
  <c r="BR7" i="2"/>
  <c r="BQ2" i="2"/>
  <c r="CF2" i="2"/>
  <c r="CD2" i="2"/>
  <c r="BT26" i="1"/>
  <c r="DS26" i="1" s="1"/>
  <c r="BU27" i="1"/>
  <c r="DH27" i="1" s="1"/>
  <c r="BX27" i="1"/>
  <c r="DR27" i="1" s="1"/>
  <c r="DB37" i="1"/>
  <c r="EU31" i="1"/>
  <c r="DA34" i="1"/>
  <c r="CV31" i="1"/>
  <c r="EU29" i="1"/>
  <c r="EQ35" i="1"/>
  <c r="CY36" i="1"/>
  <c r="DB30" i="1"/>
  <c r="CW29" i="1"/>
  <c r="CX36" i="1"/>
  <c r="EO29" i="1"/>
  <c r="CV37" i="1"/>
  <c r="DT32" i="1"/>
  <c r="DS32" i="1"/>
  <c r="CW36" i="1"/>
  <c r="CV29" i="1"/>
  <c r="DP37" i="1"/>
  <c r="ET37" i="1"/>
  <c r="CY34" i="1"/>
  <c r="BP27" i="1"/>
  <c r="BZ27" i="1"/>
  <c r="DP27" i="1" s="1"/>
  <c r="CJ27" i="1"/>
  <c r="CC26" i="1"/>
  <c r="CP25" i="1"/>
  <c r="DQ25" i="1" s="1"/>
  <c r="CJ26" i="1"/>
  <c r="CJ25" i="1"/>
  <c r="CO27" i="1"/>
  <c r="DI27" i="1" s="1"/>
  <c r="CC27" i="1"/>
  <c r="BX23" i="1"/>
  <c r="DR23" i="1" s="1"/>
  <c r="BW21" i="1"/>
  <c r="DJ21" i="1" s="1"/>
  <c r="CG21" i="1"/>
  <c r="CK25" i="1"/>
  <c r="CK12" i="1"/>
  <c r="CF21" i="1"/>
  <c r="CC25" i="1"/>
  <c r="BV25" i="1"/>
  <c r="DL25" i="1" s="1"/>
  <c r="CH21" i="1"/>
  <c r="CD25" i="1"/>
  <c r="BY17" i="1"/>
  <c r="DN17" i="1" s="1"/>
  <c r="BV12" i="1"/>
  <c r="DL12" i="1" s="1"/>
  <c r="BV23" i="1"/>
  <c r="DL23" i="1" s="1"/>
  <c r="BY16" i="1"/>
  <c r="DN16" i="1" s="1"/>
  <c r="BY21" i="1"/>
  <c r="DN21" i="1" s="1"/>
  <c r="BY27" i="1"/>
  <c r="DN27" i="1" s="1"/>
  <c r="BY12" i="1"/>
  <c r="DN12" i="1" s="1"/>
  <c r="BY20" i="1"/>
  <c r="DN20" i="1" s="1"/>
  <c r="CL25" i="1"/>
  <c r="CA23" i="1"/>
  <c r="DK23" i="1" s="1"/>
  <c r="BS10" i="1"/>
  <c r="CD20" i="1"/>
  <c r="CL6" i="1"/>
  <c r="CH26" i="1"/>
  <c r="BY15" i="1"/>
  <c r="DN15" i="1" s="1"/>
  <c r="CH22" i="1"/>
  <c r="CE18" i="1"/>
  <c r="CD24" i="1"/>
  <c r="CL14" i="1"/>
  <c r="CO13" i="1"/>
  <c r="DI13" i="1" s="1"/>
  <c r="BT10" i="1"/>
  <c r="DT10" i="1" s="1"/>
  <c r="CJ20" i="1"/>
  <c r="CI19" i="1"/>
  <c r="DO19" i="1" s="1"/>
  <c r="CD16" i="1"/>
  <c r="CD17" i="1"/>
  <c r="CD22" i="1"/>
  <c r="CF14" i="1"/>
  <c r="CF19" i="1"/>
  <c r="CC20" i="1"/>
  <c r="CE6" i="1"/>
  <c r="CE15" i="1"/>
  <c r="CB24" i="1"/>
  <c r="CB21" i="1"/>
  <c r="CB25" i="1"/>
  <c r="CA15" i="1"/>
  <c r="DK15" i="1" s="1"/>
  <c r="CO26" i="1"/>
  <c r="DI26" i="1" s="1"/>
  <c r="CO16" i="1"/>
  <c r="DI16" i="1" s="1"/>
  <c r="BY11" i="1"/>
  <c r="DN11" i="1" s="1"/>
  <c r="BY6" i="1"/>
  <c r="DN6" i="1" s="1"/>
  <c r="CN27" i="1"/>
  <c r="DG27" i="1" s="1"/>
  <c r="BY13" i="1"/>
  <c r="DN13" i="1" s="1"/>
  <c r="CN26" i="1"/>
  <c r="DG26" i="1" s="1"/>
  <c r="CI26" i="1"/>
  <c r="DO26" i="1" s="1"/>
  <c r="BV15" i="1"/>
  <c r="DL15" i="1" s="1"/>
  <c r="BY25" i="1"/>
  <c r="DN25" i="1" s="1"/>
  <c r="CA21" i="1"/>
  <c r="DK21" i="1" s="1"/>
  <c r="CN20" i="1"/>
  <c r="DG20" i="1" s="1"/>
  <c r="BS4" i="1"/>
  <c r="BS5" i="1"/>
  <c r="BS2" i="1"/>
  <c r="CO17" i="1"/>
  <c r="DI17" i="1" s="1"/>
  <c r="BU7" i="1"/>
  <c r="DH7" i="1" s="1"/>
  <c r="BU11" i="1"/>
  <c r="DH11" i="1" s="1"/>
  <c r="CH27" i="1"/>
  <c r="BS19" i="1"/>
  <c r="BU6" i="1"/>
  <c r="DH6" i="1" s="1"/>
  <c r="BU19" i="1"/>
  <c r="DH19" i="1" s="1"/>
  <c r="BZ14" i="1"/>
  <c r="DP14" i="1" s="1"/>
  <c r="BR25" i="1"/>
  <c r="BW19" i="1"/>
  <c r="DJ19" i="1" s="1"/>
  <c r="BR22" i="1"/>
  <c r="CL15" i="1"/>
  <c r="CL22" i="1"/>
  <c r="CL20" i="1"/>
  <c r="BR19" i="1"/>
  <c r="BR26" i="1"/>
  <c r="BW20" i="1"/>
  <c r="DJ20" i="1" s="1"/>
  <c r="BQ25" i="1"/>
  <c r="CK27" i="1"/>
  <c r="BR12" i="1"/>
  <c r="BR21" i="1"/>
  <c r="CK26" i="1"/>
  <c r="BP20" i="1"/>
  <c r="CF9" i="1"/>
  <c r="BX20" i="1"/>
  <c r="DR20" i="1" s="1"/>
  <c r="BX22" i="1"/>
  <c r="DR22" i="1" s="1"/>
  <c r="CG15" i="1"/>
  <c r="CG16" i="1"/>
  <c r="CP16" i="1"/>
  <c r="DQ16" i="1" s="1"/>
  <c r="CP26" i="1"/>
  <c r="DQ26" i="1" s="1"/>
  <c r="CP27" i="1"/>
  <c r="DQ27" i="1" s="1"/>
  <c r="CG22" i="1"/>
  <c r="CG24" i="1"/>
  <c r="CC22" i="1"/>
  <c r="BR5" i="1"/>
  <c r="CG3" i="1"/>
  <c r="CG20" i="1"/>
  <c r="BY10" i="1"/>
  <c r="DN10" i="1" s="1"/>
  <c r="CM27" i="1"/>
  <c r="CP17" i="1"/>
  <c r="DQ17" i="1" s="1"/>
  <c r="CC16" i="1"/>
  <c r="BY26" i="1"/>
  <c r="DN26" i="1" s="1"/>
  <c r="BZ10" i="1"/>
  <c r="DP10" i="1" s="1"/>
  <c r="CD27" i="1"/>
  <c r="BR7" i="1"/>
  <c r="BQ13" i="1"/>
  <c r="CK18" i="1"/>
  <c r="CH28" i="1"/>
  <c r="CK22" i="1"/>
  <c r="BW27" i="1"/>
  <c r="DJ27" i="1" s="1"/>
  <c r="CH25" i="1"/>
  <c r="CC3" i="1"/>
  <c r="BR23" i="1"/>
  <c r="CG25" i="1"/>
  <c r="BU26" i="1"/>
  <c r="DH26" i="1" s="1"/>
  <c r="BR20" i="1"/>
  <c r="CG23" i="1"/>
  <c r="CK21" i="1"/>
  <c r="BQ18" i="1"/>
  <c r="CC23" i="1"/>
  <c r="CG26" i="1"/>
  <c r="BW23" i="1"/>
  <c r="DJ23" i="1" s="1"/>
  <c r="CC15" i="1"/>
  <c r="BW24" i="1"/>
  <c r="DJ24" i="1" s="1"/>
  <c r="BU21" i="1"/>
  <c r="DH21" i="1" s="1"/>
  <c r="CP12" i="1"/>
  <c r="DQ12" i="1" s="1"/>
  <c r="BU13" i="1"/>
  <c r="DH13" i="1" s="1"/>
  <c r="BW25" i="1"/>
  <c r="DJ25" i="1" s="1"/>
  <c r="CH20" i="1"/>
  <c r="CI12" i="1"/>
  <c r="DO12" i="1" s="1"/>
  <c r="BU18" i="1"/>
  <c r="DH18" i="1" s="1"/>
  <c r="CA20" i="1"/>
  <c r="DK20" i="1" s="1"/>
  <c r="CL26" i="1"/>
  <c r="BY23" i="1"/>
  <c r="DN23" i="1" s="1"/>
  <c r="CG27" i="1"/>
  <c r="BV17" i="1"/>
  <c r="DL17" i="1" s="1"/>
  <c r="BY22" i="1"/>
  <c r="DN22" i="1" s="1"/>
  <c r="CI3" i="1"/>
  <c r="DO3" i="1" s="1"/>
  <c r="BX25" i="1"/>
  <c r="DR25" i="1" s="1"/>
  <c r="BS23" i="1"/>
  <c r="CG18" i="1"/>
  <c r="BV27" i="1"/>
  <c r="DL27" i="1" s="1"/>
  <c r="CN19" i="1"/>
  <c r="DG19" i="1" s="1"/>
  <c r="BY14" i="1"/>
  <c r="DN14" i="1" s="1"/>
  <c r="BO26" i="1"/>
  <c r="DM26" i="1" s="1"/>
  <c r="BX13" i="1"/>
  <c r="DR13" i="1" s="1"/>
  <c r="CO5" i="1"/>
  <c r="DI5" i="1" s="1"/>
  <c r="CC28" i="1"/>
  <c r="CH24" i="1"/>
  <c r="BV26" i="1"/>
  <c r="DL26" i="1" s="1"/>
  <c r="BY24" i="1"/>
  <c r="DN24" i="1" s="1"/>
  <c r="BX24" i="1"/>
  <c r="DR24" i="1" s="1"/>
  <c r="CC14" i="1"/>
  <c r="BS26" i="1"/>
  <c r="CD3" i="1"/>
  <c r="BO5" i="1"/>
  <c r="DM5" i="1" s="1"/>
  <c r="CM16" i="1"/>
  <c r="CH17" i="1"/>
  <c r="CM5" i="1"/>
  <c r="CM14" i="1"/>
  <c r="CF26" i="1"/>
  <c r="BZ13" i="1"/>
  <c r="DP13" i="1" s="1"/>
  <c r="CP2" i="1"/>
  <c r="DQ2" i="1" s="1"/>
  <c r="CH23" i="1"/>
  <c r="BU14" i="1"/>
  <c r="DH14" i="1" s="1"/>
  <c r="CE23" i="1"/>
  <c r="BV18" i="1"/>
  <c r="DL18" i="1" s="1"/>
  <c r="BU24" i="1"/>
  <c r="DH24" i="1" s="1"/>
  <c r="BS27" i="1"/>
  <c r="BV19" i="1"/>
  <c r="DL19" i="1" s="1"/>
  <c r="CI15" i="1"/>
  <c r="DO15" i="1" s="1"/>
  <c r="CD23" i="1"/>
  <c r="BY7" i="1"/>
  <c r="DN7" i="1" s="1"/>
  <c r="BU22" i="1"/>
  <c r="DH22" i="1" s="1"/>
  <c r="CJ24" i="1"/>
  <c r="BT21" i="1"/>
  <c r="BR27" i="1"/>
  <c r="CH18" i="1"/>
  <c r="BW26" i="1"/>
  <c r="DJ26" i="1" s="1"/>
  <c r="BR17" i="1"/>
  <c r="BQ22" i="1"/>
  <c r="BP26" i="1"/>
  <c r="CK17" i="1"/>
  <c r="CC24" i="1"/>
  <c r="BX26" i="1"/>
  <c r="DR26" i="1" s="1"/>
  <c r="CN14" i="1"/>
  <c r="DG14" i="1" s="1"/>
  <c r="CC21" i="1"/>
  <c r="CC12" i="1"/>
  <c r="CL27" i="1"/>
  <c r="CJ23" i="1"/>
  <c r="BV16" i="1"/>
  <c r="DL16" i="1" s="1"/>
  <c r="BP25" i="1"/>
  <c r="BX21" i="1"/>
  <c r="DR21" i="1" s="1"/>
  <c r="CD19" i="1"/>
  <c r="CG19" i="1"/>
  <c r="CO8" i="1"/>
  <c r="DI8" i="1" s="1"/>
  <c r="BQ17" i="1"/>
  <c r="CC19" i="1"/>
  <c r="CN15" i="1"/>
  <c r="DG15" i="1" s="1"/>
  <c r="CI27" i="1"/>
  <c r="DO27" i="1" s="1"/>
  <c r="CI28" i="1"/>
  <c r="DO28" i="1" s="1"/>
  <c r="BV24" i="1"/>
  <c r="DL24" i="1" s="1"/>
  <c r="CM26" i="1"/>
  <c r="CH19" i="1"/>
  <c r="CK20" i="1"/>
  <c r="CK24" i="1"/>
  <c r="BR6" i="1"/>
  <c r="BT5" i="1"/>
  <c r="DS5" i="1" s="1"/>
  <c r="CA27" i="1"/>
  <c r="DK27" i="1" s="1"/>
  <c r="CA28" i="1"/>
  <c r="DK28" i="1" s="1"/>
  <c r="BW22" i="1"/>
  <c r="DJ22" i="1" s="1"/>
  <c r="CH15" i="1"/>
  <c r="CH16" i="1"/>
  <c r="CH11" i="1"/>
  <c r="CH8" i="1"/>
  <c r="CH9" i="1"/>
  <c r="CH12" i="1"/>
  <c r="CH10" i="1"/>
  <c r="CH3" i="1"/>
  <c r="ET32" i="1"/>
  <c r="DB32" i="1"/>
  <c r="CA5" i="1"/>
  <c r="EO32" i="1"/>
  <c r="DG32" i="1"/>
  <c r="CW32" i="1"/>
  <c r="CP7" i="1"/>
  <c r="DQ7" i="1" s="1"/>
  <c r="CP6" i="1"/>
  <c r="DQ6" i="1" s="1"/>
  <c r="CP5" i="1"/>
  <c r="DQ5" i="1" s="1"/>
  <c r="CN13" i="1"/>
  <c r="CP3" i="1"/>
  <c r="DQ3" i="1" s="1"/>
  <c r="CE20" i="1"/>
  <c r="CE16" i="1"/>
  <c r="CE14" i="1"/>
  <c r="CE13" i="1"/>
  <c r="CE12" i="1"/>
  <c r="DC32" i="1"/>
  <c r="EU32" i="1"/>
  <c r="CD15" i="1"/>
  <c r="CB19" i="1"/>
  <c r="CB18" i="1"/>
  <c r="CB15" i="1"/>
  <c r="CA2" i="1"/>
  <c r="EU34" i="1"/>
  <c r="DC34" i="1"/>
  <c r="EU33" i="1"/>
  <c r="DC33" i="1"/>
  <c r="CA6" i="1"/>
  <c r="CB20" i="1"/>
  <c r="CA3" i="1"/>
  <c r="DC35" i="1"/>
  <c r="EU35" i="1"/>
  <c r="CA13" i="1"/>
  <c r="CA8" i="1"/>
  <c r="CA7" i="1"/>
  <c r="CA11" i="1"/>
  <c r="CA12" i="1"/>
  <c r="CA9" i="1"/>
  <c r="CA4" i="1"/>
  <c r="BQ5" i="1"/>
  <c r="CH14" i="1"/>
  <c r="ES30" i="1"/>
  <c r="CE7" i="1"/>
  <c r="ET30" i="1"/>
  <c r="BQ4" i="1"/>
  <c r="BR4" i="1"/>
  <c r="CM23" i="1"/>
  <c r="CJ19" i="1"/>
  <c r="CJ13" i="1"/>
  <c r="CJ10" i="1"/>
  <c r="CJ12" i="1"/>
  <c r="CJ18" i="1"/>
  <c r="CJ9" i="1"/>
  <c r="CJ14" i="1"/>
  <c r="CJ15" i="1"/>
  <c r="CJ17" i="1"/>
  <c r="CJ16" i="1"/>
  <c r="CJ3" i="1"/>
  <c r="CB6" i="1"/>
  <c r="BO20" i="1"/>
  <c r="BO19" i="1"/>
  <c r="CE28" i="1"/>
  <c r="CE26" i="1"/>
  <c r="CE24" i="1"/>
  <c r="CE22" i="1"/>
  <c r="CE21" i="1"/>
  <c r="CE27" i="1"/>
  <c r="BP3" i="1"/>
  <c r="BP2" i="1"/>
  <c r="BP18" i="1"/>
  <c r="BP15" i="1"/>
  <c r="CI25" i="1"/>
  <c r="DO25" i="1" s="1"/>
  <c r="CI21" i="1"/>
  <c r="DO21" i="1" s="1"/>
  <c r="CI24" i="1"/>
  <c r="DO24" i="1" s="1"/>
  <c r="CI22" i="1"/>
  <c r="DO22" i="1" s="1"/>
  <c r="CI17" i="1"/>
  <c r="DO17" i="1" s="1"/>
  <c r="CI20" i="1"/>
  <c r="DO20" i="1" s="1"/>
  <c r="CI18" i="1"/>
  <c r="DO18" i="1" s="1"/>
  <c r="CI23" i="1"/>
  <c r="DO23" i="1" s="1"/>
  <c r="BQ27" i="1"/>
  <c r="BQ26" i="1"/>
  <c r="DA31" i="1"/>
  <c r="ES31" i="1"/>
  <c r="DM31" i="1"/>
  <c r="CK2" i="1"/>
  <c r="CG2" i="1"/>
  <c r="CE19" i="1"/>
  <c r="CX30" i="1"/>
  <c r="BS17" i="1"/>
  <c r="BS25" i="1"/>
  <c r="BZ18" i="1"/>
  <c r="DP18" i="1" s="1"/>
  <c r="CZ30" i="1"/>
  <c r="ER30" i="1"/>
  <c r="CB12" i="1"/>
  <c r="ER36" i="1"/>
  <c r="CZ36" i="1"/>
  <c r="DK36" i="1"/>
  <c r="EO36" i="1"/>
  <c r="CN12" i="1"/>
  <c r="CN11" i="1"/>
  <c r="CN10" i="1"/>
  <c r="CN3" i="1"/>
  <c r="CX35" i="1"/>
  <c r="EP35" i="1"/>
  <c r="DR36" i="1"/>
  <c r="DC36" i="1"/>
  <c r="EU36" i="1"/>
  <c r="EN36" i="1"/>
  <c r="BQ12" i="1"/>
  <c r="CK19" i="1"/>
  <c r="CK11" i="1"/>
  <c r="CK16" i="1"/>
  <c r="CK10" i="1"/>
  <c r="CK15" i="1"/>
  <c r="CK13" i="1"/>
  <c r="CK5" i="1"/>
  <c r="CK4" i="1"/>
  <c r="CJ11" i="1"/>
  <c r="ET33" i="1"/>
  <c r="DB33" i="1"/>
  <c r="ES36" i="1"/>
  <c r="DA36" i="1"/>
  <c r="DM36" i="1"/>
  <c r="CN25" i="1"/>
  <c r="CN24" i="1"/>
  <c r="CK9" i="1"/>
  <c r="BW6" i="1"/>
  <c r="DJ6" i="1" s="1"/>
  <c r="CF3" i="1"/>
  <c r="CF6" i="1"/>
  <c r="CA26" i="1"/>
  <c r="CA24" i="1"/>
  <c r="CA22" i="1"/>
  <c r="CF23" i="1"/>
  <c r="CF22" i="1"/>
  <c r="CI11" i="1"/>
  <c r="DO11" i="1" s="1"/>
  <c r="CI9" i="1"/>
  <c r="DO9" i="1" s="1"/>
  <c r="CI10" i="1"/>
  <c r="DO10" i="1" s="1"/>
  <c r="BX5" i="1"/>
  <c r="DR5" i="1" s="1"/>
  <c r="BO25" i="1"/>
  <c r="BO22" i="1"/>
  <c r="BO23" i="1"/>
  <c r="BO21" i="1"/>
  <c r="BO24" i="1"/>
  <c r="CA25" i="1"/>
  <c r="BQ21" i="1"/>
  <c r="BQ20" i="1"/>
  <c r="BQ19" i="1"/>
  <c r="BP4" i="1"/>
  <c r="BO13" i="1"/>
  <c r="BO12" i="1"/>
  <c r="BO10" i="1"/>
  <c r="BO11" i="1"/>
  <c r="BO9" i="1"/>
  <c r="CF11" i="1"/>
  <c r="BZ15" i="1"/>
  <c r="DP15" i="1" s="1"/>
  <c r="BS18" i="1"/>
  <c r="BS24" i="1"/>
  <c r="BS20" i="1"/>
  <c r="BS21" i="1"/>
  <c r="BQ9" i="1"/>
  <c r="DJ34" i="1"/>
  <c r="EN34" i="1"/>
  <c r="EQ34" i="1"/>
  <c r="CV34" i="1"/>
  <c r="BZ26" i="1"/>
  <c r="DP26" i="1" s="1"/>
  <c r="BZ25" i="1"/>
  <c r="DP25" i="1" s="1"/>
  <c r="BP13" i="1"/>
  <c r="BP11" i="1"/>
  <c r="EO31" i="1"/>
  <c r="CW31" i="1"/>
  <c r="DG31" i="1"/>
  <c r="CG14" i="1"/>
  <c r="CG12" i="1"/>
  <c r="CG13" i="1"/>
  <c r="CJ2" i="1"/>
  <c r="ES34" i="1"/>
  <c r="BW18" i="1"/>
  <c r="DJ18" i="1" s="1"/>
  <c r="BW17" i="1"/>
  <c r="DJ17" i="1" s="1"/>
  <c r="BW16" i="1"/>
  <c r="DJ16" i="1" s="1"/>
  <c r="BW12" i="1"/>
  <c r="DJ12" i="1" s="1"/>
  <c r="BW11" i="1"/>
  <c r="DJ11" i="1" s="1"/>
  <c r="BW15" i="1"/>
  <c r="DJ15" i="1" s="1"/>
  <c r="BX6" i="1"/>
  <c r="DR6" i="1" s="1"/>
  <c r="CH13" i="1"/>
  <c r="ER33" i="1"/>
  <c r="DK33" i="1"/>
  <c r="CZ33" i="1"/>
  <c r="CA14" i="1"/>
  <c r="CD10" i="1"/>
  <c r="CD9" i="1"/>
  <c r="CD6" i="1"/>
  <c r="CD8" i="1"/>
  <c r="CD4" i="1"/>
  <c r="CD7" i="1"/>
  <c r="CD2" i="1"/>
  <c r="CB23" i="1"/>
  <c r="CB22" i="1"/>
  <c r="BP8" i="1"/>
  <c r="BP6" i="1"/>
  <c r="BP5" i="1"/>
  <c r="CP24" i="1"/>
  <c r="DQ24" i="1" s="1"/>
  <c r="CP23" i="1"/>
  <c r="DQ23" i="1" s="1"/>
  <c r="CO7" i="1"/>
  <c r="DI7" i="1" s="1"/>
  <c r="CO6" i="1"/>
  <c r="DI6" i="1" s="1"/>
  <c r="CO2" i="1"/>
  <c r="DI2" i="1" s="1"/>
  <c r="CO3" i="1"/>
  <c r="DI3" i="1" s="1"/>
  <c r="BW9" i="1"/>
  <c r="DJ9" i="1" s="1"/>
  <c r="CD11" i="1"/>
  <c r="CE17" i="1"/>
  <c r="DA30" i="1"/>
  <c r="BX10" i="1"/>
  <c r="DR10" i="1" s="1"/>
  <c r="BO7" i="1"/>
  <c r="BO4" i="1"/>
  <c r="BO6" i="1"/>
  <c r="CM4" i="1"/>
  <c r="CM8" i="1"/>
  <c r="CM3" i="1"/>
  <c r="CM7" i="1"/>
  <c r="CI5" i="1"/>
  <c r="DO5" i="1" s="1"/>
  <c r="CI6" i="1"/>
  <c r="DO6" i="1" s="1"/>
  <c r="CI7" i="1"/>
  <c r="DO7" i="1" s="1"/>
  <c r="CI4" i="1"/>
  <c r="DO4" i="1" s="1"/>
  <c r="CI2" i="1"/>
  <c r="DO2" i="1" s="1"/>
  <c r="CE25" i="1"/>
  <c r="BW4" i="1"/>
  <c r="DJ4" i="1" s="1"/>
  <c r="BZ9" i="1"/>
  <c r="DP9" i="1" s="1"/>
  <c r="CL17" i="1"/>
  <c r="CL12" i="1"/>
  <c r="CL5" i="1"/>
  <c r="CL9" i="1"/>
  <c r="CL11" i="1"/>
  <c r="CL4" i="1"/>
  <c r="CL2" i="1"/>
  <c r="CL13" i="1"/>
  <c r="CL16" i="1"/>
  <c r="BT16" i="1"/>
  <c r="BT13" i="1"/>
  <c r="BV8" i="1"/>
  <c r="DL8" i="1" s="1"/>
  <c r="BV4" i="1"/>
  <c r="DL4" i="1" s="1"/>
  <c r="BV6" i="1"/>
  <c r="DL6" i="1" s="1"/>
  <c r="BV5" i="1"/>
  <c r="DL5" i="1" s="1"/>
  <c r="BZ16" i="1"/>
  <c r="DP16" i="1" s="1"/>
  <c r="CI8" i="1"/>
  <c r="DO8" i="1" s="1"/>
  <c r="BQ16" i="1"/>
  <c r="BQ15" i="1"/>
  <c r="BQ14" i="1"/>
  <c r="BQ10" i="1"/>
  <c r="BQ11" i="1"/>
  <c r="BZ7" i="1"/>
  <c r="DP7" i="1" s="1"/>
  <c r="ES29" i="1"/>
  <c r="DA29" i="1"/>
  <c r="CY30" i="1"/>
  <c r="EQ30" i="1"/>
  <c r="BW14" i="1"/>
  <c r="DJ14" i="1" s="1"/>
  <c r="CF4" i="1"/>
  <c r="DS30" i="1"/>
  <c r="DT30" i="1"/>
  <c r="EN30" i="1"/>
  <c r="CV30" i="1"/>
  <c r="CM15" i="1"/>
  <c r="CM13" i="1"/>
  <c r="BR16" i="1"/>
  <c r="BR15" i="1"/>
  <c r="BR14" i="1"/>
  <c r="BR13" i="1"/>
  <c r="BR11" i="1"/>
  <c r="CB27" i="1"/>
  <c r="CB26" i="1"/>
  <c r="CM9" i="1"/>
  <c r="CE11" i="1"/>
  <c r="BP9" i="1"/>
  <c r="CF13" i="1"/>
  <c r="BS6" i="1"/>
  <c r="BS3" i="1"/>
  <c r="BS8" i="1"/>
  <c r="CN23" i="1"/>
  <c r="BS16" i="1"/>
  <c r="BZ5" i="1"/>
  <c r="DP5" i="1" s="1"/>
  <c r="BZ2" i="1"/>
  <c r="DP2" i="1" s="1"/>
  <c r="BZ3" i="1"/>
  <c r="DP3" i="1" s="1"/>
  <c r="BZ8" i="1"/>
  <c r="DP8" i="1" s="1"/>
  <c r="BZ4" i="1"/>
  <c r="DP4" i="1" s="1"/>
  <c r="BZ6" i="1"/>
  <c r="DP6" i="1" s="1"/>
  <c r="CO14" i="1"/>
  <c r="DI14" i="1" s="1"/>
  <c r="BP12" i="1"/>
  <c r="CB7" i="1"/>
  <c r="CB10" i="1"/>
  <c r="CB3" i="1"/>
  <c r="CB8" i="1"/>
  <c r="BS14" i="1"/>
  <c r="BV2" i="1"/>
  <c r="DL2" i="1" s="1"/>
  <c r="BV3" i="1"/>
  <c r="DL3" i="1" s="1"/>
  <c r="DJ32" i="1"/>
  <c r="CV32" i="1"/>
  <c r="EN32" i="1"/>
  <c r="BS12" i="1"/>
  <c r="BS11" i="1"/>
  <c r="BZ24" i="1"/>
  <c r="DP24" i="1" s="1"/>
  <c r="BZ22" i="1"/>
  <c r="DP22" i="1" s="1"/>
  <c r="CF10" i="1"/>
  <c r="CF7" i="1"/>
  <c r="CF8" i="1"/>
  <c r="CF2" i="1"/>
  <c r="DG30" i="1"/>
  <c r="CW30" i="1"/>
  <c r="EO30" i="1"/>
  <c r="BW13" i="1"/>
  <c r="DJ13" i="1" s="1"/>
  <c r="BZ23" i="1"/>
  <c r="DP23" i="1" s="1"/>
  <c r="BX19" i="1"/>
  <c r="DR19" i="1" s="1"/>
  <c r="BX12" i="1"/>
  <c r="DR12" i="1" s="1"/>
  <c r="BX17" i="1"/>
  <c r="DR17" i="1" s="1"/>
  <c r="BX18" i="1"/>
  <c r="DR18" i="1" s="1"/>
  <c r="BX16" i="1"/>
  <c r="DR16" i="1" s="1"/>
  <c r="BX14" i="1"/>
  <c r="DR14" i="1" s="1"/>
  <c r="BX15" i="1"/>
  <c r="DR15" i="1" s="1"/>
  <c r="CE10" i="1"/>
  <c r="CE9" i="1"/>
  <c r="CE2" i="1"/>
  <c r="CE8" i="1"/>
  <c r="CC13" i="1"/>
  <c r="CC6" i="1"/>
  <c r="BS22" i="1"/>
  <c r="BP10" i="1"/>
  <c r="BR10" i="1"/>
  <c r="CK14" i="1"/>
  <c r="BO18" i="1"/>
  <c r="BS7" i="1"/>
  <c r="CM6" i="1"/>
  <c r="BZ21" i="1"/>
  <c r="DP21" i="1" s="1"/>
  <c r="BZ20" i="1"/>
  <c r="DP20" i="1" s="1"/>
  <c r="CM21" i="1"/>
  <c r="BX4" i="1"/>
  <c r="DR4" i="1" s="1"/>
  <c r="BX3" i="1"/>
  <c r="DR3" i="1" s="1"/>
  <c r="BX2" i="1"/>
  <c r="DR2" i="1" s="1"/>
  <c r="BZ11" i="1"/>
  <c r="DP11" i="1" s="1"/>
  <c r="BT8" i="1"/>
  <c r="CL10" i="1"/>
  <c r="BX11" i="1"/>
  <c r="DR11" i="1" s="1"/>
  <c r="CN22" i="1"/>
  <c r="DG34" i="1"/>
  <c r="CW34" i="1"/>
  <c r="EO34" i="1"/>
  <c r="BS15" i="1"/>
  <c r="CO12" i="1"/>
  <c r="DI12" i="1" s="1"/>
  <c r="CO11" i="1"/>
  <c r="DI11" i="1" s="1"/>
  <c r="CO10" i="1"/>
  <c r="DI10" i="1" s="1"/>
  <c r="BT4" i="1"/>
  <c r="BT3" i="1"/>
  <c r="BQ3" i="1"/>
  <c r="ET31" i="1"/>
  <c r="DB31" i="1"/>
  <c r="BO14" i="1"/>
  <c r="CD18" i="1"/>
  <c r="CK23" i="1"/>
  <c r="CB9" i="1"/>
  <c r="BP19" i="1"/>
  <c r="BT22" i="1"/>
  <c r="BT19" i="1"/>
  <c r="EN35" i="1"/>
  <c r="CV35" i="1"/>
  <c r="DT35" i="1"/>
  <c r="DS35" i="1"/>
  <c r="DT28" i="1"/>
  <c r="DS28" i="1"/>
  <c r="CV28" i="1"/>
  <c r="EN28" i="1"/>
  <c r="CP22" i="1"/>
  <c r="DQ22" i="1" s="1"/>
  <c r="CM12" i="1"/>
  <c r="CM11" i="1"/>
  <c r="CM10" i="1"/>
  <c r="CL3" i="1"/>
  <c r="DM33" i="1"/>
  <c r="ES33" i="1"/>
  <c r="DA33" i="1"/>
  <c r="BP16" i="1"/>
  <c r="CC11" i="1"/>
  <c r="DC29" i="1"/>
  <c r="CE5" i="1"/>
  <c r="CC17" i="1"/>
  <c r="CC10" i="1"/>
  <c r="CE3" i="1"/>
  <c r="CD21" i="1"/>
  <c r="CM17" i="1"/>
  <c r="BZ19" i="1"/>
  <c r="DP19" i="1" s="1"/>
  <c r="EQ33" i="1"/>
  <c r="CY33" i="1"/>
  <c r="BU17" i="1"/>
  <c r="DH17" i="1" s="1"/>
  <c r="BV22" i="1"/>
  <c r="DL22" i="1" s="1"/>
  <c r="CM2" i="1"/>
  <c r="CX34" i="1"/>
  <c r="BR3" i="1"/>
  <c r="BR2" i="1"/>
  <c r="CF27" i="1"/>
  <c r="DA32" i="1"/>
  <c r="ES32" i="1"/>
  <c r="DM32" i="1"/>
  <c r="CY32" i="1"/>
  <c r="EQ32" i="1"/>
  <c r="CD28" i="1"/>
  <c r="CD26" i="1"/>
  <c r="CK7" i="1"/>
  <c r="CK8" i="1"/>
  <c r="BT14" i="1"/>
  <c r="BT15" i="1"/>
  <c r="CL18" i="1"/>
  <c r="CG9" i="1"/>
  <c r="BP17" i="1"/>
  <c r="CB4" i="1"/>
  <c r="BU4" i="1"/>
  <c r="DH4" i="1" s="1"/>
  <c r="BU3" i="1"/>
  <c r="DH3" i="1" s="1"/>
  <c r="BU2" i="1"/>
  <c r="DH2" i="1" s="1"/>
  <c r="BP24" i="1"/>
  <c r="CC4" i="1"/>
  <c r="BU15" i="1"/>
  <c r="DH15" i="1" s="1"/>
  <c r="CN7" i="1"/>
  <c r="CC7" i="1"/>
  <c r="CC9" i="1"/>
  <c r="CC5" i="1"/>
  <c r="BP23" i="1"/>
  <c r="CF16" i="1"/>
  <c r="CF25" i="1"/>
  <c r="CJ5" i="1"/>
  <c r="CJ6" i="1"/>
  <c r="CJ7" i="1"/>
  <c r="CO21" i="1"/>
  <c r="DI21" i="1" s="1"/>
  <c r="CP9" i="1"/>
  <c r="DQ9" i="1" s="1"/>
  <c r="CP13" i="1"/>
  <c r="DQ13" i="1" s="1"/>
  <c r="CP10" i="1"/>
  <c r="DQ10" i="1" s="1"/>
  <c r="BQ2" i="1"/>
  <c r="EQ29" i="1"/>
  <c r="CY29" i="1"/>
  <c r="CF18" i="1"/>
  <c r="BV21" i="1"/>
  <c r="DL21" i="1" s="1"/>
  <c r="CO25" i="1"/>
  <c r="DI25" i="1" s="1"/>
  <c r="BQ23" i="1"/>
  <c r="CN6" i="1"/>
  <c r="CO24" i="1"/>
  <c r="DI24" i="1" s="1"/>
  <c r="CZ35" i="1"/>
  <c r="ER35" i="1"/>
  <c r="DY35" i="1" s="1"/>
  <c r="DK35" i="1"/>
  <c r="BP21" i="1"/>
  <c r="CL21" i="1"/>
  <c r="CP14" i="1"/>
  <c r="DQ14" i="1" s="1"/>
  <c r="BP22" i="1"/>
  <c r="CB16" i="1"/>
  <c r="CP18" i="1"/>
  <c r="DQ18" i="1" s="1"/>
  <c r="DB36" i="1"/>
  <c r="ET36" i="1"/>
  <c r="EN31" i="1"/>
  <c r="BQ24" i="1"/>
  <c r="CN21" i="1"/>
  <c r="BT17" i="1"/>
  <c r="BY19" i="1"/>
  <c r="DN19" i="1" s="1"/>
  <c r="BY18" i="1"/>
  <c r="DN18" i="1" s="1"/>
  <c r="CZ29" i="1"/>
  <c r="DK29" i="1"/>
  <c r="ER29" i="1"/>
  <c r="CP20" i="1"/>
  <c r="DQ20" i="1" s="1"/>
  <c r="CA17" i="1"/>
  <c r="BV14" i="1"/>
  <c r="DL14" i="1" s="1"/>
  <c r="CG17" i="1"/>
  <c r="CF12" i="1"/>
  <c r="CC18" i="1"/>
  <c r="BU12" i="1"/>
  <c r="DH12" i="1" s="1"/>
  <c r="CJ21" i="1"/>
  <c r="CJ22" i="1"/>
  <c r="BU8" i="1"/>
  <c r="DH8" i="1" s="1"/>
  <c r="CB17" i="1"/>
  <c r="CB2" i="1"/>
  <c r="CP19" i="1"/>
  <c r="DQ19" i="1" s="1"/>
  <c r="CP21" i="1"/>
  <c r="DQ21" i="1" s="1"/>
  <c r="BT18" i="1"/>
  <c r="BV7" i="1"/>
  <c r="DL7" i="1" s="1"/>
  <c r="BU20" i="1"/>
  <c r="DH20" i="1" s="1"/>
  <c r="BV13" i="1"/>
  <c r="DL13" i="1" s="1"/>
  <c r="CG8" i="1"/>
  <c r="EP34" i="1"/>
  <c r="CO22" i="1"/>
  <c r="DI22" i="1" s="1"/>
  <c r="CO20" i="1"/>
  <c r="DI20" i="1" s="1"/>
  <c r="CF28" i="1"/>
  <c r="EU28" i="1" s="1"/>
  <c r="CF24" i="1"/>
  <c r="CB14" i="1"/>
  <c r="BO8" i="1"/>
  <c r="CO18" i="1"/>
  <c r="DI18" i="1" s="1"/>
  <c r="DI35" i="1"/>
  <c r="CW35" i="1"/>
  <c r="DC30" i="1"/>
  <c r="EU30" i="1"/>
  <c r="BQ8" i="1"/>
  <c r="CP11" i="1"/>
  <c r="DQ11" i="1" s="1"/>
  <c r="CD14" i="1"/>
  <c r="CN17" i="1"/>
  <c r="CF17" i="1"/>
  <c r="CB5" i="1"/>
  <c r="CD12" i="1"/>
  <c r="DY37" i="1"/>
  <c r="BT2" i="1"/>
  <c r="CN8" i="1"/>
  <c r="CN9" i="1"/>
  <c r="CH6" i="1"/>
  <c r="CH4" i="1"/>
  <c r="CH5" i="1"/>
  <c r="CH7" i="1"/>
  <c r="CL24" i="1"/>
  <c r="BU10" i="1"/>
  <c r="DH10" i="1" s="1"/>
  <c r="BU16" i="1"/>
  <c r="DH16" i="1" s="1"/>
  <c r="BT7" i="1"/>
  <c r="CW33" i="1"/>
  <c r="EO33" i="1"/>
  <c r="DG33" i="1"/>
  <c r="BO27" i="1"/>
  <c r="ET34" i="1"/>
  <c r="DB34" i="1"/>
  <c r="CM22" i="1"/>
  <c r="BO3" i="1"/>
  <c r="BS13" i="1"/>
  <c r="CL7" i="1"/>
  <c r="CL8" i="1"/>
  <c r="CN18" i="1"/>
  <c r="CO4" i="1"/>
  <c r="DI4" i="1" s="1"/>
  <c r="CP15" i="1"/>
  <c r="DQ15" i="1" s="1"/>
  <c r="BV20" i="1"/>
  <c r="DL20" i="1" s="1"/>
  <c r="BU25" i="1"/>
  <c r="DH25" i="1" s="1"/>
  <c r="EP29" i="1"/>
  <c r="CX29" i="1"/>
  <c r="BO16" i="1"/>
  <c r="CC8" i="1"/>
  <c r="BW8" i="1"/>
  <c r="DJ8" i="1" s="1"/>
  <c r="CD13" i="1"/>
  <c r="BT20" i="1"/>
  <c r="CA10" i="1"/>
  <c r="BT6" i="1"/>
  <c r="BZ12" i="1"/>
  <c r="DP12" i="1" s="1"/>
  <c r="CL19" i="1"/>
  <c r="CI16" i="1"/>
  <c r="DO16" i="1" s="1"/>
  <c r="BP14" i="1"/>
  <c r="CM25" i="1"/>
  <c r="BX9" i="1"/>
  <c r="DR9" i="1" s="1"/>
  <c r="BX8" i="1"/>
  <c r="DR8" i="1" s="1"/>
  <c r="BX7" i="1"/>
  <c r="DR7" i="1" s="1"/>
  <c r="CM20" i="1"/>
  <c r="CM18" i="1"/>
  <c r="BT24" i="1"/>
  <c r="BT23" i="1"/>
  <c r="CA18" i="1"/>
  <c r="BW3" i="1"/>
  <c r="DJ3" i="1" s="1"/>
  <c r="BW2" i="1"/>
  <c r="DJ2" i="1" s="1"/>
  <c r="CO9" i="1"/>
  <c r="DI9" i="1" s="1"/>
  <c r="CD5" i="1"/>
  <c r="EQ31" i="1"/>
  <c r="CY31" i="1"/>
  <c r="CF15" i="1"/>
  <c r="CF20" i="1"/>
  <c r="CL23" i="1"/>
  <c r="BU9" i="1"/>
  <c r="DH9" i="1" s="1"/>
  <c r="BV10" i="1"/>
  <c r="DL10" i="1" s="1"/>
  <c r="BV11" i="1"/>
  <c r="DL11" i="1" s="1"/>
  <c r="CI13" i="1"/>
  <c r="DO13" i="1" s="1"/>
  <c r="EN33" i="1"/>
  <c r="CV33" i="1"/>
  <c r="DT33" i="1"/>
  <c r="DS33" i="1"/>
  <c r="CX33" i="1"/>
  <c r="BZ17" i="1"/>
  <c r="DP17" i="1" s="1"/>
  <c r="DA28" i="1"/>
  <c r="DM28" i="1"/>
  <c r="ES28" i="1"/>
  <c r="CG6" i="1"/>
  <c r="CG7" i="1"/>
  <c r="CG4" i="1"/>
  <c r="BW10" i="1"/>
  <c r="DJ10" i="1" s="1"/>
  <c r="BP7" i="1"/>
  <c r="BR8" i="1"/>
  <c r="BR24" i="1"/>
  <c r="BR18" i="1"/>
  <c r="DB35" i="1"/>
  <c r="ET35" i="1"/>
  <c r="EP30" i="1"/>
  <c r="BY8" i="1"/>
  <c r="DN8" i="1" s="1"/>
  <c r="BY5" i="1"/>
  <c r="DN5" i="1" s="1"/>
  <c r="BY3" i="1"/>
  <c r="DN3" i="1" s="1"/>
  <c r="BY2" i="1"/>
  <c r="DN2" i="1" s="1"/>
  <c r="CN16" i="1"/>
  <c r="EP31" i="1"/>
  <c r="CX31" i="1"/>
  <c r="BO17" i="1"/>
  <c r="CF5" i="1"/>
  <c r="BW7" i="1"/>
  <c r="DJ7" i="1" s="1"/>
  <c r="CN4" i="1"/>
  <c r="CO23" i="1"/>
  <c r="DI23" i="1" s="1"/>
  <c r="CG5" i="1"/>
  <c r="CA19" i="1"/>
  <c r="DK34" i="1"/>
  <c r="CZ34" i="1"/>
  <c r="ER34" i="1"/>
  <c r="BT9" i="1"/>
  <c r="CO19" i="1"/>
  <c r="DI19" i="1" s="1"/>
  <c r="CG11" i="1"/>
  <c r="CG10" i="1"/>
  <c r="CB11" i="1"/>
  <c r="CO15" i="1"/>
  <c r="DI15" i="1" s="1"/>
  <c r="EP32" i="1"/>
  <c r="CX32" i="1"/>
  <c r="BT12" i="1"/>
  <c r="BT11" i="1"/>
  <c r="CM19" i="1"/>
  <c r="BS9" i="1"/>
  <c r="CM24" i="1"/>
  <c r="BQ7" i="1"/>
  <c r="BT25" i="1"/>
  <c r="DB29" i="1"/>
  <c r="ET29" i="1"/>
  <c r="CN2" i="1"/>
  <c r="DG2" i="1" s="1"/>
  <c r="CJ8" i="1"/>
  <c r="CP4" i="1"/>
  <c r="DQ4" i="1" s="1"/>
  <c r="CB13" i="1"/>
  <c r="BV9" i="1"/>
  <c r="DL9" i="1" s="1"/>
  <c r="CK6" i="1"/>
  <c r="ES35" i="1"/>
  <c r="DA35" i="1"/>
  <c r="DM35" i="1"/>
  <c r="BQ6" i="1"/>
  <c r="CJ4" i="1"/>
  <c r="BU23" i="1"/>
  <c r="DH23" i="1" s="1"/>
  <c r="BY9" i="1"/>
  <c r="DN9" i="1" s="1"/>
  <c r="CP8" i="1"/>
  <c r="DQ8" i="1" s="1"/>
  <c r="CI14" i="1"/>
  <c r="DO14" i="1" s="1"/>
  <c r="BU5" i="1"/>
  <c r="DH5" i="1" s="1"/>
  <c r="DC31" i="1"/>
  <c r="BO15" i="1"/>
  <c r="BY4" i="1"/>
  <c r="DN4" i="1" s="1"/>
  <c r="CH2" i="1"/>
  <c r="CA16" i="1"/>
  <c r="CN5" i="1"/>
  <c r="CK3" i="1"/>
  <c r="CE4" i="1"/>
  <c r="BW5" i="1"/>
  <c r="DJ5" i="1" s="1"/>
  <c r="CC2" i="1"/>
  <c r="CZ2" i="2" l="1"/>
  <c r="DH2" i="2"/>
  <c r="CV2" i="2"/>
  <c r="CW2" i="2"/>
  <c r="CY2" i="2"/>
  <c r="DJ2" i="2"/>
  <c r="DI2" i="2"/>
  <c r="DS26" i="2"/>
  <c r="DI9" i="3"/>
  <c r="DQ11" i="3"/>
  <c r="DI22" i="3"/>
  <c r="DI2" i="3"/>
  <c r="DQ16" i="3"/>
  <c r="DI13" i="3"/>
  <c r="DQ9" i="3"/>
  <c r="DI6" i="3"/>
  <c r="DI24" i="3"/>
  <c r="DI17" i="3"/>
  <c r="DI20" i="3"/>
  <c r="DQ21" i="3"/>
  <c r="DQ20" i="3"/>
  <c r="DG22" i="3"/>
  <c r="DQ19" i="3"/>
  <c r="DQ25" i="3"/>
  <c r="DQ24" i="3"/>
  <c r="DQ5" i="3"/>
  <c r="DI8" i="3"/>
  <c r="DG9" i="3"/>
  <c r="DQ6" i="3"/>
  <c r="DQ22" i="3"/>
  <c r="DQ13" i="3"/>
  <c r="DG7" i="3"/>
  <c r="DI27" i="3"/>
  <c r="DQ4" i="3"/>
  <c r="DQ17" i="3"/>
  <c r="DI12" i="3"/>
  <c r="DI10" i="3"/>
  <c r="DQ14" i="3"/>
  <c r="DI16" i="3"/>
  <c r="DI25" i="3"/>
  <c r="DI19" i="3"/>
  <c r="DI3" i="3"/>
  <c r="DQ2" i="3"/>
  <c r="DI4" i="3"/>
  <c r="DI5" i="3"/>
  <c r="DI11" i="3"/>
  <c r="DI21" i="3"/>
  <c r="DI14" i="3"/>
  <c r="DI15" i="3"/>
  <c r="DI18" i="3"/>
  <c r="DI28" i="3"/>
  <c r="DG19" i="3"/>
  <c r="DG5" i="3"/>
  <c r="DQ18" i="3"/>
  <c r="DQ10" i="3"/>
  <c r="DQ15" i="3"/>
  <c r="DI7" i="3"/>
  <c r="DQ7" i="3"/>
  <c r="DI23" i="3"/>
  <c r="DQ3" i="3"/>
  <c r="DQ12" i="3"/>
  <c r="DI26" i="3"/>
  <c r="DQ8" i="3"/>
  <c r="DQ26" i="3"/>
  <c r="DQ27" i="3"/>
  <c r="EP27" i="3"/>
  <c r="DT26" i="3"/>
  <c r="DT25" i="2"/>
  <c r="DT27" i="3"/>
  <c r="EQ26" i="2"/>
  <c r="DT12" i="2"/>
  <c r="DS6" i="2"/>
  <c r="EO27" i="3"/>
  <c r="EP27" i="2"/>
  <c r="ER24" i="3"/>
  <c r="CV27" i="2"/>
  <c r="CZ27" i="2"/>
  <c r="CY20" i="3"/>
  <c r="ET27" i="3"/>
  <c r="DS12" i="3"/>
  <c r="DA23" i="2"/>
  <c r="CX25" i="2"/>
  <c r="EO28" i="2"/>
  <c r="CZ25" i="3"/>
  <c r="EU27" i="3"/>
  <c r="CX23" i="3"/>
  <c r="DT23" i="3"/>
  <c r="DS23" i="3"/>
  <c r="CW28" i="2"/>
  <c r="DA27" i="2"/>
  <c r="EQ28" i="2"/>
  <c r="DY28" i="2" s="1"/>
  <c r="DT23" i="2"/>
  <c r="CY28" i="2"/>
  <c r="DT20" i="2"/>
  <c r="DS24" i="2"/>
  <c r="DT16" i="3"/>
  <c r="CX25" i="3"/>
  <c r="DT26" i="1"/>
  <c r="DB27" i="3"/>
  <c r="ES25" i="2"/>
  <c r="ES27" i="2"/>
  <c r="CX27" i="2"/>
  <c r="CZ26" i="3"/>
  <c r="CZ23" i="3"/>
  <c r="DT27" i="2"/>
  <c r="DS27" i="2"/>
  <c r="EQ20" i="3"/>
  <c r="EQ26" i="3"/>
  <c r="ER20" i="3"/>
  <c r="ER27" i="2"/>
  <c r="CX27" i="3"/>
  <c r="DA25" i="2"/>
  <c r="CV20" i="2"/>
  <c r="ER27" i="3"/>
  <c r="EN24" i="3"/>
  <c r="CY26" i="3"/>
  <c r="EP25" i="3"/>
  <c r="DM25" i="2"/>
  <c r="CZ20" i="3"/>
  <c r="DK20" i="3"/>
  <c r="ER19" i="3"/>
  <c r="DA26" i="3"/>
  <c r="CX22" i="3"/>
  <c r="CZ19" i="3"/>
  <c r="CY24" i="3"/>
  <c r="CW24" i="3"/>
  <c r="EO28" i="3"/>
  <c r="DG24" i="3"/>
  <c r="DG25" i="3"/>
  <c r="EQ24" i="3"/>
  <c r="EQ28" i="3"/>
  <c r="CW28" i="3"/>
  <c r="EO19" i="3"/>
  <c r="EO25" i="3"/>
  <c r="ER25" i="3"/>
  <c r="ET15" i="3"/>
  <c r="DA24" i="3"/>
  <c r="EP12" i="3"/>
  <c r="CY25" i="3"/>
  <c r="ER6" i="3"/>
  <c r="DB15" i="3"/>
  <c r="EQ25" i="3"/>
  <c r="ER13" i="3"/>
  <c r="CW25" i="3"/>
  <c r="ET23" i="3"/>
  <c r="CZ13" i="3"/>
  <c r="DB25" i="3"/>
  <c r="CW26" i="3"/>
  <c r="EN3" i="3"/>
  <c r="DB23" i="3"/>
  <c r="CY28" i="3"/>
  <c r="EP9" i="3"/>
  <c r="DT27" i="1"/>
  <c r="EP22" i="3"/>
  <c r="ES24" i="3"/>
  <c r="DT3" i="3"/>
  <c r="EP19" i="3"/>
  <c r="EO24" i="3"/>
  <c r="CV26" i="3"/>
  <c r="EQ23" i="3"/>
  <c r="DA23" i="3"/>
  <c r="DS3" i="3"/>
  <c r="CZ4" i="3"/>
  <c r="ET21" i="3"/>
  <c r="CY22" i="3"/>
  <c r="CZ8" i="3"/>
  <c r="DB24" i="3"/>
  <c r="EN26" i="3"/>
  <c r="EP26" i="3"/>
  <c r="EO26" i="3"/>
  <c r="CX26" i="3"/>
  <c r="EP3" i="3"/>
  <c r="EP13" i="3"/>
  <c r="CX18" i="3"/>
  <c r="EQ14" i="3"/>
  <c r="DG26" i="3"/>
  <c r="ER22" i="3"/>
  <c r="ES16" i="3"/>
  <c r="ET14" i="3"/>
  <c r="CY14" i="3"/>
  <c r="CX13" i="3"/>
  <c r="DA16" i="3"/>
  <c r="EU17" i="3"/>
  <c r="CY23" i="3"/>
  <c r="DA21" i="3"/>
  <c r="EP23" i="3"/>
  <c r="CX11" i="3"/>
  <c r="ER17" i="3"/>
  <c r="CW19" i="3"/>
  <c r="ES14" i="3"/>
  <c r="CX19" i="3"/>
  <c r="CX12" i="3"/>
  <c r="CZ6" i="3"/>
  <c r="DC25" i="3"/>
  <c r="CZ24" i="3"/>
  <c r="CX3" i="3"/>
  <c r="EP24" i="3"/>
  <c r="CX24" i="3"/>
  <c r="DB2" i="3"/>
  <c r="CZ2" i="3"/>
  <c r="ES3" i="3"/>
  <c r="DA3" i="3"/>
  <c r="DM3" i="3"/>
  <c r="ER10" i="3"/>
  <c r="CZ10" i="3"/>
  <c r="DC17" i="3"/>
  <c r="CX9" i="3"/>
  <c r="DM2" i="3"/>
  <c r="DA2" i="3"/>
  <c r="ES2" i="3"/>
  <c r="CW14" i="3"/>
  <c r="EO14" i="3"/>
  <c r="DG14" i="3"/>
  <c r="EP2" i="3"/>
  <c r="EU21" i="3"/>
  <c r="DC21" i="3"/>
  <c r="DM4" i="3"/>
  <c r="ES4" i="3"/>
  <c r="DA4" i="3"/>
  <c r="ER8" i="3"/>
  <c r="DC2" i="3"/>
  <c r="EU2" i="3"/>
  <c r="CW2" i="3"/>
  <c r="EO2" i="3"/>
  <c r="DG2" i="3"/>
  <c r="DM15" i="3"/>
  <c r="DA15" i="3"/>
  <c r="ES15" i="3"/>
  <c r="DM17" i="3"/>
  <c r="DA17" i="3"/>
  <c r="ES17" i="3"/>
  <c r="CZ22" i="3"/>
  <c r="DJ27" i="3"/>
  <c r="CV27" i="3"/>
  <c r="CV5" i="3"/>
  <c r="EN5" i="3"/>
  <c r="DT5" i="3"/>
  <c r="DS5" i="3"/>
  <c r="DB17" i="3"/>
  <c r="ET17" i="3"/>
  <c r="EO16" i="3"/>
  <c r="CW8" i="3"/>
  <c r="EO8" i="3"/>
  <c r="DG8" i="3"/>
  <c r="CV17" i="3"/>
  <c r="DT17" i="3"/>
  <c r="EN17" i="3"/>
  <c r="DS17" i="3"/>
  <c r="DC15" i="3"/>
  <c r="EU15" i="3"/>
  <c r="ET2" i="3"/>
  <c r="DC3" i="3"/>
  <c r="DT21" i="3"/>
  <c r="DS21" i="3"/>
  <c r="CV21" i="3"/>
  <c r="EN21" i="3"/>
  <c r="DC12" i="3"/>
  <c r="EU12" i="3"/>
  <c r="DC23" i="3"/>
  <c r="EU23" i="3"/>
  <c r="CZ27" i="3"/>
  <c r="CW5" i="3"/>
  <c r="DB26" i="3"/>
  <c r="CV16" i="3"/>
  <c r="CY17" i="3"/>
  <c r="EQ17" i="3"/>
  <c r="ER11" i="3"/>
  <c r="CZ11" i="3"/>
  <c r="DC14" i="3"/>
  <c r="EU14" i="3"/>
  <c r="EU18" i="3"/>
  <c r="DC18" i="3"/>
  <c r="DT18" i="3"/>
  <c r="CV18" i="3"/>
  <c r="DS18" i="3"/>
  <c r="EN18" i="3"/>
  <c r="ET9" i="3"/>
  <c r="DB9" i="3"/>
  <c r="DM18" i="3"/>
  <c r="DA18" i="3"/>
  <c r="ES18" i="3"/>
  <c r="CX20" i="3"/>
  <c r="EP20" i="3"/>
  <c r="DM22" i="3"/>
  <c r="DA22" i="3"/>
  <c r="ES22" i="3"/>
  <c r="CY13" i="3"/>
  <c r="EQ13" i="3"/>
  <c r="ET10" i="3"/>
  <c r="DB10" i="3"/>
  <c r="DM8" i="3"/>
  <c r="DA8" i="3"/>
  <c r="ES8" i="3"/>
  <c r="CW21" i="3"/>
  <c r="DG21" i="3"/>
  <c r="EO21" i="3"/>
  <c r="CW16" i="3"/>
  <c r="CV6" i="3"/>
  <c r="DT6" i="3"/>
  <c r="DS6" i="3"/>
  <c r="EN6" i="3"/>
  <c r="EP15" i="3"/>
  <c r="CX15" i="3"/>
  <c r="DM25" i="3"/>
  <c r="DA25" i="3"/>
  <c r="ES25" i="3"/>
  <c r="EQ7" i="3"/>
  <c r="EP18" i="3"/>
  <c r="EU22" i="3"/>
  <c r="CV3" i="3"/>
  <c r="ES21" i="3"/>
  <c r="DA14" i="3"/>
  <c r="CV20" i="3"/>
  <c r="EN20" i="3"/>
  <c r="DT20" i="3"/>
  <c r="DS20" i="3"/>
  <c r="ER16" i="3"/>
  <c r="CZ16" i="3"/>
  <c r="DY34" i="3"/>
  <c r="EU11" i="3"/>
  <c r="DC11" i="3"/>
  <c r="DY30" i="3"/>
  <c r="EO4" i="3"/>
  <c r="CX6" i="3"/>
  <c r="EP6" i="3"/>
  <c r="EO20" i="3"/>
  <c r="DG20" i="3"/>
  <c r="CW20" i="3"/>
  <c r="EQ10" i="3"/>
  <c r="CY10" i="3"/>
  <c r="DY36" i="3"/>
  <c r="CX7" i="3"/>
  <c r="EP7" i="3"/>
  <c r="EO11" i="3"/>
  <c r="DG11" i="3"/>
  <c r="CW11" i="3"/>
  <c r="DB8" i="3"/>
  <c r="ET8" i="3"/>
  <c r="EO10" i="3"/>
  <c r="DG10" i="3"/>
  <c r="CW10" i="3"/>
  <c r="EP11" i="3"/>
  <c r="ES27" i="3"/>
  <c r="DA27" i="3"/>
  <c r="DM27" i="3"/>
  <c r="EQ12" i="3"/>
  <c r="CY12" i="3"/>
  <c r="DC8" i="3"/>
  <c r="EU8" i="3"/>
  <c r="CW17" i="3"/>
  <c r="EO17" i="3"/>
  <c r="DG17" i="3"/>
  <c r="EP17" i="3"/>
  <c r="CX17" i="3"/>
  <c r="CW27" i="3"/>
  <c r="DM6" i="3"/>
  <c r="ES6" i="3"/>
  <c r="DA6" i="3"/>
  <c r="EP10" i="3"/>
  <c r="CX10" i="3"/>
  <c r="DT10" i="3"/>
  <c r="CV10" i="3"/>
  <c r="EN10" i="3"/>
  <c r="DS10" i="3"/>
  <c r="DK5" i="3"/>
  <c r="CZ5" i="3"/>
  <c r="ER5" i="3"/>
  <c r="CZ17" i="3"/>
  <c r="EO22" i="3"/>
  <c r="CZ21" i="3"/>
  <c r="ER21" i="3"/>
  <c r="CY7" i="3"/>
  <c r="DC22" i="3"/>
  <c r="DT4" i="3"/>
  <c r="DS4" i="3"/>
  <c r="CV4" i="3"/>
  <c r="EN4" i="3"/>
  <c r="EN27" i="3"/>
  <c r="CV22" i="3"/>
  <c r="EN22" i="3"/>
  <c r="DT22" i="3"/>
  <c r="DS22" i="3"/>
  <c r="EN12" i="3"/>
  <c r="EU9" i="3"/>
  <c r="DC9" i="3"/>
  <c r="EN15" i="3"/>
  <c r="DT15" i="3"/>
  <c r="DS15" i="3"/>
  <c r="CV15" i="3"/>
  <c r="EO5" i="3"/>
  <c r="CW4" i="3"/>
  <c r="CY5" i="3"/>
  <c r="EN16" i="3"/>
  <c r="DB7" i="3"/>
  <c r="ET7" i="3"/>
  <c r="ET3" i="3"/>
  <c r="DB3" i="3"/>
  <c r="CY16" i="3"/>
  <c r="EQ16" i="3"/>
  <c r="CX4" i="3"/>
  <c r="EP4" i="3"/>
  <c r="DK7" i="3"/>
  <c r="CZ7" i="3"/>
  <c r="ER7" i="3"/>
  <c r="DB22" i="3"/>
  <c r="ET22" i="3"/>
  <c r="DB12" i="3"/>
  <c r="ET12" i="3"/>
  <c r="DC4" i="3"/>
  <c r="EU4" i="3"/>
  <c r="CW15" i="3"/>
  <c r="EO15" i="3"/>
  <c r="DG15" i="3"/>
  <c r="CW3" i="3"/>
  <c r="EO3" i="3"/>
  <c r="DG3" i="3"/>
  <c r="EO13" i="3"/>
  <c r="CW13" i="3"/>
  <c r="DG13" i="3"/>
  <c r="CW18" i="3"/>
  <c r="EO18" i="3"/>
  <c r="DG18" i="3"/>
  <c r="CW6" i="3"/>
  <c r="EO6" i="3"/>
  <c r="DG6" i="3"/>
  <c r="EP16" i="3"/>
  <c r="CX16" i="3"/>
  <c r="ET13" i="3"/>
  <c r="DB13" i="3"/>
  <c r="DB21" i="3"/>
  <c r="EQ2" i="3"/>
  <c r="CY2" i="3"/>
  <c r="EO12" i="3"/>
  <c r="DG12" i="3"/>
  <c r="CW12" i="3"/>
  <c r="DT9" i="3"/>
  <c r="EN9" i="3"/>
  <c r="CV9" i="3"/>
  <c r="DS9" i="3"/>
  <c r="CX8" i="3"/>
  <c r="EP8" i="3"/>
  <c r="DA13" i="3"/>
  <c r="ES13" i="3"/>
  <c r="DM13" i="3"/>
  <c r="CW23" i="3"/>
  <c r="CW22" i="3"/>
  <c r="CW9" i="3"/>
  <c r="ER4" i="3"/>
  <c r="ET24" i="3"/>
  <c r="CV25" i="3"/>
  <c r="ET25" i="3"/>
  <c r="EU6" i="3"/>
  <c r="DC6" i="3"/>
  <c r="EQ22" i="3"/>
  <c r="EN25" i="3"/>
  <c r="CV12" i="3"/>
  <c r="DC27" i="3"/>
  <c r="DC19" i="3"/>
  <c r="EU19" i="3"/>
  <c r="CV23" i="3"/>
  <c r="ES26" i="3"/>
  <c r="EQ5" i="3"/>
  <c r="DM7" i="3"/>
  <c r="DA7" i="3"/>
  <c r="ES7" i="3"/>
  <c r="EQ9" i="3"/>
  <c r="CY9" i="3"/>
  <c r="CX2" i="3"/>
  <c r="CX14" i="3"/>
  <c r="EP14" i="3"/>
  <c r="ET4" i="3"/>
  <c r="DB4" i="3"/>
  <c r="CX21" i="3"/>
  <c r="EP21" i="3"/>
  <c r="CW7" i="3"/>
  <c r="ER12" i="3"/>
  <c r="CZ12" i="3"/>
  <c r="DR24" i="3"/>
  <c r="EU24" i="3"/>
  <c r="DC24" i="3"/>
  <c r="ET26" i="3"/>
  <c r="CX5" i="3"/>
  <c r="EP5" i="3"/>
  <c r="CV8" i="3"/>
  <c r="EN8" i="3"/>
  <c r="DT8" i="3"/>
  <c r="DS8" i="3"/>
  <c r="DB6" i="3"/>
  <c r="ET6" i="3"/>
  <c r="DK3" i="3"/>
  <c r="CZ3" i="3"/>
  <c r="ER3" i="3"/>
  <c r="DA9" i="3"/>
  <c r="DM9" i="3"/>
  <c r="ES9" i="3"/>
  <c r="EQ21" i="3"/>
  <c r="CY21" i="3"/>
  <c r="ET16" i="3"/>
  <c r="CY18" i="3"/>
  <c r="EQ18" i="3"/>
  <c r="DB18" i="3"/>
  <c r="ET18" i="3"/>
  <c r="EQ8" i="3"/>
  <c r="CY8" i="3"/>
  <c r="CV11" i="3"/>
  <c r="DT11" i="3"/>
  <c r="EN11" i="3"/>
  <c r="DS11" i="3"/>
  <c r="CY19" i="3"/>
  <c r="EQ19" i="3"/>
  <c r="CY6" i="3"/>
  <c r="EQ6" i="3"/>
  <c r="CY11" i="3"/>
  <c r="EQ11" i="3"/>
  <c r="ER23" i="3"/>
  <c r="DY35" i="3"/>
  <c r="EO9" i="3"/>
  <c r="EU26" i="3"/>
  <c r="CY15" i="3"/>
  <c r="CZ14" i="3"/>
  <c r="ER14" i="3"/>
  <c r="ER2" i="3"/>
  <c r="EU7" i="3"/>
  <c r="DC7" i="3"/>
  <c r="CV24" i="3"/>
  <c r="DT13" i="3"/>
  <c r="DS13" i="3"/>
  <c r="EN13" i="3"/>
  <c r="CV13" i="3"/>
  <c r="EU5" i="3"/>
  <c r="ER26" i="3"/>
  <c r="ET5" i="3"/>
  <c r="DB5" i="3"/>
  <c r="DA10" i="3"/>
  <c r="ES10" i="3"/>
  <c r="DM10" i="3"/>
  <c r="DM20" i="3"/>
  <c r="DA20" i="3"/>
  <c r="ES20" i="3"/>
  <c r="ER15" i="3"/>
  <c r="CZ15" i="3"/>
  <c r="EU16" i="3"/>
  <c r="DC16" i="3"/>
  <c r="ER9" i="3"/>
  <c r="CZ9" i="3"/>
  <c r="CV2" i="3"/>
  <c r="EN2" i="3"/>
  <c r="DT2" i="3"/>
  <c r="DS2" i="3"/>
  <c r="DB19" i="3"/>
  <c r="ET19" i="3"/>
  <c r="EU3" i="3"/>
  <c r="ES23" i="3"/>
  <c r="ET11" i="3"/>
  <c r="DB11" i="3"/>
  <c r="DA5" i="3"/>
  <c r="ES5" i="3"/>
  <c r="DM5" i="3"/>
  <c r="EQ4" i="3"/>
  <c r="CY4" i="3"/>
  <c r="DM19" i="3"/>
  <c r="DA19" i="3"/>
  <c r="ES19" i="3"/>
  <c r="CY3" i="3"/>
  <c r="EQ3" i="3"/>
  <c r="DA11" i="3"/>
  <c r="DM11" i="3"/>
  <c r="ES11" i="3"/>
  <c r="DC10" i="3"/>
  <c r="EU10" i="3"/>
  <c r="CV14" i="3"/>
  <c r="EN14" i="3"/>
  <c r="DS14" i="3"/>
  <c r="DT14" i="3"/>
  <c r="DB20" i="3"/>
  <c r="ET20" i="3"/>
  <c r="DB16" i="3"/>
  <c r="DT7" i="3"/>
  <c r="DS7" i="3"/>
  <c r="EN7" i="3"/>
  <c r="CV7" i="3"/>
  <c r="CY27" i="3"/>
  <c r="EQ27" i="3"/>
  <c r="EU25" i="3"/>
  <c r="DM12" i="3"/>
  <c r="DA12" i="3"/>
  <c r="ES12" i="3"/>
  <c r="ER18" i="3"/>
  <c r="CZ18" i="3"/>
  <c r="EO23" i="3"/>
  <c r="EO7" i="3"/>
  <c r="DC13" i="3"/>
  <c r="EU13" i="3"/>
  <c r="DC26" i="3"/>
  <c r="DY31" i="3"/>
  <c r="DY32" i="3"/>
  <c r="EQ15" i="3"/>
  <c r="DB14" i="3"/>
  <c r="CV19" i="3"/>
  <c r="EN19" i="3"/>
  <c r="DT19" i="3"/>
  <c r="DS19" i="3"/>
  <c r="DC20" i="3"/>
  <c r="EU20" i="3"/>
  <c r="DC5" i="3"/>
  <c r="EN23" i="3"/>
  <c r="DT21" i="1"/>
  <c r="DS21" i="1"/>
  <c r="EO26" i="2"/>
  <c r="CW26" i="2"/>
  <c r="ET4" i="2"/>
  <c r="CY27" i="2"/>
  <c r="DA26" i="2"/>
  <c r="ES23" i="2"/>
  <c r="DT22" i="2"/>
  <c r="ET26" i="2"/>
  <c r="ES24" i="2"/>
  <c r="EU26" i="2"/>
  <c r="EP21" i="2"/>
  <c r="ES26" i="2"/>
  <c r="EP25" i="2"/>
  <c r="DC26" i="2"/>
  <c r="EO25" i="2"/>
  <c r="CW25" i="2"/>
  <c r="CW27" i="2"/>
  <c r="CZ25" i="2"/>
  <c r="CX15" i="2"/>
  <c r="ER6" i="2"/>
  <c r="DB12" i="2"/>
  <c r="EO27" i="2"/>
  <c r="CX23" i="2"/>
  <c r="CZ20" i="2"/>
  <c r="ES20" i="2"/>
  <c r="EP4" i="2"/>
  <c r="ER22" i="2"/>
  <c r="DB2" i="2"/>
  <c r="DK3" i="2"/>
  <c r="CZ3" i="2"/>
  <c r="ER3" i="2"/>
  <c r="DM18" i="2"/>
  <c r="DA18" i="2"/>
  <c r="ES18" i="2"/>
  <c r="DM4" i="2"/>
  <c r="ES4" i="2"/>
  <c r="DA4" i="2"/>
  <c r="CY20" i="2"/>
  <c r="EQ20" i="2"/>
  <c r="DB20" i="2"/>
  <c r="ET20" i="2"/>
  <c r="CW14" i="2"/>
  <c r="DG14" i="2"/>
  <c r="EO14" i="2"/>
  <c r="EN20" i="2"/>
  <c r="EO4" i="2"/>
  <c r="DG4" i="2"/>
  <c r="CW4" i="2"/>
  <c r="CX20" i="2"/>
  <c r="EP20" i="2"/>
  <c r="DB22" i="2"/>
  <c r="ET22" i="2"/>
  <c r="CY26" i="2"/>
  <c r="DT14" i="2"/>
  <c r="DS14" i="2"/>
  <c r="EN14" i="2"/>
  <c r="CV14" i="2"/>
  <c r="DK10" i="2"/>
  <c r="CZ10" i="2"/>
  <c r="ER10" i="2"/>
  <c r="DG6" i="2"/>
  <c r="CW6" i="2"/>
  <c r="EO6" i="2"/>
  <c r="CZ22" i="2"/>
  <c r="EN3" i="2"/>
  <c r="DS3" i="2"/>
  <c r="DT3" i="2"/>
  <c r="CV3" i="2"/>
  <c r="ET16" i="2"/>
  <c r="DB16" i="2"/>
  <c r="EN22" i="2"/>
  <c r="EO2" i="2"/>
  <c r="DG2" i="2"/>
  <c r="DA8" i="2"/>
  <c r="ES8" i="2"/>
  <c r="DM8" i="2"/>
  <c r="DM13" i="2"/>
  <c r="ES13" i="2"/>
  <c r="DA13" i="2"/>
  <c r="DA14" i="2"/>
  <c r="ES14" i="2"/>
  <c r="DM14" i="2"/>
  <c r="CZ6" i="2"/>
  <c r="CY5" i="2"/>
  <c r="DC4" i="2"/>
  <c r="CW13" i="2"/>
  <c r="DK2" i="2"/>
  <c r="ER2" i="2"/>
  <c r="DA6" i="2"/>
  <c r="ES6" i="2"/>
  <c r="DM6" i="2"/>
  <c r="DC13" i="2"/>
  <c r="EU13" i="2"/>
  <c r="CW7" i="2"/>
  <c r="DG7" i="2"/>
  <c r="EO7" i="2"/>
  <c r="ES3" i="2"/>
  <c r="DA3" i="2"/>
  <c r="DM3" i="2"/>
  <c r="EQ8" i="2"/>
  <c r="CY8" i="2"/>
  <c r="CY16" i="2"/>
  <c r="EQ16" i="2"/>
  <c r="EQ3" i="2"/>
  <c r="CY3" i="2"/>
  <c r="DB10" i="2"/>
  <c r="ET10" i="2"/>
  <c r="CV25" i="2"/>
  <c r="EN26" i="2"/>
  <c r="EQ4" i="2"/>
  <c r="CY4" i="2"/>
  <c r="EP2" i="2"/>
  <c r="CX2" i="2"/>
  <c r="DC19" i="2"/>
  <c r="EU19" i="2"/>
  <c r="ER4" i="2"/>
  <c r="DK4" i="2"/>
  <c r="CZ4" i="2"/>
  <c r="EU15" i="2"/>
  <c r="DC15" i="2"/>
  <c r="DC18" i="2"/>
  <c r="EU18" i="2"/>
  <c r="CV22" i="2"/>
  <c r="CV12" i="2"/>
  <c r="EQ5" i="2"/>
  <c r="EU4" i="2"/>
  <c r="CV9" i="2"/>
  <c r="EN9" i="2"/>
  <c r="DT9" i="2"/>
  <c r="DS9" i="2"/>
  <c r="DS7" i="2"/>
  <c r="CV7" i="2"/>
  <c r="EN7" i="2"/>
  <c r="DT7" i="2"/>
  <c r="DM22" i="2"/>
  <c r="ES22" i="2"/>
  <c r="DA22" i="2"/>
  <c r="ES2" i="2"/>
  <c r="DM2" i="2"/>
  <c r="DA2" i="2"/>
  <c r="ES16" i="2"/>
  <c r="DM16" i="2"/>
  <c r="DA16" i="2"/>
  <c r="EP14" i="2"/>
  <c r="CX14" i="2"/>
  <c r="CY17" i="2"/>
  <c r="EQ17" i="2"/>
  <c r="CX22" i="2"/>
  <c r="EP22" i="2"/>
  <c r="CW20" i="2"/>
  <c r="EO20" i="2"/>
  <c r="DG20" i="2"/>
  <c r="ET5" i="2"/>
  <c r="DB5" i="2"/>
  <c r="CY6" i="2"/>
  <c r="EQ6" i="2"/>
  <c r="DM15" i="2"/>
  <c r="ES15" i="2"/>
  <c r="DA15" i="2"/>
  <c r="DC10" i="2"/>
  <c r="EU10" i="2"/>
  <c r="CV26" i="2"/>
  <c r="CV8" i="2"/>
  <c r="DT8" i="2"/>
  <c r="EN8" i="2"/>
  <c r="DS8" i="2"/>
  <c r="CY9" i="2"/>
  <c r="EQ9" i="2"/>
  <c r="CZ18" i="2"/>
  <c r="ER18" i="2"/>
  <c r="DK18" i="2"/>
  <c r="DK17" i="2"/>
  <c r="ER17" i="2"/>
  <c r="CZ17" i="2"/>
  <c r="EN18" i="2"/>
  <c r="DT18" i="2"/>
  <c r="CV18" i="2"/>
  <c r="DS18" i="2"/>
  <c r="CX26" i="2"/>
  <c r="EP26" i="2"/>
  <c r="DB3" i="2"/>
  <c r="ET3" i="2"/>
  <c r="CX5" i="2"/>
  <c r="EP5" i="2"/>
  <c r="EU23" i="2"/>
  <c r="DC23" i="2"/>
  <c r="CX9" i="2"/>
  <c r="EP9" i="2"/>
  <c r="CV13" i="2"/>
  <c r="EN13" i="2"/>
  <c r="DT13" i="2"/>
  <c r="DS13" i="2"/>
  <c r="DB13" i="2"/>
  <c r="ET13" i="2"/>
  <c r="DB26" i="2"/>
  <c r="CX3" i="2"/>
  <c r="EP3" i="2"/>
  <c r="EO24" i="2"/>
  <c r="ET2" i="2"/>
  <c r="EN12" i="2"/>
  <c r="EQ15" i="2"/>
  <c r="ET12" i="2"/>
  <c r="DC11" i="2"/>
  <c r="EO13" i="2"/>
  <c r="DC2" i="2"/>
  <c r="EU2" i="2"/>
  <c r="EN10" i="2"/>
  <c r="DT10" i="2"/>
  <c r="DS10" i="2"/>
  <c r="CV10" i="2"/>
  <c r="EO18" i="2"/>
  <c r="DG18" i="2"/>
  <c r="CW18" i="2"/>
  <c r="CY25" i="2"/>
  <c r="EQ25" i="2"/>
  <c r="DB11" i="2"/>
  <c r="ET11" i="2"/>
  <c r="CW21" i="2"/>
  <c r="EO21" i="2"/>
  <c r="DG21" i="2"/>
  <c r="EQ24" i="2"/>
  <c r="CY24" i="2"/>
  <c r="DY29" i="2"/>
  <c r="DB18" i="2"/>
  <c r="ET18" i="2"/>
  <c r="CX24" i="2"/>
  <c r="EP24" i="2"/>
  <c r="EO22" i="2"/>
  <c r="DG22" i="2"/>
  <c r="CW22" i="2"/>
  <c r="DT4" i="2"/>
  <c r="CV4" i="2"/>
  <c r="EN4" i="2"/>
  <c r="DS4" i="2"/>
  <c r="CW9" i="2"/>
  <c r="EO9" i="2"/>
  <c r="DG9" i="2"/>
  <c r="DM11" i="2"/>
  <c r="DA11" i="2"/>
  <c r="ES11" i="2"/>
  <c r="ER7" i="2"/>
  <c r="CZ7" i="2"/>
  <c r="DK7" i="2"/>
  <c r="DB24" i="2"/>
  <c r="ET24" i="2"/>
  <c r="DP27" i="2"/>
  <c r="EN27" i="2"/>
  <c r="EQ2" i="2"/>
  <c r="EO8" i="2"/>
  <c r="DG8" i="2"/>
  <c r="CW8" i="2"/>
  <c r="DM10" i="2"/>
  <c r="DA10" i="2"/>
  <c r="ES10" i="2"/>
  <c r="EN19" i="2"/>
  <c r="DT19" i="2"/>
  <c r="DS19" i="2"/>
  <c r="CV19" i="2"/>
  <c r="EN24" i="2"/>
  <c r="DK14" i="2"/>
  <c r="CZ14" i="2"/>
  <c r="ER14" i="2"/>
  <c r="CY12" i="2"/>
  <c r="EQ12" i="2"/>
  <c r="DI23" i="2"/>
  <c r="CW23" i="2"/>
  <c r="EO23" i="2"/>
  <c r="DA24" i="2"/>
  <c r="EP10" i="2"/>
  <c r="CX10" i="2"/>
  <c r="CW16" i="2"/>
  <c r="DG16" i="2"/>
  <c r="EO16" i="2"/>
  <c r="CZ23" i="2"/>
  <c r="ER23" i="2"/>
  <c r="CW24" i="2"/>
  <c r="ET19" i="2"/>
  <c r="DB19" i="2"/>
  <c r="CY15" i="2"/>
  <c r="EU11" i="2"/>
  <c r="DB4" i="2"/>
  <c r="EP8" i="2"/>
  <c r="CX8" i="2"/>
  <c r="CX6" i="2"/>
  <c r="EP6" i="2"/>
  <c r="EP18" i="2"/>
  <c r="CX18" i="2"/>
  <c r="CY14" i="2"/>
  <c r="EQ14" i="2"/>
  <c r="DB15" i="2"/>
  <c r="ET15" i="2"/>
  <c r="EU8" i="2"/>
  <c r="DC8" i="2"/>
  <c r="CY13" i="2"/>
  <c r="EQ13" i="2"/>
  <c r="DK16" i="2"/>
  <c r="ER16" i="2"/>
  <c r="CZ16" i="2"/>
  <c r="ER8" i="2"/>
  <c r="CZ8" i="2"/>
  <c r="DK8" i="2"/>
  <c r="DC25" i="2"/>
  <c r="EU25" i="2"/>
  <c r="DA12" i="2"/>
  <c r="ES12" i="2"/>
  <c r="DM12" i="2"/>
  <c r="EN25" i="2"/>
  <c r="DB21" i="2"/>
  <c r="ET21" i="2"/>
  <c r="CZ26" i="2"/>
  <c r="ER26" i="2"/>
  <c r="DK11" i="2"/>
  <c r="CZ11" i="2"/>
  <c r="ER11" i="2"/>
  <c r="CV24" i="2"/>
  <c r="DK19" i="2"/>
  <c r="CZ19" i="2"/>
  <c r="ER19" i="2"/>
  <c r="DC6" i="2"/>
  <c r="EU6" i="2"/>
  <c r="DC3" i="2"/>
  <c r="EU3" i="2"/>
  <c r="ER9" i="2"/>
  <c r="CZ9" i="2"/>
  <c r="DK9" i="2"/>
  <c r="CY11" i="2"/>
  <c r="EQ11" i="2"/>
  <c r="CW12" i="2"/>
  <c r="DG12" i="2"/>
  <c r="EO12" i="2"/>
  <c r="DA20" i="2"/>
  <c r="DC27" i="2"/>
  <c r="ET17" i="2"/>
  <c r="DB17" i="2"/>
  <c r="CW5" i="2"/>
  <c r="EO5" i="2"/>
  <c r="DG5" i="2"/>
  <c r="ER24" i="2"/>
  <c r="CZ24" i="2"/>
  <c r="CY21" i="2"/>
  <c r="EQ21" i="2"/>
  <c r="ET23" i="2"/>
  <c r="DB23" i="2"/>
  <c r="DY31" i="2"/>
  <c r="EU21" i="2"/>
  <c r="EP15" i="2"/>
  <c r="CV6" i="2"/>
  <c r="EO17" i="2"/>
  <c r="DT11" i="2"/>
  <c r="DS11" i="2"/>
  <c r="CV11" i="2"/>
  <c r="EN11" i="2"/>
  <c r="DM9" i="2"/>
  <c r="ES9" i="2"/>
  <c r="DA9" i="2"/>
  <c r="DS5" i="2"/>
  <c r="CV5" i="2"/>
  <c r="EN5" i="2"/>
  <c r="DT5" i="2"/>
  <c r="CX11" i="2"/>
  <c r="EP11" i="2"/>
  <c r="DC24" i="2"/>
  <c r="EU24" i="2"/>
  <c r="CV15" i="2"/>
  <c r="EN15" i="2"/>
  <c r="DT15" i="2"/>
  <c r="DS15" i="2"/>
  <c r="CW15" i="2"/>
  <c r="EO15" i="2"/>
  <c r="DG15" i="2"/>
  <c r="EQ27" i="2"/>
  <c r="CX7" i="2"/>
  <c r="EP7" i="2"/>
  <c r="DY30" i="2"/>
  <c r="ET8" i="2"/>
  <c r="DB8" i="2"/>
  <c r="ET7" i="2"/>
  <c r="DB7" i="2"/>
  <c r="DK21" i="2"/>
  <c r="CZ21" i="2"/>
  <c r="ER21" i="2"/>
  <c r="DC5" i="2"/>
  <c r="EU5" i="2"/>
  <c r="EU14" i="2"/>
  <c r="DC14" i="2"/>
  <c r="EU27" i="2"/>
  <c r="ES5" i="2"/>
  <c r="DM5" i="2"/>
  <c r="DA5" i="2"/>
  <c r="CW11" i="2"/>
  <c r="EO11" i="2"/>
  <c r="DG11" i="2"/>
  <c r="DB25" i="2"/>
  <c r="ET25" i="2"/>
  <c r="DC21" i="2"/>
  <c r="ER25" i="2"/>
  <c r="CX21" i="2"/>
  <c r="ET6" i="2"/>
  <c r="DB6" i="2"/>
  <c r="ET14" i="2"/>
  <c r="DB14" i="2"/>
  <c r="DS2" i="2"/>
  <c r="EN2" i="2"/>
  <c r="DT2" i="2"/>
  <c r="DS16" i="2"/>
  <c r="DT16" i="2"/>
  <c r="CV16" i="2"/>
  <c r="EN16" i="2"/>
  <c r="DM21" i="2"/>
  <c r="DA21" i="2"/>
  <c r="ES21" i="2"/>
  <c r="DG19" i="2"/>
  <c r="EO19" i="2"/>
  <c r="CW19" i="2"/>
  <c r="DG3" i="2"/>
  <c r="CW3" i="2"/>
  <c r="EO3" i="2"/>
  <c r="DC12" i="2"/>
  <c r="EU12" i="2"/>
  <c r="CY18" i="2"/>
  <c r="EQ18" i="2"/>
  <c r="CV21" i="2"/>
  <c r="EN21" i="2"/>
  <c r="DT21" i="2"/>
  <c r="DS21" i="2"/>
  <c r="ES7" i="2"/>
  <c r="DM7" i="2"/>
  <c r="DA7" i="2"/>
  <c r="CY10" i="2"/>
  <c r="EQ10" i="2"/>
  <c r="DA19" i="2"/>
  <c r="ES19" i="2"/>
  <c r="DM19" i="2"/>
  <c r="DK5" i="2"/>
  <c r="CZ5" i="2"/>
  <c r="ER5" i="2"/>
  <c r="EU16" i="2"/>
  <c r="DC16" i="2"/>
  <c r="EN23" i="2"/>
  <c r="CY23" i="2"/>
  <c r="EQ23" i="2"/>
  <c r="EU17" i="2"/>
  <c r="DC17" i="2"/>
  <c r="EP23" i="2"/>
  <c r="EQ7" i="2"/>
  <c r="CY7" i="2"/>
  <c r="ES17" i="2"/>
  <c r="DM17" i="2"/>
  <c r="DA17" i="2"/>
  <c r="ER20" i="2"/>
  <c r="CX4" i="2"/>
  <c r="CW17" i="2"/>
  <c r="EU9" i="2"/>
  <c r="DC9" i="2"/>
  <c r="CW10" i="2"/>
  <c r="EO10" i="2"/>
  <c r="DG10" i="2"/>
  <c r="ET27" i="2"/>
  <c r="DB27" i="2"/>
  <c r="CZ13" i="2"/>
  <c r="ER13" i="2"/>
  <c r="DK13" i="2"/>
  <c r="ER15" i="2"/>
  <c r="CZ15" i="2"/>
  <c r="DK15" i="2"/>
  <c r="DB9" i="2"/>
  <c r="ET9" i="2"/>
  <c r="ER12" i="2"/>
  <c r="CZ12" i="2"/>
  <c r="DK12" i="2"/>
  <c r="EP12" i="2"/>
  <c r="CX12" i="2"/>
  <c r="CX16" i="2"/>
  <c r="EP16" i="2"/>
  <c r="DC7" i="2"/>
  <c r="EU7" i="2"/>
  <c r="EQ22" i="2"/>
  <c r="CY22" i="2"/>
  <c r="CY19" i="2"/>
  <c r="EQ19" i="2"/>
  <c r="EP17" i="2"/>
  <c r="CX17" i="2"/>
  <c r="DT17" i="2"/>
  <c r="DS17" i="2"/>
  <c r="CV17" i="2"/>
  <c r="EN17" i="2"/>
  <c r="CV23" i="2"/>
  <c r="CX19" i="2"/>
  <c r="EP19" i="2"/>
  <c r="EU22" i="2"/>
  <c r="DC22" i="2"/>
  <c r="CX13" i="2"/>
  <c r="EP13" i="2"/>
  <c r="DC20" i="2"/>
  <c r="EU20" i="2"/>
  <c r="EN6" i="2"/>
  <c r="DY31" i="1"/>
  <c r="DY36" i="1"/>
  <c r="DY32" i="1"/>
  <c r="DS10" i="1"/>
  <c r="EQ27" i="1"/>
  <c r="CY27" i="1"/>
  <c r="EQ26" i="1"/>
  <c r="CY26" i="1"/>
  <c r="CX26" i="1"/>
  <c r="CW26" i="1"/>
  <c r="CY28" i="1"/>
  <c r="EP27" i="1"/>
  <c r="EN27" i="1"/>
  <c r="CV27" i="1"/>
  <c r="CX27" i="1"/>
  <c r="DB20" i="1"/>
  <c r="DT5" i="1"/>
  <c r="EP20" i="1"/>
  <c r="DB27" i="1"/>
  <c r="ET27" i="1"/>
  <c r="ER15" i="1"/>
  <c r="CZ20" i="1"/>
  <c r="CV26" i="1"/>
  <c r="ET20" i="1"/>
  <c r="CX24" i="1"/>
  <c r="DB26" i="1"/>
  <c r="EP22" i="1"/>
  <c r="ET26" i="1"/>
  <c r="CX18" i="1"/>
  <c r="ET19" i="1"/>
  <c r="ES26" i="1"/>
  <c r="ER23" i="1"/>
  <c r="DB28" i="1"/>
  <c r="ET28" i="1"/>
  <c r="EU22" i="1"/>
  <c r="EP17" i="1"/>
  <c r="EN26" i="1"/>
  <c r="ER28" i="1"/>
  <c r="EO26" i="1"/>
  <c r="DB22" i="1"/>
  <c r="DB3" i="1"/>
  <c r="EU25" i="1"/>
  <c r="ER20" i="1"/>
  <c r="CW28" i="1"/>
  <c r="CX21" i="1"/>
  <c r="EU13" i="1"/>
  <c r="EP26" i="1"/>
  <c r="EP12" i="1"/>
  <c r="EP18" i="1"/>
  <c r="ES5" i="1"/>
  <c r="DA26" i="1"/>
  <c r="CZ15" i="1"/>
  <c r="CX12" i="1"/>
  <c r="DC28" i="1"/>
  <c r="CX17" i="1"/>
  <c r="DB16" i="1"/>
  <c r="EQ5" i="1"/>
  <c r="DB19" i="1"/>
  <c r="CZ23" i="1"/>
  <c r="DB15" i="1"/>
  <c r="EO28" i="1"/>
  <c r="DT16" i="1"/>
  <c r="DS16" i="1"/>
  <c r="CV16" i="1"/>
  <c r="EN16" i="1"/>
  <c r="DM23" i="1"/>
  <c r="ES23" i="1"/>
  <c r="DA23" i="1"/>
  <c r="EQ19" i="1"/>
  <c r="CY19" i="1"/>
  <c r="EQ6" i="1"/>
  <c r="CY6" i="1"/>
  <c r="EN11" i="1"/>
  <c r="DS11" i="1"/>
  <c r="DT11" i="1"/>
  <c r="CV11" i="1"/>
  <c r="DK18" i="1"/>
  <c r="CZ18" i="1"/>
  <c r="ER18" i="1"/>
  <c r="CW6" i="1"/>
  <c r="EO6" i="1"/>
  <c r="DG6" i="1"/>
  <c r="EP7" i="1"/>
  <c r="CX7" i="1"/>
  <c r="ET22" i="1"/>
  <c r="ES2" i="1"/>
  <c r="DM2" i="1"/>
  <c r="DA2" i="1"/>
  <c r="CW3" i="1"/>
  <c r="DG3" i="1"/>
  <c r="EO3" i="1"/>
  <c r="EU4" i="1"/>
  <c r="DC4" i="1"/>
  <c r="DA5" i="1"/>
  <c r="DC6" i="1"/>
  <c r="EU6" i="1"/>
  <c r="DT23" i="1"/>
  <c r="DS23" i="1"/>
  <c r="CV23" i="1"/>
  <c r="EN23" i="1"/>
  <c r="EU23" i="1"/>
  <c r="DC23" i="1"/>
  <c r="ET21" i="1"/>
  <c r="DA6" i="1"/>
  <c r="ES6" i="1"/>
  <c r="DM6" i="1"/>
  <c r="EP24" i="1"/>
  <c r="EQ14" i="1"/>
  <c r="CW16" i="1"/>
  <c r="DG16" i="1"/>
  <c r="EO16" i="1"/>
  <c r="DT24" i="1"/>
  <c r="DS24" i="1"/>
  <c r="CV24" i="1"/>
  <c r="EN24" i="1"/>
  <c r="EO21" i="1"/>
  <c r="CW21" i="1"/>
  <c r="DG21" i="1"/>
  <c r="CZ28" i="1"/>
  <c r="EP28" i="1"/>
  <c r="EQ28" i="1"/>
  <c r="DA7" i="1"/>
  <c r="ES7" i="1"/>
  <c r="DM7" i="1"/>
  <c r="EQ16" i="1"/>
  <c r="CV21" i="1"/>
  <c r="CX22" i="1"/>
  <c r="CY20" i="1"/>
  <c r="EQ20" i="1"/>
  <c r="DC22" i="1"/>
  <c r="ER21" i="1"/>
  <c r="CW14" i="1"/>
  <c r="CY16" i="1"/>
  <c r="EN21" i="1"/>
  <c r="DM19" i="1"/>
  <c r="DA19" i="1"/>
  <c r="ES19" i="1"/>
  <c r="DB18" i="1"/>
  <c r="CX6" i="1"/>
  <c r="EP6" i="1"/>
  <c r="CV19" i="1"/>
  <c r="EN19" i="1"/>
  <c r="DT19" i="1"/>
  <c r="DS19" i="1"/>
  <c r="EU17" i="1"/>
  <c r="EP4" i="1"/>
  <c r="CX4" i="1"/>
  <c r="DG10" i="1"/>
  <c r="CW10" i="1"/>
  <c r="EO10" i="1"/>
  <c r="EO20" i="1"/>
  <c r="DM20" i="1"/>
  <c r="DA20" i="1"/>
  <c r="ES20" i="1"/>
  <c r="ET18" i="1"/>
  <c r="DC25" i="1"/>
  <c r="DB10" i="1"/>
  <c r="ET10" i="1"/>
  <c r="DG18" i="1"/>
  <c r="CW18" i="1"/>
  <c r="EO18" i="1"/>
  <c r="DG9" i="1"/>
  <c r="CW9" i="1"/>
  <c r="EO9" i="1"/>
  <c r="ES8" i="1"/>
  <c r="DA8" i="1"/>
  <c r="DM8" i="1"/>
  <c r="EO7" i="1"/>
  <c r="DG7" i="1"/>
  <c r="CW7" i="1"/>
  <c r="EN22" i="1"/>
  <c r="DS22" i="1"/>
  <c r="DT22" i="1"/>
  <c r="CV22" i="1"/>
  <c r="DC18" i="1"/>
  <c r="DC17" i="1"/>
  <c r="CY13" i="1"/>
  <c r="EQ13" i="1"/>
  <c r="DC11" i="1"/>
  <c r="EU11" i="1"/>
  <c r="CZ21" i="1"/>
  <c r="ES9" i="1"/>
  <c r="DA9" i="1"/>
  <c r="DM9" i="1"/>
  <c r="CX5" i="1"/>
  <c r="EP5" i="1"/>
  <c r="DG11" i="1"/>
  <c r="CW11" i="1"/>
  <c r="EO11" i="1"/>
  <c r="CW20" i="1"/>
  <c r="DC5" i="1"/>
  <c r="EU5" i="1"/>
  <c r="EN4" i="1"/>
  <c r="CV4" i="1"/>
  <c r="DS4" i="1"/>
  <c r="DT4" i="1"/>
  <c r="EQ8" i="1"/>
  <c r="CY8" i="1"/>
  <c r="CZ6" i="1"/>
  <c r="ER6" i="1"/>
  <c r="DK6" i="1"/>
  <c r="CY4" i="1"/>
  <c r="EQ4" i="1"/>
  <c r="DA25" i="1"/>
  <c r="ES25" i="1"/>
  <c r="DM25" i="1"/>
  <c r="DT12" i="1"/>
  <c r="EN12" i="1"/>
  <c r="DS12" i="1"/>
  <c r="CV12" i="1"/>
  <c r="DS17" i="1"/>
  <c r="CV17" i="1"/>
  <c r="EN17" i="1"/>
  <c r="DT17" i="1"/>
  <c r="DA18" i="1"/>
  <c r="DM18" i="1"/>
  <c r="ES18" i="1"/>
  <c r="DG13" i="1"/>
  <c r="CW13" i="1"/>
  <c r="EO13" i="1"/>
  <c r="CX14" i="1"/>
  <c r="EP14" i="1"/>
  <c r="DB21" i="1"/>
  <c r="DM4" i="1"/>
  <c r="DA4" i="1"/>
  <c r="ES4" i="1"/>
  <c r="EO14" i="1"/>
  <c r="EP21" i="1"/>
  <c r="CY14" i="1"/>
  <c r="CY18" i="1"/>
  <c r="EQ18" i="1"/>
  <c r="EU24" i="1"/>
  <c r="DC24" i="1"/>
  <c r="DB23" i="1"/>
  <c r="DB11" i="1"/>
  <c r="ET11" i="1"/>
  <c r="DG8" i="1"/>
  <c r="EO8" i="1"/>
  <c r="CW8" i="1"/>
  <c r="EU18" i="1"/>
  <c r="EQ15" i="1"/>
  <c r="CY15" i="1"/>
  <c r="DC10" i="1"/>
  <c r="EU10" i="1"/>
  <c r="ES11" i="1"/>
  <c r="DM11" i="1"/>
  <c r="DA11" i="1"/>
  <c r="DK22" i="1"/>
  <c r="ER22" i="1"/>
  <c r="CZ22" i="1"/>
  <c r="CX13" i="1"/>
  <c r="EP13" i="1"/>
  <c r="EO12" i="1"/>
  <c r="DG12" i="1"/>
  <c r="CW12" i="1"/>
  <c r="DK4" i="1"/>
  <c r="CZ4" i="1"/>
  <c r="ER4" i="1"/>
  <c r="EN5" i="1"/>
  <c r="CX3" i="1"/>
  <c r="EP3" i="1"/>
  <c r="ET23" i="1"/>
  <c r="EQ25" i="1"/>
  <c r="CY25" i="1"/>
  <c r="DS2" i="1"/>
  <c r="CV2" i="1"/>
  <c r="DT2" i="1"/>
  <c r="EN2" i="1"/>
  <c r="DB17" i="1"/>
  <c r="ET17" i="1"/>
  <c r="DG22" i="1"/>
  <c r="EO22" i="1"/>
  <c r="CW22" i="1"/>
  <c r="DB24" i="1"/>
  <c r="ET16" i="1"/>
  <c r="DG23" i="1"/>
  <c r="CW23" i="1"/>
  <c r="EO23" i="1"/>
  <c r="DC14" i="1"/>
  <c r="EU14" i="1"/>
  <c r="ET13" i="1"/>
  <c r="DB13" i="1"/>
  <c r="DM10" i="1"/>
  <c r="DA10" i="1"/>
  <c r="ES10" i="1"/>
  <c r="ER24" i="1"/>
  <c r="CZ24" i="1"/>
  <c r="DK24" i="1"/>
  <c r="EP15" i="1"/>
  <c r="CX15" i="1"/>
  <c r="ER9" i="1"/>
  <c r="CZ9" i="1"/>
  <c r="DK9" i="1"/>
  <c r="ER2" i="1"/>
  <c r="DK2" i="1"/>
  <c r="CZ2" i="1"/>
  <c r="CV5" i="1"/>
  <c r="CW5" i="1"/>
  <c r="EO5" i="1"/>
  <c r="DG5" i="1"/>
  <c r="CV9" i="1"/>
  <c r="EN9" i="1"/>
  <c r="DT9" i="1"/>
  <c r="DS9" i="1"/>
  <c r="DY29" i="1"/>
  <c r="CX23" i="1"/>
  <c r="EP23" i="1"/>
  <c r="ET24" i="1"/>
  <c r="DC15" i="1"/>
  <c r="EU15" i="1"/>
  <c r="DB12" i="1"/>
  <c r="ET12" i="1"/>
  <c r="DM12" i="1"/>
  <c r="DA12" i="1"/>
  <c r="ES12" i="1"/>
  <c r="CZ26" i="1"/>
  <c r="DK26" i="1"/>
  <c r="ER26" i="1"/>
  <c r="CX10" i="1"/>
  <c r="EP10" i="1"/>
  <c r="DK12" i="1"/>
  <c r="CZ12" i="1"/>
  <c r="ER12" i="1"/>
  <c r="EN14" i="1"/>
  <c r="DT14" i="1"/>
  <c r="CV14" i="1"/>
  <c r="DS14" i="1"/>
  <c r="EQ23" i="1"/>
  <c r="CY23" i="1"/>
  <c r="DY34" i="1"/>
  <c r="DK11" i="1"/>
  <c r="CZ11" i="1"/>
  <c r="ER11" i="1"/>
  <c r="EQ22" i="1"/>
  <c r="CY22" i="1"/>
  <c r="ET25" i="1"/>
  <c r="CY10" i="1"/>
  <c r="EQ10" i="1"/>
  <c r="CV8" i="1"/>
  <c r="EN8" i="1"/>
  <c r="DT8" i="1"/>
  <c r="DS8" i="1"/>
  <c r="CX11" i="1"/>
  <c r="EP11" i="1"/>
  <c r="EO19" i="1"/>
  <c r="CW2" i="1"/>
  <c r="EO2" i="1"/>
  <c r="CZ17" i="1"/>
  <c r="DK17" i="1"/>
  <c r="ER17" i="1"/>
  <c r="EQ2" i="1"/>
  <c r="CY2" i="1"/>
  <c r="EP25" i="1"/>
  <c r="DC19" i="1"/>
  <c r="EU19" i="1"/>
  <c r="EP19" i="1"/>
  <c r="CX19" i="1"/>
  <c r="DB8" i="1"/>
  <c r="ET8" i="1"/>
  <c r="DB4" i="1"/>
  <c r="ET4" i="1"/>
  <c r="DT20" i="1"/>
  <c r="DS20" i="1"/>
  <c r="CV20" i="1"/>
  <c r="EN20" i="1"/>
  <c r="ET9" i="1"/>
  <c r="DB9" i="1"/>
  <c r="EN10" i="1"/>
  <c r="EQ9" i="1"/>
  <c r="CY9" i="1"/>
  <c r="CX20" i="1"/>
  <c r="EU9" i="1"/>
  <c r="DC9" i="1"/>
  <c r="CZ25" i="1"/>
  <c r="ER25" i="1"/>
  <c r="DK25" i="1"/>
  <c r="CW24" i="1"/>
  <c r="DG24" i="1"/>
  <c r="EO24" i="1"/>
  <c r="EO15" i="1"/>
  <c r="CX2" i="1"/>
  <c r="EP2" i="1"/>
  <c r="ET3" i="1"/>
  <c r="EN7" i="1"/>
  <c r="CV7" i="1"/>
  <c r="DT7" i="1"/>
  <c r="DS7" i="1"/>
  <c r="EQ17" i="1"/>
  <c r="CY17" i="1"/>
  <c r="DA17" i="1"/>
  <c r="DM17" i="1"/>
  <c r="ES17" i="1"/>
  <c r="DM16" i="1"/>
  <c r="DA16" i="1"/>
  <c r="ES16" i="1"/>
  <c r="EP8" i="1"/>
  <c r="CX8" i="1"/>
  <c r="DM22" i="1"/>
  <c r="DA22" i="1"/>
  <c r="ES22" i="1"/>
  <c r="EU26" i="1"/>
  <c r="DC26" i="1"/>
  <c r="DC27" i="1"/>
  <c r="EU27" i="1"/>
  <c r="DK16" i="1"/>
  <c r="CZ16" i="1"/>
  <c r="ER16" i="1"/>
  <c r="DA3" i="1"/>
  <c r="ES3" i="1"/>
  <c r="DM3" i="1"/>
  <c r="DC2" i="1"/>
  <c r="EU2" i="1"/>
  <c r="DC16" i="1"/>
  <c r="EU16" i="1"/>
  <c r="DB14" i="1"/>
  <c r="ET14" i="1"/>
  <c r="ES13" i="1"/>
  <c r="DA13" i="1"/>
  <c r="DM13" i="1"/>
  <c r="CX16" i="1"/>
  <c r="EP16" i="1"/>
  <c r="CZ5" i="1"/>
  <c r="DK5" i="1"/>
  <c r="ER5" i="1"/>
  <c r="ES14" i="1"/>
  <c r="DM14" i="1"/>
  <c r="DA14" i="1"/>
  <c r="CX25" i="1"/>
  <c r="CZ7" i="1"/>
  <c r="ER7" i="1"/>
  <c r="DK7" i="1"/>
  <c r="DB25" i="1"/>
  <c r="CY11" i="1"/>
  <c r="EQ11" i="1"/>
  <c r="ER8" i="1"/>
  <c r="DK8" i="1"/>
  <c r="CZ8" i="1"/>
  <c r="ES15" i="1"/>
  <c r="DM15" i="1"/>
  <c r="DA15" i="1"/>
  <c r="DK19" i="1"/>
  <c r="ER19" i="1"/>
  <c r="CZ19" i="1"/>
  <c r="DT6" i="1"/>
  <c r="DS6" i="1"/>
  <c r="CV6" i="1"/>
  <c r="EN6" i="1"/>
  <c r="EO17" i="1"/>
  <c r="CW17" i="1"/>
  <c r="DG17" i="1"/>
  <c r="EQ12" i="1"/>
  <c r="CY12" i="1"/>
  <c r="CY5" i="1"/>
  <c r="EU20" i="1"/>
  <c r="DC20" i="1"/>
  <c r="DC12" i="1"/>
  <c r="EU12" i="1"/>
  <c r="ET15" i="1"/>
  <c r="CX28" i="1"/>
  <c r="ER13" i="1"/>
  <c r="CZ13" i="1"/>
  <c r="DK13" i="1"/>
  <c r="CW19" i="1"/>
  <c r="DB5" i="1"/>
  <c r="ET5" i="1"/>
  <c r="DK10" i="1"/>
  <c r="CZ10" i="1"/>
  <c r="ER10" i="1"/>
  <c r="DM27" i="1"/>
  <c r="DA27" i="1"/>
  <c r="ES27" i="1"/>
  <c r="EO27" i="1"/>
  <c r="CW27" i="1"/>
  <c r="ET2" i="1"/>
  <c r="DB2" i="1"/>
  <c r="EN25" i="1"/>
  <c r="CV25" i="1"/>
  <c r="DS25" i="1"/>
  <c r="DT25" i="1"/>
  <c r="DC7" i="1"/>
  <c r="EU7" i="1"/>
  <c r="EO4" i="1"/>
  <c r="CW4" i="1"/>
  <c r="DG4" i="1"/>
  <c r="DB7" i="1"/>
  <c r="ET7" i="1"/>
  <c r="DC8" i="1"/>
  <c r="EU8" i="1"/>
  <c r="DY33" i="1"/>
  <c r="EU3" i="1"/>
  <c r="DC3" i="1"/>
  <c r="EQ21" i="1"/>
  <c r="CY21" i="1"/>
  <c r="DY30" i="1"/>
  <c r="CY7" i="1"/>
  <c r="EQ7" i="1"/>
  <c r="ES24" i="1"/>
  <c r="DA24" i="1"/>
  <c r="DM24" i="1"/>
  <c r="EO25" i="1"/>
  <c r="CW25" i="1"/>
  <c r="DG25" i="1"/>
  <c r="CW15" i="1"/>
  <c r="DK3" i="1"/>
  <c r="CZ3" i="1"/>
  <c r="ER3" i="1"/>
  <c r="DC13" i="1"/>
  <c r="DK14" i="1"/>
  <c r="CZ14" i="1"/>
  <c r="ER14" i="1"/>
  <c r="EU21" i="1"/>
  <c r="DC21" i="1"/>
  <c r="CX9" i="1"/>
  <c r="EP9" i="1"/>
  <c r="EQ24" i="1"/>
  <c r="CY24" i="1"/>
  <c r="DB6" i="1"/>
  <c r="ET6" i="1"/>
  <c r="DS18" i="1"/>
  <c r="DT18" i="1"/>
  <c r="CV18" i="1"/>
  <c r="EN18" i="1"/>
  <c r="DT15" i="1"/>
  <c r="DS15" i="1"/>
  <c r="CV15" i="1"/>
  <c r="EN15" i="1"/>
  <c r="EN3" i="1"/>
  <c r="DS3" i="1"/>
  <c r="DT3" i="1"/>
  <c r="CV3" i="1"/>
  <c r="CV10" i="1"/>
  <c r="ER27" i="1"/>
  <c r="CZ27" i="1"/>
  <c r="DT13" i="1"/>
  <c r="CV13" i="1"/>
  <c r="EN13" i="1"/>
  <c r="DS13" i="1"/>
  <c r="CY3" i="1"/>
  <c r="EQ3" i="1"/>
  <c r="DA21" i="1"/>
  <c r="ES21" i="1"/>
  <c r="DM21" i="1"/>
  <c r="DY28" i="3" l="1"/>
  <c r="DY3" i="2"/>
  <c r="DY16" i="2"/>
  <c r="DY26" i="3"/>
  <c r="DY5" i="2"/>
  <c r="DY27" i="2"/>
  <c r="DY10" i="3"/>
  <c r="DY25" i="3"/>
  <c r="DY3" i="3"/>
  <c r="DY27" i="3"/>
  <c r="DY14" i="3"/>
  <c r="DY8" i="3"/>
  <c r="DY20" i="3"/>
  <c r="DY13" i="3"/>
  <c r="DY24" i="3"/>
  <c r="DY17" i="3"/>
  <c r="DY14" i="2"/>
  <c r="DY6" i="2"/>
  <c r="DY4" i="2"/>
  <c r="DY8" i="2"/>
  <c r="EW2" i="3"/>
  <c r="EX2" i="3" s="1"/>
  <c r="DY7" i="3"/>
  <c r="DY2" i="3"/>
  <c r="DY22" i="3"/>
  <c r="EW5" i="3"/>
  <c r="EX5" i="3" s="1"/>
  <c r="EW8" i="3"/>
  <c r="EX8" i="3" s="1"/>
  <c r="EW9" i="3"/>
  <c r="EX9" i="3" s="1"/>
  <c r="EW4" i="3"/>
  <c r="EX4" i="3" s="1"/>
  <c r="EW6" i="3"/>
  <c r="EX6" i="3" s="1"/>
  <c r="EW3" i="3"/>
  <c r="EX3" i="3" s="1"/>
  <c r="EW7" i="3"/>
  <c r="EX7" i="3" s="1"/>
  <c r="DY6" i="3"/>
  <c r="DY23" i="3"/>
  <c r="DY5" i="3"/>
  <c r="DY19" i="3"/>
  <c r="DY4" i="3"/>
  <c r="DY12" i="3"/>
  <c r="DY15" i="3"/>
  <c r="DY9" i="3"/>
  <c r="DY11" i="3"/>
  <c r="DY16" i="3"/>
  <c r="DY18" i="3"/>
  <c r="DY21" i="3"/>
  <c r="DY11" i="2"/>
  <c r="DY9" i="2"/>
  <c r="DY7" i="2"/>
  <c r="DY17" i="2"/>
  <c r="DY26" i="2"/>
  <c r="DY22" i="2"/>
  <c r="DY24" i="2"/>
  <c r="DY23" i="2"/>
  <c r="DY2" i="2"/>
  <c r="DY20" i="2"/>
  <c r="DY21" i="2"/>
  <c r="DY18" i="2"/>
  <c r="DY10" i="2"/>
  <c r="DY25" i="2"/>
  <c r="DY15" i="2"/>
  <c r="DY12" i="2"/>
  <c r="DY13" i="2"/>
  <c r="EW8" i="2"/>
  <c r="EW6" i="2"/>
  <c r="EW3" i="2"/>
  <c r="EW5" i="2"/>
  <c r="EW2" i="2"/>
  <c r="EW9" i="2"/>
  <c r="EW7" i="2"/>
  <c r="EW4" i="2"/>
  <c r="DY19" i="2"/>
  <c r="EW2" i="1"/>
  <c r="EX2" i="1" s="1"/>
  <c r="EW3" i="1"/>
  <c r="EX3" i="1" s="1"/>
  <c r="DY26" i="1"/>
  <c r="DY28" i="1"/>
  <c r="DY5" i="1"/>
  <c r="DY27" i="1"/>
  <c r="DY22" i="1"/>
  <c r="DY7" i="1"/>
  <c r="DY10" i="1"/>
  <c r="DY24" i="1"/>
  <c r="DY12" i="1"/>
  <c r="DY18" i="1"/>
  <c r="DY9" i="1"/>
  <c r="DY17" i="1"/>
  <c r="DY6" i="1"/>
  <c r="DY23" i="1"/>
  <c r="EW9" i="1"/>
  <c r="EW4" i="1"/>
  <c r="EW8" i="1"/>
  <c r="EW6" i="1"/>
  <c r="EW5" i="1"/>
  <c r="EW7" i="1"/>
  <c r="DY20" i="1"/>
  <c r="DY19" i="1"/>
  <c r="DY13" i="1"/>
  <c r="DY8" i="1"/>
  <c r="DY21" i="1"/>
  <c r="DY15" i="1"/>
  <c r="DY11" i="1"/>
  <c r="DY2" i="1"/>
  <c r="DY14" i="1"/>
  <c r="DY25" i="1"/>
  <c r="DY4" i="1"/>
  <c r="DY3" i="1"/>
  <c r="DY16" i="1"/>
  <c r="EX9" i="2" l="1"/>
  <c r="EX30" i="3" s="1"/>
  <c r="EW30" i="3"/>
  <c r="EX5" i="2"/>
  <c r="EX26" i="3" s="1"/>
  <c r="EW26" i="3"/>
  <c r="EX3" i="2"/>
  <c r="EX24" i="3" s="1"/>
  <c r="EW24" i="3"/>
  <c r="EX7" i="2"/>
  <c r="EX28" i="3" s="1"/>
  <c r="EW28" i="3"/>
  <c r="EX6" i="2"/>
  <c r="EX27" i="3" s="1"/>
  <c r="EW27" i="3"/>
  <c r="EX8" i="2"/>
  <c r="EX29" i="3" s="1"/>
  <c r="EW29" i="3"/>
  <c r="EX4" i="2"/>
  <c r="EX25" i="3" s="1"/>
  <c r="EW25" i="3"/>
  <c r="EX2" i="2"/>
  <c r="EX23" i="3" s="1"/>
  <c r="EW23" i="3"/>
  <c r="EX5" i="1"/>
  <c r="EX16" i="3" s="1"/>
  <c r="EW16" i="3"/>
  <c r="EX6" i="1"/>
  <c r="EX17" i="3" s="1"/>
  <c r="EW17" i="3"/>
  <c r="EX7" i="1"/>
  <c r="EX18" i="3" s="1"/>
  <c r="EW18" i="3"/>
  <c r="EX8" i="1"/>
  <c r="EX19" i="3" s="1"/>
  <c r="EW19" i="3"/>
  <c r="EX4" i="1"/>
  <c r="EX15" i="3" s="1"/>
  <c r="EW15" i="3"/>
  <c r="EX14" i="3"/>
  <c r="EW14" i="3"/>
  <c r="EX9" i="1"/>
  <c r="EX20" i="3" s="1"/>
  <c r="EW20" i="3"/>
  <c r="EX13" i="3"/>
  <c r="EW13" i="3"/>
</calcChain>
</file>

<file path=xl/sharedStrings.xml><?xml version="1.0" encoding="utf-8"?>
<sst xmlns="http://schemas.openxmlformats.org/spreadsheetml/2006/main" count="527" uniqueCount="58">
  <si>
    <t>Time</t>
  </si>
  <si>
    <t>AUDUSD</t>
  </si>
  <si>
    <t>AUDNZD</t>
  </si>
  <si>
    <t>AUDJPY</t>
  </si>
  <si>
    <t>AUDCHF</t>
  </si>
  <si>
    <t>AUDCAD</t>
  </si>
  <si>
    <t>EURUSD</t>
  </si>
  <si>
    <t>EURCAD</t>
  </si>
  <si>
    <t>EURGBP</t>
  </si>
  <si>
    <t>EURCHF</t>
  </si>
  <si>
    <t>EURJPY</t>
  </si>
  <si>
    <t>EURAUD</t>
  </si>
  <si>
    <t>EURNZD</t>
  </si>
  <si>
    <t>GBPUSD</t>
  </si>
  <si>
    <t>GBPAUD</t>
  </si>
  <si>
    <t>GBPNZD</t>
  </si>
  <si>
    <t>GBPCAD</t>
  </si>
  <si>
    <t>GBPCHF</t>
  </si>
  <si>
    <t>GBPJPY</t>
  </si>
  <si>
    <t>NZDJPY</t>
  </si>
  <si>
    <t>NZDCHF</t>
  </si>
  <si>
    <t>NZDUSD</t>
  </si>
  <si>
    <t>NZDCAD</t>
  </si>
  <si>
    <t>CADJPY</t>
  </si>
  <si>
    <t>CADCHF</t>
  </si>
  <si>
    <t>CHFJPY</t>
  </si>
  <si>
    <t>USDCAD</t>
  </si>
  <si>
    <t>USDCHF</t>
  </si>
  <si>
    <t>USDJPY</t>
  </si>
  <si>
    <t>ID</t>
  </si>
  <si>
    <t>EUR</t>
  </si>
  <si>
    <t>USD</t>
  </si>
  <si>
    <t>CAD</t>
  </si>
  <si>
    <t>CHF</t>
  </si>
  <si>
    <t>GBP</t>
  </si>
  <si>
    <t>AUD</t>
  </si>
  <si>
    <t>NZD</t>
  </si>
  <si>
    <t>JPY</t>
  </si>
  <si>
    <t>USDGBP</t>
  </si>
  <si>
    <t>USDAUD</t>
  </si>
  <si>
    <t>USDNZD</t>
  </si>
  <si>
    <t>UE</t>
  </si>
  <si>
    <t>EU</t>
  </si>
  <si>
    <t>Portfolio Performance</t>
  </si>
  <si>
    <t>Portfolio</t>
  </si>
  <si>
    <t xml:space="preserve">GBP </t>
  </si>
  <si>
    <t>DD</t>
  </si>
  <si>
    <t>Market performance</t>
  </si>
  <si>
    <t>Buy</t>
  </si>
  <si>
    <t>Sell</t>
  </si>
  <si>
    <t>LAST PRICE</t>
  </si>
  <si>
    <t>previous</t>
  </si>
  <si>
    <t>Market performance H1</t>
  </si>
  <si>
    <t>Market performance H4</t>
  </si>
  <si>
    <t>Market performance D1</t>
  </si>
  <si>
    <t>EU-H4</t>
  </si>
  <si>
    <t>EU-D1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</si>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</sst>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00"/>
    <numFmt numFmtId="166" formatCode="0.000000"/>
    <numFmt numFmtId="167" formatCode="0.0"/>
  </numFmts>
  <fonts count="12" x14ac:knownFonts="1"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/>
        <bgColor theme="9"/>
      </patternFill>
    </fill>
    <fill>
      <patternFill patternType="solid">
        <fgColor theme="5"/>
        <bgColor theme="5"/>
      </patternFill>
    </fill>
    <fill>
      <patternFill patternType="solid">
        <fgColor theme="8"/>
        <bgColor theme="8"/>
      </patternFill>
    </fill>
  </fills>
  <borders count="16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4" fillId="3" borderId="0" xfId="0" applyFont="1" applyFill="1" applyAlignment="1">
      <alignment vertical="center"/>
    </xf>
    <xf numFmtId="0" fontId="5" fillId="3" borderId="3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6" fillId="4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22" fontId="0" fillId="5" borderId="0" xfId="0" applyNumberFormat="1" applyFill="1"/>
    <xf numFmtId="0" fontId="8" fillId="0" borderId="6" xfId="0" applyFont="1" applyBorder="1"/>
    <xf numFmtId="164" fontId="6" fillId="6" borderId="4" xfId="0" applyNumberFormat="1" applyFont="1" applyFill="1" applyBorder="1"/>
    <xf numFmtId="164" fontId="6" fillId="7" borderId="4" xfId="0" applyNumberFormat="1" applyFont="1" applyFill="1" applyBorder="1"/>
    <xf numFmtId="164" fontId="6" fillId="8" borderId="6" xfId="0" applyNumberFormat="1" applyFont="1" applyFill="1" applyBorder="1"/>
    <xf numFmtId="0" fontId="6" fillId="9" borderId="6" xfId="0" applyFont="1" applyFill="1" applyBorder="1"/>
    <xf numFmtId="164" fontId="6" fillId="9" borderId="6" xfId="0" applyNumberFormat="1" applyFont="1" applyFill="1" applyBorder="1"/>
    <xf numFmtId="164" fontId="0" fillId="10" borderId="0" xfId="0" applyNumberFormat="1" applyFill="1"/>
    <xf numFmtId="166" fontId="0" fillId="0" borderId="0" xfId="0" applyNumberFormat="1"/>
    <xf numFmtId="0" fontId="8" fillId="0" borderId="0" xfId="0" applyFont="1"/>
    <xf numFmtId="164" fontId="6" fillId="11" borderId="0" xfId="0" applyNumberFormat="1" applyFont="1" applyFill="1"/>
    <xf numFmtId="164" fontId="6" fillId="12" borderId="0" xfId="0" applyNumberFormat="1" applyFont="1" applyFill="1"/>
    <xf numFmtId="164" fontId="6" fillId="13" borderId="0" xfId="0" applyNumberFormat="1" applyFont="1" applyFill="1"/>
    <xf numFmtId="0" fontId="6" fillId="14" borderId="0" xfId="0" applyFont="1" applyFill="1"/>
    <xf numFmtId="164" fontId="6" fillId="14" borderId="0" xfId="0" applyNumberFormat="1" applyFont="1" applyFill="1"/>
    <xf numFmtId="164" fontId="6" fillId="6" borderId="0" xfId="0" applyNumberFormat="1" applyFont="1" applyFill="1"/>
    <xf numFmtId="164" fontId="6" fillId="7" borderId="0" xfId="0" applyNumberFormat="1" applyFont="1" applyFill="1"/>
    <xf numFmtId="164" fontId="6" fillId="8" borderId="0" xfId="0" applyNumberFormat="1" applyFont="1" applyFill="1"/>
    <xf numFmtId="0" fontId="6" fillId="9" borderId="0" xfId="0" applyFont="1" applyFill="1"/>
    <xf numFmtId="164" fontId="6" fillId="9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9" fillId="4" borderId="0" xfId="0" applyFont="1" applyFill="1"/>
    <xf numFmtId="2" fontId="10" fillId="0" borderId="0" xfId="0" applyNumberFormat="1" applyFont="1"/>
    <xf numFmtId="0" fontId="10" fillId="0" borderId="0" xfId="0" applyFont="1"/>
    <xf numFmtId="0" fontId="11" fillId="4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6" fillId="9" borderId="6" xfId="0" applyFont="1" applyFill="1" applyBorder="1" applyAlignment="1">
      <alignment horizontal="center"/>
    </xf>
    <xf numFmtId="164" fontId="6" fillId="9" borderId="6" xfId="0" applyNumberFormat="1" applyFont="1" applyFill="1" applyBorder="1" applyAlignment="1">
      <alignment horizontal="center"/>
    </xf>
    <xf numFmtId="0" fontId="6" fillId="14" borderId="0" xfId="0" applyFont="1" applyFill="1" applyAlignment="1">
      <alignment horizontal="center"/>
    </xf>
    <xf numFmtId="164" fontId="6" fillId="14" borderId="0" xfId="0" applyNumberFormat="1" applyFont="1" applyFill="1" applyAlignment="1">
      <alignment horizontal="center"/>
    </xf>
    <xf numFmtId="0" fontId="6" fillId="9" borderId="0" xfId="0" applyFont="1" applyFill="1" applyAlignment="1">
      <alignment horizontal="center"/>
    </xf>
    <xf numFmtId="164" fontId="6" fillId="9" borderId="0" xfId="0" applyNumberFormat="1" applyFont="1" applyFill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/>
    </xf>
    <xf numFmtId="164" fontId="6" fillId="9" borderId="7" xfId="0" applyNumberFormat="1" applyFont="1" applyFill="1" applyBorder="1" applyAlignment="1">
      <alignment horizontal="center"/>
    </xf>
    <xf numFmtId="0" fontId="6" fillId="14" borderId="7" xfId="0" applyFont="1" applyFill="1" applyBorder="1" applyAlignment="1">
      <alignment horizontal="center"/>
    </xf>
    <xf numFmtId="164" fontId="6" fillId="14" borderId="7" xfId="0" applyNumberFormat="1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164" fontId="6" fillId="8" borderId="7" xfId="0" applyNumberFormat="1" applyFont="1" applyFill="1" applyBorder="1" applyAlignment="1">
      <alignment horizontal="center"/>
    </xf>
    <xf numFmtId="164" fontId="6" fillId="13" borderId="7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7" fontId="0" fillId="0" borderId="13" xfId="0" applyNumberFormat="1" applyBorder="1" applyAlignment="1">
      <alignment horizontal="center"/>
    </xf>
    <xf numFmtId="167" fontId="0" fillId="0" borderId="14" xfId="0" applyNumberFormat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0" fontId="5" fillId="3" borderId="7" xfId="0" applyFont="1" applyFill="1" applyBorder="1" applyAlignment="1">
      <alignment horizontal="center" vertical="center" wrapText="1"/>
    </xf>
    <xf numFmtId="164" fontId="6" fillId="6" borderId="7" xfId="0" applyNumberFormat="1" applyFont="1" applyFill="1" applyBorder="1" applyAlignment="1">
      <alignment horizontal="center"/>
    </xf>
    <xf numFmtId="164" fontId="6" fillId="11" borderId="7" xfId="0" applyNumberFormat="1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/>
    </xf>
    <xf numFmtId="164" fontId="6" fillId="12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208"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8EA9DB"/>
        </top>
      </border>
    </dxf>
    <dxf>
      <alignment horizontal="center" textRotation="0" indent="0" justifyLastLine="0" shrinkToFit="0" readingOrder="0"/>
    </dxf>
    <dxf>
      <border outline="0">
        <top style="thin">
          <color rgb="FF8EA9DB"/>
        </top>
        <bottom style="thin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textRotation="0" indent="0" justifyLastLine="0" shrinkToFit="0" readingOrder="0"/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alignment horizontal="center" textRotation="0" indent="0" justifyLastLine="0" shrinkToFit="0" readingOrder="0"/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8EA9DB"/>
        </top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0.84135000000000004</v>
        <stp/>
        <stp>21422436</stp>
        <stp>@bh,EURGBP,d1,close,18</stp>
        <tr r="J20" s="2"/>
      </tp>
      <tp>
        <v>0.84365999999999997</v>
        <stp/>
        <stp>21422436</stp>
        <stp>@bh,EURGBP,d1,close,19</stp>
        <tr r="J21" s="2"/>
      </tp>
      <tp>
        <v>0.85638999999999998</v>
        <stp/>
        <stp>21422436</stp>
        <stp>@bh,EURGBP,d1,close,10</stp>
        <tr r="J12" s="2"/>
      </tp>
      <tp>
        <v>0.86046</v>
        <stp/>
        <stp>21422436</stp>
        <stp>@bh,EURGBP,d1,close,11</stp>
        <tr r="J13" s="2"/>
      </tp>
      <tp>
        <v>0.86121999999999999</v>
        <stp/>
        <stp>21422436</stp>
        <stp>@bh,EURGBP,d1,close,12</stp>
        <tr r="J14" s="2"/>
      </tp>
      <tp>
        <v>0.85707999999999995</v>
        <stp/>
        <stp>21422436</stp>
        <stp>@bh,EURGBP,d1,close,13</stp>
        <tr r="J15" s="2"/>
      </tp>
      <tp>
        <v>0.85196000000000005</v>
        <stp/>
        <stp>21422436</stp>
        <stp>@bh,EURGBP,d1,close,14</stp>
        <tr r="J16" s="2"/>
      </tp>
      <tp>
        <v>0.84709999999999996</v>
        <stp/>
        <stp>21422436</stp>
        <stp>@bh,EURGBP,d1,close,15</stp>
        <tr r="J17" s="2"/>
      </tp>
      <tp>
        <v>0.84211000000000003</v>
        <stp/>
        <stp>21422436</stp>
        <stp>@bh,EURGBP,d1,close,16</stp>
        <tr r="J18" s="2"/>
      </tp>
      <tp>
        <v>0.84250999999999998</v>
        <stp/>
        <stp>21422436</stp>
        <stp>@bh,EURGBP,d1,close,17</stp>
        <tr r="J19" s="2"/>
      </tp>
      <tp>
        <v>0.84394999999999998</v>
        <stp/>
        <stp>21422436</stp>
        <stp>@bh,EURGBP,d1,close,20</stp>
        <tr r="J22" s="2"/>
      </tp>
      <tp>
        <v>0.83979999999999999</v>
        <stp/>
        <stp>21422436</stp>
        <stp>@bh,EURGBP,d1,close,21</stp>
        <tr r="J23" s="2"/>
      </tp>
      <tp>
        <v>0.84084000000000003</v>
        <stp/>
        <stp>21422436</stp>
        <stp>@bh,EURGBP,d1,close,22</stp>
        <tr r="J24" s="2"/>
      </tp>
      <tp>
        <v>0.84206000000000003</v>
        <stp/>
        <stp>21422436</stp>
        <stp>@bh,EURGBP,d1,close,23</stp>
        <tr r="J25" s="2"/>
      </tp>
      <tp>
        <v>0.84270999999999996</v>
        <stp/>
        <stp>21422436</stp>
        <stp>@bh,EURGBP,d1,close,24</stp>
        <tr r="J26" s="2"/>
      </tp>
      <tp>
        <v>0.84180999999999995</v>
        <stp/>
        <stp>21422436</stp>
        <stp>@bh,EURGBP,d1,close,25</stp>
        <tr r="J27" s="2"/>
      </tp>
      <tp>
        <v>0.84096000000000004</v>
        <stp/>
        <stp>21422436</stp>
        <stp>@bh,EURGBP,d1,close,26</stp>
        <tr r="J28" s="2"/>
      </tp>
      <tp>
        <v>0.84006999999999998</v>
        <stp/>
        <stp>21422436</stp>
        <stp>@bh,EURGBP,d1,close,27</stp>
        <tr r="J29" s="2"/>
      </tp>
      <tp>
        <v>148.95500000000001</v>
        <stp/>
        <stp>21422436</stp>
        <stp>@bh,USDJPY,h4,close,27</stp>
        <tr r="AD29" s="1"/>
      </tp>
      <tp>
        <v>148.86500000000001</v>
        <stp/>
        <stp>21422436</stp>
        <stp>@bh,USDJPY,h4,close,26</stp>
        <tr r="AD28" s="1"/>
      </tp>
      <tp>
        <v>148.71299999999999</v>
        <stp/>
        <stp>21422436</stp>
        <stp>@bh,USDJPY,h4,close,25</stp>
        <tr r="AD27" s="1"/>
      </tp>
      <tp>
        <v>147.68799999999999</v>
        <stp/>
        <stp>21422436</stp>
        <stp>@bh,USDJPY,h4,close,24</stp>
        <tr r="AD26" s="1"/>
      </tp>
      <tp>
        <v>148.00299999999999</v>
        <stp/>
        <stp>21422436</stp>
        <stp>@bh,USDJPY,h4,close,23</stp>
        <tr r="AD25" s="1"/>
      </tp>
      <tp>
        <v>147.59800000000001</v>
        <stp/>
        <stp>21422436</stp>
        <stp>@bh,USDJPY,h4,close,22</stp>
        <tr r="AD24" s="1"/>
      </tp>
      <tp>
        <v>147.78100000000001</v>
        <stp/>
        <stp>21422436</stp>
        <stp>@bh,USDJPY,h4,close,21</stp>
        <tr r="AD23" s="1"/>
      </tp>
      <tp>
        <v>146.19200000000001</v>
        <stp/>
        <stp>21422436</stp>
        <stp>@bh,USDJPY,h4,close,20</stp>
        <tr r="AD22" s="1"/>
      </tp>
      <tp>
        <v>146.5</v>
        <stp/>
        <stp>21422436</stp>
        <stp>@bh,USDJPY,h4,close,17</stp>
        <tr r="AD19" s="1"/>
      </tp>
      <tp>
        <v>146.602</v>
        <stp/>
        <stp>21422436</stp>
        <stp>@bh,USDJPY,h4,close,16</stp>
        <tr r="AD18" s="1"/>
      </tp>
      <tp>
        <v>146.25700000000001</v>
        <stp/>
        <stp>21422436</stp>
        <stp>@bh,USDJPY,h4,close,15</stp>
        <tr r="AD17" s="1"/>
      </tp>
      <tp>
        <v>146.93</v>
        <stp/>
        <stp>21422436</stp>
        <stp>@bh,USDJPY,h4,close,14</stp>
        <tr r="AD16" s="1"/>
      </tp>
      <tp>
        <v>146.52199999999999</v>
        <stp/>
        <stp>21422436</stp>
        <stp>@bh,USDJPY,h4,close,13</stp>
        <tr r="AD15" s="1"/>
      </tp>
      <tp>
        <v>146.17099999999999</v>
        <stp/>
        <stp>21422436</stp>
        <stp>@bh,USDJPY,h4,close,12</stp>
        <tr r="AD14" s="1"/>
      </tp>
      <tp>
        <v>145.39699999999999</v>
        <stp/>
        <stp>21422436</stp>
        <stp>@bh,USDJPY,h4,close,11</stp>
        <tr r="AD13" s="1"/>
      </tp>
      <tp>
        <v>145.262</v>
        <stp/>
        <stp>21422436</stp>
        <stp>@bh,USDJPY,h4,close,10</stp>
        <tr r="AD12" s="1"/>
      </tp>
      <tp>
        <v>146.08099999999999</v>
        <stp/>
        <stp>21422436</stp>
        <stp>@bh,USDJPY,h4,close,19</stp>
        <tr r="AD21" s="1"/>
      </tp>
      <tp>
        <v>146.21799999999999</v>
        <stp/>
        <stp>21422436</stp>
        <stp>@bh,USDJPY,h4,close,18</stp>
        <tr r="AD20" s="1"/>
      </tp>
      <tp>
        <v>146.11799999999999</v>
        <stp/>
        <stp>21422436</stp>
        <stp>@bh,USDJPY,h1,close,27</stp>
        <tr r="AD29" s="3"/>
      </tp>
      <tp>
        <v>146.17500000000001</v>
        <stp/>
        <stp>21422436</stp>
        <stp>@bh,USDJPY,h1,close,26</stp>
        <tr r="AD28" s="3"/>
      </tp>
      <tp>
        <v>146.06299999999999</v>
        <stp/>
        <stp>21422436</stp>
        <stp>@bh,USDJPY,h1,close,25</stp>
        <tr r="AD27" s="3"/>
      </tp>
      <tp>
        <v>145.77799999999999</v>
        <stp/>
        <stp>21422436</stp>
        <stp>@bh,USDJPY,h1,close,24</stp>
        <tr r="AD26" s="3"/>
      </tp>
      <tp>
        <v>145.745</v>
        <stp/>
        <stp>21422436</stp>
        <stp>@bh,USDJPY,h1,close,23</stp>
        <tr r="AD25" s="3"/>
      </tp>
      <tp>
        <v>145.64599999999999</v>
        <stp/>
        <stp>21422436</stp>
        <stp>@bh,USDJPY,h1,close,22</stp>
        <tr r="AD24" s="3"/>
      </tp>
      <tp>
        <v>145.19999999999999</v>
        <stp/>
        <stp>21422436</stp>
        <stp>@bh,USDJPY,h1,close,21</stp>
        <tr r="AD23" s="3"/>
      </tp>
      <tp>
        <v>145.19300000000001</v>
        <stp/>
        <stp>21422436</stp>
        <stp>@bh,USDJPY,h1,close,20</stp>
        <tr r="AD22" s="3"/>
      </tp>
      <tp>
        <v>145.012</v>
        <stp/>
        <stp>21422436</stp>
        <stp>@bh,USDJPY,h1,close,17</stp>
        <tr r="AD19" s="3"/>
      </tp>
      <tp>
        <v>145.27199999999999</v>
        <stp/>
        <stp>21422436</stp>
        <stp>@bh,USDJPY,h1,close,16</stp>
        <tr r="AD18" s="3"/>
      </tp>
      <tp>
        <v>145.16800000000001</v>
        <stp/>
        <stp>21422436</stp>
        <stp>@bh,USDJPY,h1,close,15</stp>
        <tr r="AD17" s="3"/>
      </tp>
      <tp>
        <v>144.893</v>
        <stp/>
        <stp>21422436</stp>
        <stp>@bh,USDJPY,h1,close,14</stp>
        <tr r="AD16" s="3"/>
      </tp>
      <tp>
        <v>145.125</v>
        <stp/>
        <stp>21422436</stp>
        <stp>@bh,USDJPY,h1,close,13</stp>
        <tr r="AD15" s="3"/>
      </tp>
      <tp>
        <v>145.334</v>
        <stp/>
        <stp>21422436</stp>
        <stp>@bh,USDJPY,h1,close,12</stp>
        <tr r="AD14" s="3"/>
      </tp>
      <tp>
        <v>145.61699999999999</v>
        <stp/>
        <stp>21422436</stp>
        <stp>@bh,USDJPY,h1,close,11</stp>
        <tr r="AD13" s="3"/>
      </tp>
      <tp>
        <v>145.446</v>
        <stp/>
        <stp>21422436</stp>
        <stp>@bh,USDJPY,h1,close,10</stp>
        <tr r="AD12" s="3"/>
      </tp>
      <tp>
        <v>145.07</v>
        <stp/>
        <stp>21422436</stp>
        <stp>@bh,USDJPY,h1,close,19</stp>
        <tr r="AD21" s="3"/>
      </tp>
      <tp>
        <v>144.74600000000001</v>
        <stp/>
        <stp>21422436</stp>
        <stp>@bh,USDJPY,h1,close,18</stp>
        <tr r="AD20" s="3"/>
      </tp>
      <tp>
        <v>88.804000000000002</v>
        <stp/>
        <stp>21422436</stp>
        <stp>@bh,NZDJPY,h4,close,18</stp>
        <tr r="U20" s="1"/>
      </tp>
      <tp>
        <v>88.695999999999998</v>
        <stp/>
        <stp>21422436</stp>
        <stp>@bh,NZDJPY,h4,close,19</stp>
        <tr r="U21" s="1"/>
      </tp>
      <tp>
        <v>89.62</v>
        <stp/>
        <stp>21422436</stp>
        <stp>@bh,NZDJPY,h4,close,16</stp>
        <tr r="U18" s="1"/>
      </tp>
      <tp>
        <v>89.274000000000001</v>
        <stp/>
        <stp>21422436</stp>
        <stp>@bh,NZDJPY,h4,close,17</stp>
        <tr r="U19" s="1"/>
      </tp>
      <tp>
        <v>89.899000000000001</v>
        <stp/>
        <stp>21422436</stp>
        <stp>@bh,NZDJPY,h4,close,14</stp>
        <tr r="U16" s="1"/>
      </tp>
      <tp>
        <v>89.462000000000003</v>
        <stp/>
        <stp>21422436</stp>
        <stp>@bh,NZDJPY,h4,close,15</stp>
        <tr r="U17" s="1"/>
      </tp>
      <tp>
        <v>89.811999999999998</v>
        <stp/>
        <stp>21422436</stp>
        <stp>@bh,NZDJPY,h4,close,12</stp>
        <tr r="U14" s="1"/>
      </tp>
      <tp>
        <v>89.906000000000006</v>
        <stp/>
        <stp>21422436</stp>
        <stp>@bh,NZDJPY,h4,close,13</stp>
        <tr r="U15" s="1"/>
      </tp>
      <tp>
        <v>89.375</v>
        <stp/>
        <stp>21422436</stp>
        <stp>@bh,NZDJPY,h4,close,10</stp>
        <tr r="U12" s="1"/>
      </tp>
      <tp>
        <v>89.34</v>
        <stp/>
        <stp>21422436</stp>
        <stp>@bh,NZDJPY,h4,close,11</stp>
        <tr r="U13" s="1"/>
      </tp>
      <tp>
        <v>89.534999999999997</v>
        <stp/>
        <stp>21422436</stp>
        <stp>@bh,NZDJPY,h4,close,26</stp>
        <tr r="U28" s="1"/>
      </tp>
      <tp>
        <v>89.191999999999993</v>
        <stp/>
        <stp>21422436</stp>
        <stp>@bh,NZDJPY,h4,close,27</stp>
        <tr r="U29" s="1"/>
      </tp>
      <tp>
        <v>88.957999999999998</v>
        <stp/>
        <stp>21422436</stp>
        <stp>@bh,NZDJPY,h4,close,24</stp>
        <tr r="U26" s="1"/>
      </tp>
      <tp>
        <v>89.501999999999995</v>
        <stp/>
        <stp>21422436</stp>
        <stp>@bh,NZDJPY,h4,close,25</stp>
        <tr r="U27" s="1"/>
      </tp>
      <tp>
        <v>89.352999999999994</v>
        <stp/>
        <stp>21422436</stp>
        <stp>@bh,NZDJPY,h4,close,22</stp>
        <tr r="U24" s="1"/>
      </tp>
      <tp>
        <v>89.406999999999996</v>
        <stp/>
        <stp>21422436</stp>
        <stp>@bh,NZDJPY,h4,close,23</stp>
        <tr r="U25" s="1"/>
      </tp>
      <tp>
        <v>88.888999999999996</v>
        <stp/>
        <stp>21422436</stp>
        <stp>@bh,NZDJPY,h4,close,20</stp>
        <tr r="U22" s="1"/>
      </tp>
      <tp>
        <v>89.488</v>
        <stp/>
        <stp>21422436</stp>
        <stp>@bh,NZDJPY,h4,close,21</stp>
        <tr r="U23" s="1"/>
      </tp>
      <tp>
        <v>89.281999999999996</v>
        <stp/>
        <stp>21422436</stp>
        <stp>@bh,NZDJPY,h1,close,18</stp>
        <tr r="U20" s="3"/>
      </tp>
      <tp>
        <v>89.42</v>
        <stp/>
        <stp>21422436</stp>
        <stp>@bh,NZDJPY,h1,close,19</stp>
        <tr r="U21" s="3"/>
      </tp>
      <tp>
        <v>89.406000000000006</v>
        <stp/>
        <stp>21422436</stp>
        <stp>@bh,NZDJPY,h1,close,16</stp>
        <tr r="U18" s="3"/>
      </tp>
      <tp>
        <v>89.274000000000001</v>
        <stp/>
        <stp>21422436</stp>
        <stp>@bh,NZDJPY,h1,close,17</stp>
        <tr r="U19" s="3"/>
      </tp>
      <tp>
        <v>89.284999999999997</v>
        <stp/>
        <stp>21422436</stp>
        <stp>@bh,NZDJPY,h1,close,14</stp>
        <tr r="U16" s="3"/>
      </tp>
      <tp>
        <v>89.341999999999999</v>
        <stp/>
        <stp>21422436</stp>
        <stp>@bh,NZDJPY,h1,close,15</stp>
        <tr r="U17" s="3"/>
      </tp>
      <tp>
        <v>89.444999999999993</v>
        <stp/>
        <stp>21422436</stp>
        <stp>@bh,NZDJPY,h1,close,12</stp>
        <tr r="U14" s="3"/>
      </tp>
      <tp>
        <v>89.424000000000007</v>
        <stp/>
        <stp>21422436</stp>
        <stp>@bh,NZDJPY,h1,close,13</stp>
        <tr r="U15" s="3"/>
      </tp>
      <tp>
        <v>89.424999999999997</v>
        <stp/>
        <stp>21422436</stp>
        <stp>@bh,NZDJPY,h1,close,10</stp>
        <tr r="U12" s="3"/>
      </tp>
      <tp>
        <v>89.55</v>
        <stp/>
        <stp>21422436</stp>
        <stp>@bh,NZDJPY,h1,close,11</stp>
        <tr r="U13" s="3"/>
      </tp>
      <tp>
        <v>89.784999999999997</v>
        <stp/>
        <stp>21422436</stp>
        <stp>@bh,NZDJPY,h1,close,26</stp>
        <tr r="U28" s="3"/>
      </tp>
      <tp>
        <v>89.706000000000003</v>
        <stp/>
        <stp>21422436</stp>
        <stp>@bh,NZDJPY,h1,close,27</stp>
        <tr r="U29" s="3"/>
      </tp>
      <tp>
        <v>89.591999999999999</v>
        <stp/>
        <stp>21422436</stp>
        <stp>@bh,NZDJPY,h1,close,24</stp>
        <tr r="U26" s="3"/>
      </tp>
      <tp>
        <v>89.691000000000003</v>
        <stp/>
        <stp>21422436</stp>
        <stp>@bh,NZDJPY,h1,close,25</stp>
        <tr r="U27" s="3"/>
      </tp>
      <tp>
        <v>89.534999999999997</v>
        <stp/>
        <stp>21422436</stp>
        <stp>@bh,NZDJPY,h1,close,22</stp>
        <tr r="U24" s="3"/>
      </tp>
      <tp>
        <v>89.572999999999993</v>
        <stp/>
        <stp>21422436</stp>
        <stp>@bh,NZDJPY,h1,close,23</stp>
        <tr r="U25" s="3"/>
      </tp>
      <tp>
        <v>89.376999999999995</v>
        <stp/>
        <stp>21422436</stp>
        <stp>@bh,NZDJPY,h1,close,20</stp>
        <tr r="U22" s="3"/>
      </tp>
      <tp>
        <v>89.45</v>
        <stp/>
        <stp>21422436</stp>
        <stp>@bh,NZDJPY,h1,close,21</stp>
        <tr r="U23" s="3"/>
      </tp>
      <tp>
        <v>106.78100000000001</v>
        <stp/>
        <stp>21422436</stp>
        <stp>@bh,CADJPY,h1,close,15</stp>
        <tr r="Y17" s="3"/>
      </tp>
      <tp>
        <v>106.65600000000001</v>
        <stp/>
        <stp>21422436</stp>
        <stp>@bh,CADJPY,h1,close,14</stp>
        <tr r="Y16" s="3"/>
      </tp>
      <tp>
        <v>106.65600000000001</v>
        <stp/>
        <stp>21422436</stp>
        <stp>@bh,CADJPY,h1,close,17</stp>
        <tr r="Y19" s="3"/>
      </tp>
      <tp>
        <v>106.866</v>
        <stp/>
        <stp>21422436</stp>
        <stp>@bh,CADJPY,h1,close,16</stp>
        <tr r="Y18" s="3"/>
      </tp>
      <tp>
        <v>107.15600000000001</v>
        <stp/>
        <stp>21422436</stp>
        <stp>@bh,CADJPY,h1,close,11</stp>
        <tr r="Y13" s="3"/>
      </tp>
      <tp>
        <v>170.19900000000001</v>
        <stp/>
        <stp>21422436</stp>
        <stp>@bh,CHFJPY,h1,close,18</stp>
        <tr r="AA20" s="3"/>
      </tp>
      <tp>
        <v>107.051</v>
        <stp/>
        <stp>21422436</stp>
        <stp>@bh,CADJPY,h1,close,10</stp>
        <tr r="Y12" s="3"/>
      </tp>
      <tp>
        <v>170.5</v>
        <stp/>
        <stp>21422436</stp>
        <stp>@bh,CHFJPY,h1,close,19</stp>
        <tr r="AA21" s="3"/>
      </tp>
      <tp>
        <v>106.84099999999999</v>
        <stp/>
        <stp>21422436</stp>
        <stp>@bh,CADJPY,h1,close,13</stp>
        <tr r="Y15" s="3"/>
      </tp>
      <tp>
        <v>106.973</v>
        <stp/>
        <stp>21422436</stp>
        <stp>@bh,CADJPY,h1,close,12</stp>
        <tr r="Y14" s="3"/>
      </tp>
      <tp>
        <v>170.28800000000001</v>
        <stp/>
        <stp>21422436</stp>
        <stp>@bh,CHFJPY,h1,close,14</stp>
        <tr r="AA16" s="3"/>
      </tp>
      <tp>
        <v>170.37100000000001</v>
        <stp/>
        <stp>21422436</stp>
        <stp>@bh,CHFJPY,h1,close,15</stp>
        <tr r="AA17" s="3"/>
      </tp>
      <tp>
        <v>170.56399999999999</v>
        <stp/>
        <stp>21422436</stp>
        <stp>@bh,CHFJPY,h1,close,16</stp>
        <tr r="AA18" s="3"/>
      </tp>
      <tp>
        <v>170.30500000000001</v>
        <stp/>
        <stp>21422436</stp>
        <stp>@bh,CHFJPY,h1,close,17</stp>
        <tr r="AA19" s="3"/>
      </tp>
      <tp>
        <v>106.748</v>
        <stp/>
        <stp>21422436</stp>
        <stp>@bh,CADJPY,h1,close,19</stp>
        <tr r="Y21" s="3"/>
      </tp>
      <tp>
        <v>170.71100000000001</v>
        <stp/>
        <stp>21422436</stp>
        <stp>@bh,CHFJPY,h1,close,10</stp>
        <tr r="AA12" s="3"/>
      </tp>
      <tp>
        <v>106.559</v>
        <stp/>
        <stp>21422436</stp>
        <stp>@bh,CADJPY,h1,close,18</stp>
        <tr r="Y20" s="3"/>
      </tp>
      <tp>
        <v>170.85300000000001</v>
        <stp/>
        <stp>21422436</stp>
        <stp>@bh,CHFJPY,h1,close,11</stp>
        <tr r="AA13" s="3"/>
      </tp>
      <tp>
        <v>170.61600000000001</v>
        <stp/>
        <stp>21422436</stp>
        <stp>@bh,CHFJPY,h1,close,12</stp>
        <tr r="AA14" s="3"/>
      </tp>
      <tp>
        <v>170.50200000000001</v>
        <stp/>
        <stp>21422436</stp>
        <stp>@bh,CHFJPY,h1,close,13</stp>
        <tr r="AA15" s="3"/>
      </tp>
      <tp>
        <v>163.023</v>
        <stp/>
        <stp>21422436</stp>
        <stp>@bh,EURJPY,h4,close,21</stp>
        <tr r="L23" s="1"/>
      </tp>
      <tp>
        <v>161.38800000000001</v>
        <stp/>
        <stp>21422436</stp>
        <stp>@bh,EURJPY,h4,close,20</stp>
        <tr r="L22" s="1"/>
      </tp>
      <tp>
        <v>162.85599999999999</v>
        <stp/>
        <stp>21422436</stp>
        <stp>@bh,EURJPY,h4,close,23</stp>
        <tr r="L25" s="1"/>
      </tp>
      <tp>
        <v>162.77500000000001</v>
        <stp/>
        <stp>21422436</stp>
        <stp>@bh,EURJPY,h4,close,22</stp>
        <tr r="L24" s="1"/>
      </tp>
      <tp>
        <v>163.29900000000001</v>
        <stp/>
        <stp>21422436</stp>
        <stp>@bh,EURJPY,h4,close,25</stp>
        <tr r="L27" s="1"/>
      </tp>
      <tp>
        <v>162.364</v>
        <stp/>
        <stp>21422436</stp>
        <stp>@bh,EURJPY,h4,close,24</stp>
        <tr r="L26" s="1"/>
      </tp>
      <tp>
        <v>163.49199999999999</v>
        <stp/>
        <stp>21422436</stp>
        <stp>@bh,EURJPY,h4,close,27</stp>
        <tr r="L29" s="1"/>
      </tp>
      <tp>
        <v>163.483</v>
        <stp/>
        <stp>21422436</stp>
        <stp>@bh,EURJPY,h4,close,26</stp>
        <tr r="L28" s="1"/>
      </tp>
      <tp>
        <v>190.44499999999999</v>
        <stp/>
        <stp>21422436</stp>
        <stp>@bh,GBPJPY,h4,close,16</stp>
        <tr r="T18" s="1"/>
      </tp>
      <tp>
        <v>190.18299999999999</v>
        <stp/>
        <stp>21422436</stp>
        <stp>@bh,GBPJPY,h4,close,17</stp>
        <tr r="T19" s="1"/>
      </tp>
      <tp>
        <v>190.71100000000001</v>
        <stp/>
        <stp>21422436</stp>
        <stp>@bh,GBPJPY,h4,close,14</stp>
        <tr r="T16" s="1"/>
      </tp>
      <tp>
        <v>189.91800000000001</v>
        <stp/>
        <stp>21422436</stp>
        <stp>@bh,GBPJPY,h4,close,15</stp>
        <tr r="T17" s="1"/>
      </tp>
      <tp>
        <v>190.41499999999999</v>
        <stp/>
        <stp>21422436</stp>
        <stp>@bh,GBPJPY,h4,close,12</stp>
        <tr r="T14" s="1"/>
      </tp>
      <tp>
        <v>190.489</v>
        <stp/>
        <stp>21422436</stp>
        <stp>@bh,GBPJPY,h4,close,13</stp>
        <tr r="T15" s="1"/>
      </tp>
      <tp>
        <v>189.32900000000001</v>
        <stp/>
        <stp>21422436</stp>
        <stp>@bh,GBPJPY,h4,close,10</stp>
        <tr r="T12" s="1"/>
      </tp>
      <tp>
        <v>189.376</v>
        <stp/>
        <stp>21422436</stp>
        <stp>@bh,GBPJPY,h4,close,11</stp>
        <tr r="T13" s="1"/>
      </tp>
      <tp>
        <v>189.36199999999999</v>
        <stp/>
        <stp>21422436</stp>
        <stp>@bh,GBPJPY,h4,close,18</stp>
        <tr r="T20" s="1"/>
      </tp>
      <tp>
        <v>189.494</v>
        <stp/>
        <stp>21422436</stp>
        <stp>@bh,GBPJPY,h4,close,19</stp>
        <tr r="T21" s="1"/>
      </tp>
      <tp>
        <v>98.003</v>
        <stp/>
        <stp>21422436</stp>
        <stp>@bh,AUDJPY,h1,close,21</stp>
        <tr r="E23" s="3"/>
      </tp>
      <tp>
        <v>97.882000000000005</v>
        <stp/>
        <stp>21422436</stp>
        <stp>@bh,AUDJPY,h1,close,20</stp>
        <tr r="E22" s="3"/>
      </tp>
      <tp>
        <v>98.251999999999995</v>
        <stp/>
        <stp>21422436</stp>
        <stp>@bh,AUDJPY,h1,close,23</stp>
        <tr r="E25" s="3"/>
      </tp>
      <tp>
        <v>98.143000000000001</v>
        <stp/>
        <stp>21422436</stp>
        <stp>@bh,AUDJPY,h1,close,22</stp>
        <tr r="E24" s="3"/>
      </tp>
      <tp>
        <v>98.426000000000002</v>
        <stp/>
        <stp>21422436</stp>
        <stp>@bh,AUDJPY,h1,close,25</stp>
        <tr r="E27" s="3"/>
      </tp>
      <tp>
        <v>98.298000000000002</v>
        <stp/>
        <stp>21422436</stp>
        <stp>@bh,AUDJPY,h1,close,24</stp>
        <tr r="E26" s="3"/>
      </tp>
      <tp>
        <v>98.450999999999993</v>
        <stp/>
        <stp>21422436</stp>
        <stp>@bh,AUDJPY,h1,close,27</stp>
        <tr r="E29" s="3"/>
      </tp>
      <tp>
        <v>98.552999999999997</v>
        <stp/>
        <stp>21422436</stp>
        <stp>@bh,AUDJPY,h1,close,26</stp>
        <tr r="E28" s="3"/>
      </tp>
      <tp>
        <v>191.63</v>
        <stp/>
        <stp>21422436</stp>
        <stp>@bh,GBPJPY,h4,close,26</stp>
        <tr r="T28" s="1"/>
      </tp>
      <tp>
        <v>191.602</v>
        <stp/>
        <stp>21422436</stp>
        <stp>@bh,GBPJPY,h4,close,27</stp>
        <tr r="T29" s="1"/>
      </tp>
      <tp>
        <v>190.47499999999999</v>
        <stp/>
        <stp>21422436</stp>
        <stp>@bh,GBPJPY,h4,close,24</stp>
        <tr r="T26" s="1"/>
      </tp>
      <tp>
        <v>191.62200000000001</v>
        <stp/>
        <stp>21422436</stp>
        <stp>@bh,GBPJPY,h4,close,25</stp>
        <tr r="T27" s="1"/>
      </tp>
      <tp>
        <v>191.05199999999999</v>
        <stp/>
        <stp>21422436</stp>
        <stp>@bh,GBPJPY,h4,close,22</stp>
        <tr r="T24" s="1"/>
      </tp>
      <tp>
        <v>191.23</v>
        <stp/>
        <stp>21422436</stp>
        <stp>@bh,GBPJPY,h4,close,23</stp>
        <tr r="T25" s="1"/>
      </tp>
      <tp>
        <v>189.36500000000001</v>
        <stp/>
        <stp>21422436</stp>
        <stp>@bh,GBPJPY,h4,close,20</stp>
        <tr r="T22" s="1"/>
      </tp>
      <tp>
        <v>191.32900000000001</v>
        <stp/>
        <stp>21422436</stp>
        <stp>@bh,GBPJPY,h4,close,21</stp>
        <tr r="T23" s="1"/>
      </tp>
      <tp>
        <v>98.12</v>
        <stp/>
        <stp>21422436</stp>
        <stp>@bh,AUDJPY,h1,close,11</stp>
        <tr r="E13" s="3"/>
      </tp>
      <tp>
        <v>97.894999999999996</v>
        <stp/>
        <stp>21422436</stp>
        <stp>@bh,AUDJPY,h1,close,10</stp>
        <tr r="E12" s="3"/>
      </tp>
      <tp>
        <v>97.950999999999993</v>
        <stp/>
        <stp>21422436</stp>
        <stp>@bh,AUDJPY,h1,close,13</stp>
        <tr r="E15" s="3"/>
      </tp>
      <tp>
        <v>98.006</v>
        <stp/>
        <stp>21422436</stp>
        <stp>@bh,AUDJPY,h1,close,12</stp>
        <tr r="E14" s="3"/>
      </tp>
      <tp>
        <v>97.870999999999995</v>
        <stp/>
        <stp>21422436</stp>
        <stp>@bh,AUDJPY,h1,close,15</stp>
        <tr r="E17" s="3"/>
      </tp>
      <tp>
        <v>97.81</v>
        <stp/>
        <stp>21422436</stp>
        <stp>@bh,AUDJPY,h1,close,14</stp>
        <tr r="E16" s="3"/>
      </tp>
      <tp>
        <v>97.772000000000006</v>
        <stp/>
        <stp>21422436</stp>
        <stp>@bh,AUDJPY,h1,close,17</stp>
        <tr r="E19" s="3"/>
      </tp>
      <tp>
        <v>97.972999999999999</v>
        <stp/>
        <stp>21422436</stp>
        <stp>@bh,AUDJPY,h1,close,16</stp>
        <tr r="E18" s="3"/>
      </tp>
      <tp>
        <v>97.855000000000004</v>
        <stp/>
        <stp>21422436</stp>
        <stp>@bh,AUDJPY,h1,close,19</stp>
        <tr r="E21" s="3"/>
      </tp>
      <tp>
        <v>97.730999999999995</v>
        <stp/>
        <stp>21422436</stp>
        <stp>@bh,AUDJPY,h1,close,18</stp>
        <tr r="E20" s="3"/>
      </tp>
      <tp>
        <v>107.402</v>
        <stp/>
        <stp>21422436</stp>
        <stp>@bh,CADJPY,h1,close,25</stp>
        <tr r="Y27" s="3"/>
      </tp>
      <tp>
        <v>107.203</v>
        <stp/>
        <stp>21422436</stp>
        <stp>@bh,CADJPY,h1,close,24</stp>
        <tr r="Y26" s="3"/>
      </tp>
      <tp>
        <v>107.373</v>
        <stp/>
        <stp>21422436</stp>
        <stp>@bh,CADJPY,h1,close,27</stp>
        <tr r="Y29" s="3"/>
      </tp>
      <tp>
        <v>107.483</v>
        <stp/>
        <stp>21422436</stp>
        <stp>@bh,CADJPY,h1,close,26</stp>
        <tr r="Y28" s="3"/>
      </tp>
      <tp>
        <v>106.899</v>
        <stp/>
        <stp>21422436</stp>
        <stp>@bh,CADJPY,h1,close,21</stp>
        <tr r="Y23" s="3"/>
      </tp>
      <tp>
        <v>106.839</v>
        <stp/>
        <stp>21422436</stp>
        <stp>@bh,CADJPY,h1,close,20</stp>
        <tr r="Y22" s="3"/>
      </tp>
      <tp>
        <v>107.18300000000001</v>
        <stp/>
        <stp>21422436</stp>
        <stp>@bh,CADJPY,h1,close,23</stp>
        <tr r="Y25" s="3"/>
      </tp>
      <tp>
        <v>107.101</v>
        <stp/>
        <stp>21422436</stp>
        <stp>@bh,CADJPY,h1,close,22</stp>
        <tr r="Y24" s="3"/>
      </tp>
      <tp>
        <v>170.68799999999999</v>
        <stp/>
        <stp>21422436</stp>
        <stp>@bh,CHFJPY,h1,close,24</stp>
        <tr r="AA26" s="3"/>
      </tp>
      <tp>
        <v>170.81100000000001</v>
        <stp/>
        <stp>21422436</stp>
        <stp>@bh,CHFJPY,h1,close,25</stp>
        <tr r="AA27" s="3"/>
      </tp>
      <tp>
        <v>170.86699999999999</v>
        <stp/>
        <stp>21422436</stp>
        <stp>@bh,CHFJPY,h1,close,26</stp>
        <tr r="AA28" s="3"/>
      </tp>
      <tp>
        <v>170.86799999999999</v>
        <stp/>
        <stp>21422436</stp>
        <stp>@bh,CHFJPY,h1,close,27</stp>
        <tr r="AA29" s="3"/>
      </tp>
      <tp>
        <v>170.54599999999999</v>
        <stp/>
        <stp>21422436</stp>
        <stp>@bh,CHFJPY,h1,close,20</stp>
        <tr r="AA22" s="3"/>
      </tp>
      <tp>
        <v>170.50700000000001</v>
        <stp/>
        <stp>21422436</stp>
        <stp>@bh,CHFJPY,h1,close,21</stp>
        <tr r="AA23" s="3"/>
      </tp>
      <tp>
        <v>170.68199999999999</v>
        <stp/>
        <stp>21422436</stp>
        <stp>@bh,CHFJPY,h1,close,22</stp>
        <tr r="AA24" s="3"/>
      </tp>
      <tp>
        <v>170.721</v>
        <stp/>
        <stp>21422436</stp>
        <stp>@bh,CHFJPY,h1,close,23</stp>
        <tr r="AA25" s="3"/>
      </tp>
      <tp>
        <v>161.602</v>
        <stp/>
        <stp>21422436</stp>
        <stp>@bh,EURJPY,h4,close,11</stp>
        <tr r="L13" s="1"/>
      </tp>
      <tp>
        <v>161.67699999999999</v>
        <stp/>
        <stp>21422436</stp>
        <stp>@bh,EURJPY,h4,close,10</stp>
        <tr r="L12" s="1"/>
      </tp>
      <tp>
        <v>162.33500000000001</v>
        <stp/>
        <stp>21422436</stp>
        <stp>@bh,EURJPY,h4,close,13</stp>
        <tr r="L15" s="1"/>
      </tp>
      <tp>
        <v>162.221</v>
        <stp/>
        <stp>21422436</stp>
        <stp>@bh,EURJPY,h4,close,12</stp>
        <tr r="L14" s="1"/>
      </tp>
      <tp>
        <v>162.09800000000001</v>
        <stp/>
        <stp>21422436</stp>
        <stp>@bh,EURJPY,h4,close,15</stp>
        <tr r="L17" s="1"/>
      </tp>
      <tp>
        <v>162.75399999999999</v>
        <stp/>
        <stp>21422436</stp>
        <stp>@bh,EURJPY,h4,close,14</stp>
        <tr r="L16" s="1"/>
      </tp>
      <tp>
        <v>162.22499999999999</v>
        <stp/>
        <stp>21422436</stp>
        <stp>@bh,EURJPY,h4,close,17</stp>
        <tr r="L19" s="1"/>
      </tp>
      <tp>
        <v>162.50800000000001</v>
        <stp/>
        <stp>21422436</stp>
        <stp>@bh,EURJPY,h4,close,16</stp>
        <tr r="L18" s="1"/>
      </tp>
      <tp>
        <v>161.233</v>
        <stp/>
        <stp>21422436</stp>
        <stp>@bh,EURJPY,h4,close,19</stp>
        <tr r="L21" s="1"/>
      </tp>
      <tp>
        <v>161.40799999999999</v>
        <stp/>
        <stp>21422436</stp>
        <stp>@bh,EURJPY,h4,close,18</stp>
        <tr r="L20" s="1"/>
      </tp>
      <tp>
        <v>190.173</v>
        <stp/>
        <stp>21422436</stp>
        <stp>@bh,GBPJPY,h1,close,16</stp>
        <tr r="T18" s="3"/>
      </tp>
      <tp>
        <v>189.81899999999999</v>
        <stp/>
        <stp>21422436</stp>
        <stp>@bh,GBPJPY,h1,close,17</stp>
        <tr r="T19" s="3"/>
      </tp>
      <tp>
        <v>189.68299999999999</v>
        <stp/>
        <stp>21422436</stp>
        <stp>@bh,GBPJPY,h1,close,14</stp>
        <tr r="T16" s="3"/>
      </tp>
      <tp>
        <v>190.018</v>
        <stp/>
        <stp>21422436</stp>
        <stp>@bh,GBPJPY,h1,close,15</stp>
        <tr r="T17" s="3"/>
      </tp>
      <tp>
        <v>190.209</v>
        <stp/>
        <stp>21422436</stp>
        <stp>@bh,GBPJPY,h1,close,12</stp>
        <tr r="T14" s="3"/>
      </tp>
      <tp>
        <v>189.97499999999999</v>
        <stp/>
        <stp>21422436</stp>
        <stp>@bh,GBPJPY,h1,close,13</stp>
        <tr r="T15" s="3"/>
      </tp>
      <tp>
        <v>190.29</v>
        <stp/>
        <stp>21422436</stp>
        <stp>@bh,GBPJPY,h1,close,10</stp>
        <tr r="T12" s="3"/>
      </tp>
      <tp>
        <v>190.52600000000001</v>
        <stp/>
        <stp>21422436</stp>
        <stp>@bh,GBPJPY,h1,close,11</stp>
        <tr r="T13" s="3"/>
      </tp>
      <tp>
        <v>189.70699999999999</v>
        <stp/>
        <stp>21422436</stp>
        <stp>@bh,GBPJPY,h1,close,18</stp>
        <tr r="T20" s="3"/>
      </tp>
      <tp>
        <v>189.99299999999999</v>
        <stp/>
        <stp>21422436</stp>
        <stp>@bh,GBPJPY,h1,close,19</stp>
        <tr r="T21" s="3"/>
      </tp>
      <tp>
        <v>98.71</v>
        <stp/>
        <stp>21422436</stp>
        <stp>@bh,AUDJPY,h4,close,21</stp>
        <tr r="E23" s="1"/>
      </tp>
      <tp>
        <v>97.760999999999996</v>
        <stp/>
        <stp>21422436</stp>
        <stp>@bh,AUDJPY,h4,close,20</stp>
        <tr r="E22" s="1"/>
      </tp>
      <tp>
        <v>98.507999999999996</v>
        <stp/>
        <stp>21422436</stp>
        <stp>@bh,AUDJPY,h4,close,23</stp>
        <tr r="E25" s="1"/>
      </tp>
      <tp>
        <v>98.436000000000007</v>
        <stp/>
        <stp>21422436</stp>
        <stp>@bh,AUDJPY,h4,close,22</stp>
        <tr r="E24" s="1"/>
      </tp>
      <tp>
        <v>98.629000000000005</v>
        <stp/>
        <stp>21422436</stp>
        <stp>@bh,AUDJPY,h4,close,25</stp>
        <tr r="E27" s="1"/>
      </tp>
      <tp>
        <v>97.867999999999995</v>
        <stp/>
        <stp>21422436</stp>
        <stp>@bh,AUDJPY,h4,close,24</stp>
        <tr r="E26" s="1"/>
      </tp>
      <tp>
        <v>98.515000000000001</v>
        <stp/>
        <stp>21422436</stp>
        <stp>@bh,AUDJPY,h4,close,27</stp>
        <tr r="E29" s="1"/>
      </tp>
      <tp>
        <v>98.638000000000005</v>
        <stp/>
        <stp>21422436</stp>
        <stp>@bh,AUDJPY,h4,close,26</stp>
        <tr r="E28" s="1"/>
      </tp>
      <tp>
        <v>107.26900000000001</v>
        <stp/>
        <stp>21422436</stp>
        <stp>@bh,CADJPY,h4,close,15</stp>
        <tr r="Y17" s="1"/>
      </tp>
      <tp>
        <v>107.748</v>
        <stp/>
        <stp>21422436</stp>
        <stp>@bh,CADJPY,h4,close,14</stp>
        <tr r="Y16" s="1"/>
      </tp>
      <tp>
        <v>107.333</v>
        <stp/>
        <stp>21422436</stp>
        <stp>@bh,CADJPY,h4,close,17</stp>
        <tr r="Y19" s="1"/>
      </tp>
      <tp>
        <v>107.524</v>
        <stp/>
        <stp>21422436</stp>
        <stp>@bh,CADJPY,h4,close,16</stp>
        <tr r="Y18" s="1"/>
      </tp>
      <tp>
        <v>106.66800000000001</v>
        <stp/>
        <stp>21422436</stp>
        <stp>@bh,CADJPY,h4,close,11</stp>
        <tr r="Y13" s="1"/>
      </tp>
      <tp>
        <v>168.96299999999999</v>
        <stp/>
        <stp>21422436</stp>
        <stp>@bh,CHFJPY,h4,close,18</stp>
        <tr r="AA20" s="1"/>
      </tp>
      <tp>
        <v>106.64700000000001</v>
        <stp/>
        <stp>21422436</stp>
        <stp>@bh,CADJPY,h4,close,10</stp>
        <tr r="Y12" s="1"/>
      </tp>
      <tp>
        <v>168.95699999999999</v>
        <stp/>
        <stp>21422436</stp>
        <stp>@bh,CHFJPY,h4,close,19</stp>
        <tr r="AA21" s="1"/>
      </tp>
      <tp>
        <v>107.605</v>
        <stp/>
        <stp>21422436</stp>
        <stp>@bh,CADJPY,h4,close,13</stp>
        <tr r="Y15" s="1"/>
      </tp>
      <tp>
        <v>107.31699999999999</v>
        <stp/>
        <stp>21422436</stp>
        <stp>@bh,CADJPY,h4,close,12</stp>
        <tr r="Y14" s="1"/>
      </tp>
      <tp>
        <v>170.44300000000001</v>
        <stp/>
        <stp>21422436</stp>
        <stp>@bh,CHFJPY,h4,close,14</stp>
        <tr r="AA16" s="1"/>
      </tp>
      <tp>
        <v>169.68700000000001</v>
        <stp/>
        <stp>21422436</stp>
        <stp>@bh,CHFJPY,h4,close,15</stp>
        <tr r="AA17" s="1"/>
      </tp>
      <tp>
        <v>169.88800000000001</v>
        <stp/>
        <stp>21422436</stp>
        <stp>@bh,CHFJPY,h4,close,16</stp>
        <tr r="AA18" s="1"/>
      </tp>
      <tp>
        <v>169.751</v>
        <stp/>
        <stp>21422436</stp>
        <stp>@bh,CHFJPY,h4,close,17</stp>
        <tr r="AA19" s="1"/>
      </tp>
      <tp>
        <v>106.831</v>
        <stp/>
        <stp>21422436</stp>
        <stp>@bh,CADJPY,h4,close,19</stp>
        <tr r="Y21" s="1"/>
      </tp>
      <tp>
        <v>170.077</v>
        <stp/>
        <stp>21422436</stp>
        <stp>@bh,CHFJPY,h4,close,10</stp>
        <tr r="AA12" s="1"/>
      </tp>
      <tp>
        <v>106.94499999999999</v>
        <stp/>
        <stp>21422436</stp>
        <stp>@bh,CADJPY,h4,close,18</stp>
        <tr r="Y20" s="1"/>
      </tp>
      <tp>
        <v>169.81100000000001</v>
        <stp/>
        <stp>21422436</stp>
        <stp>@bh,CHFJPY,h4,close,11</stp>
        <tr r="AA13" s="1"/>
      </tp>
      <tp>
        <v>170.136</v>
        <stp/>
        <stp>21422436</stp>
        <stp>@bh,CHFJPY,h4,close,12</stp>
        <tr r="AA14" s="1"/>
      </tp>
      <tp>
        <v>170.35599999999999</v>
        <stp/>
        <stp>21422436</stp>
        <stp>@bh,CHFJPY,h4,close,13</stp>
        <tr r="AA15" s="1"/>
      </tp>
      <tp>
        <v>161.786</v>
        <stp/>
        <stp>21422436</stp>
        <stp>@bh,EURJPY,h1,close,21</stp>
        <tr r="L23" s="3"/>
      </tp>
      <tp>
        <v>161.83600000000001</v>
        <stp/>
        <stp>21422436</stp>
        <stp>@bh,EURJPY,h1,close,20</stp>
        <tr r="L22" s="3"/>
      </tp>
      <tp>
        <v>161.98099999999999</v>
        <stp/>
        <stp>21422436</stp>
        <stp>@bh,EURJPY,h1,close,23</stp>
        <tr r="L25" s="3"/>
      </tp>
      <tp>
        <v>162.024</v>
        <stp/>
        <stp>21422436</stp>
        <stp>@bh,EURJPY,h1,close,22</stp>
        <tr r="L24" s="3"/>
      </tp>
      <tp>
        <v>162.34299999999999</v>
        <stp/>
        <stp>21422436</stp>
        <stp>@bh,EURJPY,h1,close,25</stp>
        <tr r="L27" s="3"/>
      </tp>
      <tp>
        <v>162.17400000000001</v>
        <stp/>
        <stp>21422436</stp>
        <stp>@bh,EURJPY,h1,close,24</stp>
        <tr r="L26" s="3"/>
      </tp>
      <tp>
        <v>162.43899999999999</v>
        <stp/>
        <stp>21422436</stp>
        <stp>@bh,EURJPY,h1,close,27</stp>
        <tr r="L29" s="3"/>
      </tp>
      <tp>
        <v>162.61699999999999</v>
        <stp/>
        <stp>21422436</stp>
        <stp>@bh,EURJPY,h1,close,26</stp>
        <tr r="L28" s="3"/>
      </tp>
      <tp>
        <v>108.375</v>
        <stp/>
        <stp>21422436</stp>
        <stp>@bh,CADJPY,h4,close,25</stp>
        <tr r="Y27" s="1"/>
      </tp>
      <tp>
        <v>107.598</v>
        <stp/>
        <stp>21422436</stp>
        <stp>@bh,CADJPY,h4,close,24</stp>
        <tr r="Y26" s="1"/>
      </tp>
      <tp>
        <v>108.477</v>
        <stp/>
        <stp>21422436</stp>
        <stp>@bh,CADJPY,h4,close,27</stp>
        <tr r="Y29" s="1"/>
      </tp>
      <tp>
        <v>108.464</v>
        <stp/>
        <stp>21422436</stp>
        <stp>@bh,CADJPY,h4,close,26</stp>
        <tr r="Y28" s="1"/>
      </tp>
      <tp>
        <v>108.098</v>
        <stp/>
        <stp>21422436</stp>
        <stp>@bh,CADJPY,h4,close,21</stp>
        <tr r="Y23" s="1"/>
      </tp>
      <tp>
        <v>106.982</v>
        <stp/>
        <stp>21422436</stp>
        <stp>@bh,CADJPY,h4,close,20</stp>
        <tr r="Y22" s="1"/>
      </tp>
      <tp>
        <v>108.068</v>
        <stp/>
        <stp>21422436</stp>
        <stp>@bh,CADJPY,h4,close,23</stp>
        <tr r="Y25" s="1"/>
      </tp>
      <tp>
        <v>107.89400000000001</v>
        <stp/>
        <stp>21422436</stp>
        <stp>@bh,CADJPY,h4,close,22</stp>
        <tr r="Y24" s="1"/>
      </tp>
      <tp>
        <v>170.37100000000001</v>
        <stp/>
        <stp>21422436</stp>
        <stp>@bh,CHFJPY,h4,close,24</stp>
        <tr r="AA26" s="1"/>
      </tp>
      <tp>
        <v>171.19200000000001</v>
        <stp/>
        <stp>21422436</stp>
        <stp>@bh,CHFJPY,h4,close,25</stp>
        <tr r="AA27" s="1"/>
      </tp>
      <tp>
        <v>170.876</v>
        <stp/>
        <stp>21422436</stp>
        <stp>@bh,CHFJPY,h4,close,26</stp>
        <tr r="AA28" s="1"/>
      </tp>
      <tp>
        <v>170.864</v>
        <stp/>
        <stp>21422436</stp>
        <stp>@bh,CHFJPY,h4,close,27</stp>
        <tr r="AA29" s="1"/>
      </tp>
      <tp>
        <v>169.21799999999999</v>
        <stp/>
        <stp>21422436</stp>
        <stp>@bh,CHFJPY,h4,close,20</stp>
        <tr r="AA22" s="1"/>
      </tp>
      <tp>
        <v>170.49299999999999</v>
        <stp/>
        <stp>21422436</stp>
        <stp>@bh,CHFJPY,h4,close,21</stp>
        <tr r="AA23" s="1"/>
      </tp>
      <tp>
        <v>170.41900000000001</v>
        <stp/>
        <stp>21422436</stp>
        <stp>@bh,CHFJPY,h4,close,22</stp>
        <tr r="AA24" s="1"/>
      </tp>
      <tp>
        <v>170.42400000000001</v>
        <stp/>
        <stp>21422436</stp>
        <stp>@bh,CHFJPY,h4,close,23</stp>
        <tr r="AA25" s="1"/>
      </tp>
      <tp>
        <v>162.26300000000001</v>
        <stp/>
        <stp>21422436</stp>
        <stp>@bh,EURJPY,h1,close,11</stp>
        <tr r="L13" s="3"/>
      </tp>
      <tp>
        <v>162.06899999999999</v>
        <stp/>
        <stp>21422436</stp>
        <stp>@bh,EURJPY,h1,close,10</stp>
        <tr r="L12" s="3"/>
      </tp>
      <tp>
        <v>161.886</v>
        <stp/>
        <stp>21422436</stp>
        <stp>@bh,EURJPY,h1,close,13</stp>
        <tr r="L15" s="3"/>
      </tp>
      <tp>
        <v>162.01</v>
        <stp/>
        <stp>21422436</stp>
        <stp>@bh,EURJPY,h1,close,12</stp>
        <tr r="L14" s="3"/>
      </tp>
      <tp>
        <v>161.84</v>
        <stp/>
        <stp>21422436</stp>
        <stp>@bh,EURJPY,h1,close,15</stp>
        <tr r="L17" s="3"/>
      </tp>
      <tp>
        <v>161.64400000000001</v>
        <stp/>
        <stp>21422436</stp>
        <stp>@bh,EURJPY,h1,close,14</stp>
        <tr r="L16" s="3"/>
      </tp>
      <tp>
        <v>161.709</v>
        <stp/>
        <stp>21422436</stp>
        <stp>@bh,EURJPY,h1,close,17</stp>
        <tr r="L19" s="3"/>
      </tp>
      <tp>
        <v>161.98099999999999</v>
        <stp/>
        <stp>21422436</stp>
        <stp>@bh,EURJPY,h1,close,16</stp>
        <tr r="L18" s="3"/>
      </tp>
      <tp>
        <v>161.83199999999999</v>
        <stp/>
        <stp>21422436</stp>
        <stp>@bh,EURJPY,h1,close,19</stp>
        <tr r="L21" s="3"/>
      </tp>
      <tp>
        <v>161.56100000000001</v>
        <stp/>
        <stp>21422436</stp>
        <stp>@bh,EURJPY,h1,close,18</stp>
        <tr r="L20" s="3"/>
      </tp>
      <tp>
        <v>190.625</v>
        <stp/>
        <stp>21422436</stp>
        <stp>@bh,GBPJPY,h1,close,26</stp>
        <tr r="T28" s="3"/>
      </tp>
      <tp>
        <v>190.34700000000001</v>
        <stp/>
        <stp>21422436</stp>
        <stp>@bh,GBPJPY,h1,close,27</stp>
        <tr r="T29" s="3"/>
      </tp>
      <tp>
        <v>190.16499999999999</v>
        <stp/>
        <stp>21422436</stp>
        <stp>@bh,GBPJPY,h1,close,24</stp>
        <tr r="T26" s="3"/>
      </tp>
      <tp>
        <v>190.346</v>
        <stp/>
        <stp>21422436</stp>
        <stp>@bh,GBPJPY,h1,close,25</stp>
        <tr r="T27" s="3"/>
      </tp>
      <tp>
        <v>190.21600000000001</v>
        <stp/>
        <stp>21422436</stp>
        <stp>@bh,GBPJPY,h1,close,22</stp>
        <tr r="T24" s="3"/>
      </tp>
      <tp>
        <v>190.18299999999999</v>
        <stp/>
        <stp>21422436</stp>
        <stp>@bh,GBPJPY,h1,close,23</stp>
        <tr r="T25" s="3"/>
      </tp>
      <tp>
        <v>190.048</v>
        <stp/>
        <stp>21422436</stp>
        <stp>@bh,GBPJPY,h1,close,20</stp>
        <tr r="T22" s="3"/>
      </tp>
      <tp>
        <v>189.86600000000001</v>
        <stp/>
        <stp>21422436</stp>
        <stp>@bh,GBPJPY,h1,close,21</stp>
        <tr r="T23" s="3"/>
      </tp>
      <tp>
        <v>97.944000000000003</v>
        <stp/>
        <stp>21422436</stp>
        <stp>@bh,AUDJPY,h4,close,11</stp>
        <tr r="E13" s="1"/>
      </tp>
      <tp>
        <v>98.001999999999995</v>
        <stp/>
        <stp>21422436</stp>
        <stp>@bh,AUDJPY,h4,close,10</stp>
        <tr r="E12" s="1"/>
      </tp>
      <tp>
        <v>98.581999999999994</v>
        <stp/>
        <stp>21422436</stp>
        <stp>@bh,AUDJPY,h4,close,13</stp>
        <tr r="E15" s="1"/>
      </tp>
      <tp>
        <v>98.542000000000002</v>
        <stp/>
        <stp>21422436</stp>
        <stp>@bh,AUDJPY,h4,close,12</stp>
        <tr r="E14" s="1"/>
      </tp>
      <tp>
        <v>98.376999999999995</v>
        <stp/>
        <stp>21422436</stp>
        <stp>@bh,AUDJPY,h4,close,15</stp>
        <tr r="E17" s="1"/>
      </tp>
      <tp>
        <v>98.71</v>
        <stp/>
        <stp>21422436</stp>
        <stp>@bh,AUDJPY,h4,close,14</stp>
        <tr r="E16" s="1"/>
      </tp>
      <tp>
        <v>98.448999999999998</v>
        <stp/>
        <stp>21422436</stp>
        <stp>@bh,AUDJPY,h4,close,17</stp>
        <tr r="E19" s="1"/>
      </tp>
      <tp>
        <v>98.691000000000003</v>
        <stp/>
        <stp>21422436</stp>
        <stp>@bh,AUDJPY,h4,close,16</stp>
        <tr r="E18" s="1"/>
      </tp>
      <tp>
        <v>97.700999999999993</v>
        <stp/>
        <stp>21422436</stp>
        <stp>@bh,AUDJPY,h4,close,19</stp>
        <tr r="E21" s="1"/>
      </tp>
      <tp>
        <v>97.918000000000006</v>
        <stp/>
        <stp>21422436</stp>
        <stp>@bh,AUDJPY,h4,close,18</stp>
        <tr r="E20" s="1"/>
      </tp>
      <tp>
        <v>0.63970000000000005</v>
        <stp/>
        <stp>21422436</stp>
        <stp>@bh,CADCHF,d1,close,18</stp>
        <tr r="Z20" s="2"/>
      </tp>
      <tp>
        <v>0.63866000000000001</v>
        <stp/>
        <stp>21422436</stp>
        <stp>@bh,CADCHF,d1,close,19</stp>
        <tr r="Z21" s="2"/>
      </tp>
      <tp>
        <v>0.61743000000000003</v>
        <stp/>
        <stp>21422436</stp>
        <stp>@bh,CADCHF,d1,close,12</stp>
        <tr r="Z14" s="2"/>
      </tp>
      <tp>
        <v>0.61641999999999997</v>
        <stp/>
        <stp>21422436</stp>
        <stp>@bh,CADCHF,d1,close,13</stp>
        <tr r="Z15" s="2"/>
      </tp>
      <tp>
        <v>0.63104000000000005</v>
        <stp/>
        <stp>21422436</stp>
        <stp>@bh,CADCHF,d1,close,10</stp>
        <tr r="Z12" s="2"/>
      </tp>
      <tp>
        <v>0.62633000000000005</v>
        <stp/>
        <stp>21422436</stp>
        <stp>@bh,CADCHF,d1,close,11</stp>
        <tr r="Z13" s="2"/>
      </tp>
      <tp>
        <v>0.63583999999999996</v>
        <stp/>
        <stp>21422436</stp>
        <stp>@bh,CADCHF,d1,close,16</stp>
        <tr r="Z18" s="2"/>
      </tp>
      <tp>
        <v>0.63729999999999998</v>
        <stp/>
        <stp>21422436</stp>
        <stp>@bh,CADCHF,d1,close,17</stp>
        <tr r="Z19" s="2"/>
      </tp>
      <tp>
        <v>0.61833000000000005</v>
        <stp/>
        <stp>21422436</stp>
        <stp>@bh,CADCHF,d1,close,14</stp>
        <tr r="Z16" s="2"/>
      </tp>
      <tp>
        <v>0.62916000000000005</v>
        <stp/>
        <stp>21422436</stp>
        <stp>@bh,CADCHF,d1,close,15</stp>
        <tr r="Z17" s="2"/>
      </tp>
      <tp>
        <v>0.59438000000000002</v>
        <stp/>
        <stp>21422436</stp>
        <stp>@bh,AUDCHF,d1,close,26</stp>
        <tr r="F28" s="2"/>
      </tp>
      <tp>
        <v>0.60182000000000002</v>
        <stp/>
        <stp>21422436</stp>
        <stp>@bh,AUDCHF,d1,close,27</stp>
        <tr r="F29" s="2"/>
      </tp>
      <tp>
        <v>0.59411999999999998</v>
        <stp/>
        <stp>21422436</stp>
        <stp>@bh,AUDCHF,d1,close,24</stp>
        <tr r="F26" s="2"/>
      </tp>
      <tp>
        <v>0.59531000000000001</v>
        <stp/>
        <stp>21422436</stp>
        <stp>@bh,AUDCHF,d1,close,25</stp>
        <tr r="F27" s="2"/>
      </tp>
      <tp>
        <v>0.58967000000000003</v>
        <stp/>
        <stp>21422436</stp>
        <stp>@bh,AUDCHF,d1,close,22</stp>
        <tr r="F24" s="2"/>
      </tp>
      <tp>
        <v>0.59091000000000005</v>
        <stp/>
        <stp>21422436</stp>
        <stp>@bh,AUDCHF,d1,close,23</stp>
        <tr r="F25" s="2"/>
      </tp>
      <tp>
        <v>0.57638</v>
        <stp/>
        <stp>21422436</stp>
        <stp>@bh,AUDCHF,d1,close,20</stp>
        <tr r="F22" s="2"/>
      </tp>
      <tp>
        <v>0.58248</v>
        <stp/>
        <stp>21422436</stp>
        <stp>@bh,AUDCHF,d1,close,21</stp>
        <tr r="F23" s="2"/>
      </tp>
      <tp>
        <v>0.58030999999999999</v>
        <stp/>
        <stp>21422436</stp>
        <stp>@bh,AUDCHF,d1,close,18</stp>
        <tr r="F20" s="2"/>
      </tp>
      <tp>
        <v>0.57847999999999999</v>
        <stp/>
        <stp>21422436</stp>
        <stp>@bh,AUDCHF,d1,close,19</stp>
        <tr r="F21" s="2"/>
      </tp>
      <tp>
        <v>0.57432000000000005</v>
        <stp/>
        <stp>21422436</stp>
        <stp>@bh,AUDCHF,d1,close,16</stp>
        <tr r="F18" s="2"/>
      </tp>
      <tp>
        <v>0.57704</v>
        <stp/>
        <stp>21422436</stp>
        <stp>@bh,AUDCHF,d1,close,17</stp>
        <tr r="F19" s="2"/>
      </tp>
      <tp>
        <v>0.55842000000000003</v>
        <stp/>
        <stp>21422436</stp>
        <stp>@bh,AUDCHF,d1,close,14</stp>
        <tr r="F16" s="2"/>
      </tp>
      <tp>
        <v>0.56749000000000005</v>
        <stp/>
        <stp>21422436</stp>
        <stp>@bh,AUDCHF,d1,close,15</stp>
        <tr r="F17" s="2"/>
      </tp>
      <tp>
        <v>0.55474000000000001</v>
        <stp/>
        <stp>21422436</stp>
        <stp>@bh,AUDCHF,d1,close,12</stp>
        <tr r="F14" s="2"/>
      </tp>
      <tp>
        <v>0.55362999999999996</v>
        <stp/>
        <stp>21422436</stp>
        <stp>@bh,AUDCHF,d1,close,13</stp>
        <tr r="F15" s="2"/>
      </tp>
      <tp>
        <v>0.57133</v>
        <stp/>
        <stp>21422436</stp>
        <stp>@bh,AUDCHF,d1,close,10</stp>
        <tr r="F12" s="2"/>
      </tp>
      <tp>
        <v>0.56172</v>
        <stp/>
        <stp>21422436</stp>
        <stp>@bh,AUDCHF,d1,close,11</stp>
        <tr r="F13" s="2"/>
      </tp>
      <tp>
        <v>0.64663999999999999</v>
        <stp/>
        <stp>21422436</stp>
        <stp>@bh,CADCHF,d1,close,22</stp>
        <tr r="Z24" s="2"/>
      </tp>
      <tp>
        <v>0.64666999999999997</v>
        <stp/>
        <stp>21422436</stp>
        <stp>@bh,CADCHF,d1,close,23</stp>
        <tr r="Z25" s="2"/>
      </tp>
      <tp>
        <v>0.63773000000000002</v>
        <stp/>
        <stp>21422436</stp>
        <stp>@bh,CADCHF,d1,close,20</stp>
        <tr r="Z22" s="2"/>
      </tp>
      <tp>
        <v>0.64105999999999996</v>
        <stp/>
        <stp>21422436</stp>
        <stp>@bh,CADCHF,d1,close,21</stp>
        <tr r="Z23" s="2"/>
      </tp>
      <tp>
        <v>0.64556000000000002</v>
        <stp/>
        <stp>21422436</stp>
        <stp>@bh,CADCHF,d1,close,26</stp>
        <tr r="Z28" s="2"/>
      </tp>
      <tp>
        <v>0.65366999999999997</v>
        <stp/>
        <stp>21422436</stp>
        <stp>@bh,CADCHF,d1,close,27</stp>
        <tr r="Z29" s="2"/>
      </tp>
      <tp>
        <v>0.64737999999999996</v>
        <stp/>
        <stp>21422436</stp>
        <stp>@bh,CADCHF,d1,close,24</stp>
        <tr r="Z26" s="2"/>
      </tp>
      <tp>
        <v>0.64773000000000003</v>
        <stp/>
        <stp>21422436</stp>
        <stp>@bh,CADCHF,d1,close,25</stp>
        <tr r="Z27" s="2"/>
      </tp>
      <tp>
        <v>0.82106000000000001</v>
        <stp/>
        <stp>21422436</stp>
        <stp>@bh,NZDCAD,d1,close,13</stp>
        <tr r="X15" s="2"/>
      </tp>
      <tp>
        <v>0.82055</v>
        <stp/>
        <stp>21422436</stp>
        <stp>@bh,NZDCAD,d1,close,12</stp>
        <tr r="X14" s="2"/>
      </tp>
      <tp>
        <v>0.82457000000000003</v>
        <stp/>
        <stp>21422436</stp>
        <stp>@bh,NZDCAD,d1,close,11</stp>
        <tr r="X13" s="2"/>
      </tp>
      <tp>
        <v>0.82577</v>
        <stp/>
        <stp>21422436</stp>
        <stp>@bh,NZDCAD,d1,close,10</stp>
        <tr r="X12" s="2"/>
      </tp>
      <tp>
        <v>0.81757999999999997</v>
        <stp/>
        <stp>21422436</stp>
        <stp>@bh,NZDCAD,d1,close,17</stp>
        <tr r="X19" s="2"/>
      </tp>
      <tp>
        <v>0.82157000000000002</v>
        <stp/>
        <stp>21422436</stp>
        <stp>@bh,NZDCAD,d1,close,16</stp>
        <tr r="X18" s="2"/>
      </tp>
      <tp>
        <v>0.82535000000000003</v>
        <stp/>
        <stp>21422436</stp>
        <stp>@bh,NZDCAD,d1,close,15</stp>
        <tr r="X17" s="2"/>
      </tp>
      <tp>
        <v>0.82647000000000004</v>
        <stp/>
        <stp>21422436</stp>
        <stp>@bh,NZDCAD,d1,close,14</stp>
        <tr r="X16" s="2"/>
      </tp>
      <tp>
        <v>0.81447999999999998</v>
        <stp/>
        <stp>21422436</stp>
        <stp>@bh,NZDCAD,d1,close,19</stp>
        <tr r="X21" s="2"/>
      </tp>
      <tp>
        <v>0.81386000000000003</v>
        <stp/>
        <stp>21422436</stp>
        <stp>@bh,NZDCAD,d1,close,18</stp>
        <tr r="X20" s="2"/>
      </tp>
      <tp>
        <v>1.1368400000000001</v>
        <stp/>
        <stp>21422436</stp>
        <stp>@bh,GBPCHF,d1,close,19</stp>
        <tr r="S21" s="2"/>
      </tp>
      <tp>
        <v>1.1396200000000001</v>
        <stp/>
        <stp>21422436</stp>
        <stp>@bh,GBPCHF,d1,close,18</stp>
        <tr r="S20" s="2"/>
      </tp>
      <tp>
        <v>1.0935999999999999</v>
        <stp/>
        <stp>21422436</stp>
        <stp>@bh,GBPCHF,d1,close,11</stp>
        <tr r="S13" s="2"/>
      </tp>
      <tp>
        <v>1.1048500000000001</v>
        <stp/>
        <stp>21422436</stp>
        <stp>@bh,GBPCHF,d1,close,10</stp>
        <tr r="S12" s="2"/>
      </tp>
      <tp>
        <v>1.0888899999999999</v>
        <stp/>
        <stp>21422436</stp>
        <stp>@bh,GBPCHF,d1,close,13</stp>
        <tr r="S15" s="2"/>
      </tp>
      <tp>
        <v>1.08023</v>
        <stp/>
        <stp>21422436</stp>
        <stp>@bh,GBPCHF,d1,close,12</stp>
        <tr r="S14" s="2"/>
      </tp>
      <tp>
        <v>1.11198</v>
        <stp/>
        <stp>21422436</stp>
        <stp>@bh,GBPCHF,d1,close,15</stp>
        <tr r="S17" s="2"/>
      </tp>
      <tp>
        <v>1.0985</v>
        <stp/>
        <stp>21422436</stp>
        <stp>@bh,GBPCHF,d1,close,14</stp>
        <tr r="S16" s="2"/>
      </tp>
      <tp>
        <v>1.1329800000000001</v>
        <stp/>
        <stp>21422436</stp>
        <stp>@bh,GBPCHF,d1,close,17</stp>
        <tr r="S19" s="2"/>
      </tp>
      <tp>
        <v>1.12873</v>
        <stp/>
        <stp>21422436</stp>
        <stp>@bh,GBPCHF,d1,close,16</stp>
        <tr r="S18" s="2"/>
      </tp>
      <tp>
        <v>0.96635000000000004</v>
        <stp/>
        <stp>21422436</stp>
        <stp>@bh,EURCHF,d1,close,26</stp>
        <tr r="K28" s="2"/>
      </tp>
      <tp>
        <v>0.97411999999999999</v>
        <stp/>
        <stp>21422436</stp>
        <stp>@bh,EURCHF,d1,close,27</stp>
        <tr r="K29" s="2"/>
      </tp>
      <tp>
        <v>0.96728000000000003</v>
        <stp/>
        <stp>21422436</stp>
        <stp>@bh,EURCHF,d1,close,24</stp>
        <tr r="K26" s="2"/>
      </tp>
      <tp>
        <v>0.96731999999999996</v>
        <stp/>
        <stp>21422436</stp>
        <stp>@bh,EURCHF,d1,close,25</stp>
        <tr r="K27" s="2"/>
      </tp>
      <tp>
        <v>0.96740000000000004</v>
        <stp/>
        <stp>21422436</stp>
        <stp>@bh,EURCHF,d1,close,22</stp>
        <tr r="K24" s="2"/>
      </tp>
      <tp>
        <v>0.96886000000000005</v>
        <stp/>
        <stp>21422436</stp>
        <stp>@bh,EURCHF,d1,close,23</stp>
        <tr r="K25" s="2"/>
      </tp>
      <tp>
        <v>0.95609999999999995</v>
        <stp/>
        <stp>21422436</stp>
        <stp>@bh,EURCHF,d1,close,20</stp>
        <tr r="K22" s="2"/>
      </tp>
      <tp>
        <v>0.95943999999999996</v>
        <stp/>
        <stp>21422436</stp>
        <stp>@bh,EURCHF,d1,close,21</stp>
        <tr r="K23" s="2"/>
      </tp>
      <tp>
        <v>0.95887999999999995</v>
        <stp/>
        <stp>21422436</stp>
        <stp>@bh,EURCHF,d1,close,18</stp>
        <tr r="K20" s="2"/>
      </tp>
      <tp>
        <v>0.95928000000000002</v>
        <stp/>
        <stp>21422436</stp>
        <stp>@bh,EURCHF,d1,close,19</stp>
        <tr r="K21" s="2"/>
      </tp>
      <tp>
        <v>0.95065</v>
        <stp/>
        <stp>21422436</stp>
        <stp>@bh,EURCHF,d1,close,16</stp>
        <tr r="K18" s="2"/>
      </tp>
      <tp>
        <v>0.95459000000000005</v>
        <stp/>
        <stp>21422436</stp>
        <stp>@bh,EURCHF,d1,close,17</stp>
        <tr r="K19" s="2"/>
      </tp>
      <tp>
        <v>0.93598000000000003</v>
        <stp/>
        <stp>21422436</stp>
        <stp>@bh,EURCHF,d1,close,14</stp>
        <tr r="K16" s="2"/>
      </tp>
      <tp>
        <v>0.94201000000000001</v>
        <stp/>
        <stp>21422436</stp>
        <stp>@bh,EURCHF,d1,close,15</stp>
        <tr r="K17" s="2"/>
      </tp>
      <tp>
        <v>0.93050999999999995</v>
        <stp/>
        <stp>21422436</stp>
        <stp>@bh,EURCHF,d1,close,12</stp>
        <tr r="K14" s="2"/>
      </tp>
      <tp>
        <v>0.93337000000000003</v>
        <stp/>
        <stp>21422436</stp>
        <stp>@bh,EURCHF,d1,close,13</stp>
        <tr r="K15" s="2"/>
      </tp>
      <tp>
        <v>0.94628999999999996</v>
        <stp/>
        <stp>21422436</stp>
        <stp>@bh,EURCHF,d1,close,10</stp>
        <tr r="K12" s="2"/>
      </tp>
      <tp>
        <v>0.94120000000000004</v>
        <stp/>
        <stp>21422436</stp>
        <stp>@bh,EURCHF,d1,close,11</stp>
        <tr r="K13" s="2"/>
      </tp>
      <tp>
        <v>0.82240999999999997</v>
        <stp/>
        <stp>21422436</stp>
        <stp>@bh,NZDCAD,d1,close,23</stp>
        <tr r="X25" s="2"/>
      </tp>
      <tp>
        <v>0.82089999999999996</v>
        <stp/>
        <stp>21422436</stp>
        <stp>@bh,NZDCAD,d1,close,22</stp>
        <tr r="X24" s="2"/>
      </tp>
      <tp>
        <v>0.81867999999999996</v>
        <stp/>
        <stp>21422436</stp>
        <stp>@bh,NZDCAD,d1,close,21</stp>
        <tr r="X23" s="2"/>
      </tp>
      <tp>
        <v>0.81374999999999997</v>
        <stp/>
        <stp>21422436</stp>
        <stp>@bh,NZDCAD,d1,close,20</stp>
        <tr r="X22" s="2"/>
      </tp>
      <tp>
        <v>0.82711999999999997</v>
        <stp/>
        <stp>21422436</stp>
        <stp>@bh,NZDCAD,d1,close,27</stp>
        <tr r="X29" s="2"/>
      </tp>
      <tp>
        <v>0.83213999999999999</v>
        <stp/>
        <stp>21422436</stp>
        <stp>@bh,NZDCAD,d1,close,26</stp>
        <tr r="X28" s="2"/>
      </tp>
      <tp>
        <v>0.82843</v>
        <stp/>
        <stp>21422436</stp>
        <stp>@bh,NZDCAD,d1,close,25</stp>
        <tr r="X27" s="2"/>
      </tp>
      <tp>
        <v>0.82491999999999999</v>
        <stp/>
        <stp>21422436</stp>
        <stp>@bh,NZDCAD,d1,close,24</stp>
        <tr r="X26" s="2"/>
      </tp>
      <tp>
        <v>1.14239</v>
        <stp/>
        <stp>21422436</stp>
        <stp>@bh,GBPCHF,d1,close,21</stp>
        <tr r="S23" s="2"/>
      </tp>
      <tp>
        <v>1.1328100000000001</v>
        <stp/>
        <stp>21422436</stp>
        <stp>@bh,GBPCHF,d1,close,20</stp>
        <tr r="S22" s="2"/>
      </tp>
      <tp>
        <v>1.15059</v>
        <stp/>
        <stp>21422436</stp>
        <stp>@bh,GBPCHF,d1,close,23</stp>
        <tr r="S25" s="2"/>
      </tp>
      <tp>
        <v>1.15045</v>
        <stp/>
        <stp>21422436</stp>
        <stp>@bh,GBPCHF,d1,close,22</stp>
        <tr r="S24" s="2"/>
      </tp>
      <tp>
        <v>1.1490100000000001</v>
        <stp/>
        <stp>21422436</stp>
        <stp>@bh,GBPCHF,d1,close,25</stp>
        <tr r="S27" s="2"/>
      </tp>
      <tp>
        <v>1.14774</v>
        <stp/>
        <stp>21422436</stp>
        <stp>@bh,GBPCHF,d1,close,24</stp>
        <tr r="S26" s="2"/>
      </tp>
      <tp>
        <v>1.1595</v>
        <stp/>
        <stp>21422436</stp>
        <stp>@bh,GBPCHF,d1,close,27</stp>
        <tr r="S29" s="2"/>
      </tp>
      <tp>
        <v>1.14903</v>
        <stp/>
        <stp>21422436</stp>
        <stp>@bh,GBPCHF,d1,close,26</stp>
        <tr r="S28" s="2"/>
      </tp>
      <tp>
        <v>0.91768000000000005</v>
        <stp/>
        <stp>21422436</stp>
        <stp>@bh,AUDCAD,d1,close,24</stp>
        <tr r="G26" s="2"/>
      </tp>
      <tp>
        <v>0.91903999999999997</v>
        <stp/>
        <stp>21422436</stp>
        <stp>@bh,AUDCAD,d1,close,25</stp>
        <tr r="G27" s="2"/>
      </tp>
      <tp>
        <v>0.92071000000000003</v>
        <stp/>
        <stp>21422436</stp>
        <stp>@bh,AUDCAD,d1,close,26</stp>
        <tr r="G28" s="2"/>
      </tp>
      <tp>
        <v>0.92062999999999995</v>
        <stp/>
        <stp>21422436</stp>
        <stp>@bh,AUDCAD,d1,close,27</stp>
        <tr r="G29" s="2"/>
      </tp>
      <tp>
        <v>0.90380000000000005</v>
        <stp/>
        <stp>21422436</stp>
        <stp>@bh,AUDCAD,d1,close,20</stp>
        <tr r="G22" s="2"/>
      </tp>
      <tp>
        <v>0.90856999999999999</v>
        <stp/>
        <stp>21422436</stp>
        <stp>@bh,AUDCAD,d1,close,21</stp>
        <tr r="G23" s="2"/>
      </tp>
      <tp>
        <v>0.91186</v>
        <stp/>
        <stp>21422436</stp>
        <stp>@bh,AUDCAD,d1,close,22</stp>
        <tr r="G24" s="2"/>
      </tp>
      <tp>
        <v>0.91374999999999995</v>
        <stp/>
        <stp>21422436</stp>
        <stp>@bh,AUDCAD,d1,close,23</stp>
        <tr r="G25" s="2"/>
      </tp>
      <tp>
        <v>0.90712999999999999</v>
        <stp/>
        <stp>21422436</stp>
        <stp>@bh,AUDCAD,d1,close,18</stp>
        <tr r="G20" s="2"/>
      </tp>
      <tp>
        <v>0.90564999999999996</v>
        <stp/>
        <stp>21422436</stp>
        <stp>@bh,AUDCAD,d1,close,19</stp>
        <tr r="G21" s="2"/>
      </tp>
      <tp>
        <v>0.90310999999999997</v>
        <stp/>
        <stp>21422436</stp>
        <stp>@bh,AUDCAD,d1,close,14</stp>
        <tr r="G16" s="2"/>
      </tp>
      <tp>
        <v>0.90193999999999996</v>
        <stp/>
        <stp>21422436</stp>
        <stp>@bh,AUDCAD,d1,close,15</stp>
        <tr r="G17" s="2"/>
      </tp>
      <tp>
        <v>0.90320999999999996</v>
        <stp/>
        <stp>21422436</stp>
        <stp>@bh,AUDCAD,d1,close,16</stp>
        <tr r="G18" s="2"/>
      </tp>
      <tp>
        <v>0.90544000000000002</v>
        <stp/>
        <stp>21422436</stp>
        <stp>@bh,AUDCAD,d1,close,17</stp>
        <tr r="G19" s="2"/>
      </tp>
      <tp>
        <v>0.90532999999999997</v>
        <stp/>
        <stp>21422436</stp>
        <stp>@bh,AUDCAD,d1,close,10</stp>
        <tr r="G12" s="2"/>
      </tp>
      <tp>
        <v>0.89680000000000004</v>
        <stp/>
        <stp>21422436</stp>
        <stp>@bh,AUDCAD,d1,close,11</stp>
        <tr r="G13" s="2"/>
      </tp>
      <tp>
        <v>0.89837</v>
        <stp/>
        <stp>21422436</stp>
        <stp>@bh,AUDCAD,d1,close,12</stp>
        <tr r="G14" s="2"/>
      </tp>
      <tp>
        <v>0.89809000000000005</v>
        <stp/>
        <stp>21422436</stp>
        <stp>@bh,AUDCAD,d1,close,13</stp>
        <tr r="G15" s="2"/>
      </tp>
      <tp>
        <v>1.4941199999999999</v>
        <stp/>
        <stp>21422436</stp>
        <stp>@bh,EURCAD,d1,close,24</stp>
        <tr r="I26" s="2"/>
      </tp>
      <tp>
        <v>1.4932799999999999</v>
        <stp/>
        <stp>21422436</stp>
        <stp>@bh,EURCAD,d1,close,25</stp>
        <tr r="I27" s="2"/>
      </tp>
      <tp>
        <v>1.49685</v>
        <stp/>
        <stp>21422436</stp>
        <stp>@bh,EURCAD,d1,close,26</stp>
        <tr r="I28" s="2"/>
      </tp>
      <tp>
        <v>1.4901</v>
        <stp/>
        <stp>21422436</stp>
        <stp>@bh,EURCAD,d1,close,27</stp>
        <tr r="I29" s="2"/>
      </tp>
      <tp>
        <v>1.4992000000000001</v>
        <stp/>
        <stp>21422436</stp>
        <stp>@bh,EURCAD,d1,close,20</stp>
        <tr r="I22" s="2"/>
      </tp>
      <tp>
        <v>1.49654</v>
        <stp/>
        <stp>21422436</stp>
        <stp>@bh,EURCAD,d1,close,21</stp>
        <tr r="I23" s="2"/>
      </tp>
      <tp>
        <v>1.49594</v>
        <stp/>
        <stp>21422436</stp>
        <stp>@bh,EURCAD,d1,close,22</stp>
        <tr r="I24" s="2"/>
      </tp>
      <tp>
        <v>1.4981800000000001</v>
        <stp/>
        <stp>21422436</stp>
        <stp>@bh,EURCAD,d1,close,23</stp>
        <tr r="I25" s="2"/>
      </tp>
      <tp>
        <v>0.51632999999999996</v>
        <stp/>
        <stp>21422436</stp>
        <stp>@bh,NZDCHF,d1,close,11</stp>
        <tr r="V13" s="2"/>
      </tp>
      <tp>
        <v>0.52107000000000003</v>
        <stp/>
        <stp>21422436</stp>
        <stp>@bh,NZDCHF,d1,close,10</stp>
        <tr r="V12" s="2"/>
      </tp>
      <tp>
        <v>0.50609999999999999</v>
        <stp/>
        <stp>21422436</stp>
        <stp>@bh,NZDCHF,d1,close,13</stp>
        <tr r="V15" s="2"/>
      </tp>
      <tp>
        <v>0.50663999999999998</v>
        <stp/>
        <stp>21422436</stp>
        <stp>@bh,NZDCHF,d1,close,12</stp>
        <tr r="V14" s="2"/>
      </tp>
      <tp>
        <v>0.51929999999999998</v>
        <stp/>
        <stp>21422436</stp>
        <stp>@bh,NZDCHF,d1,close,15</stp>
        <tr r="V17" s="2"/>
      </tp>
      <tp>
        <v>0.51107000000000002</v>
        <stp/>
        <stp>21422436</stp>
        <stp>@bh,NZDCHF,d1,close,14</stp>
        <tr r="V16" s="2"/>
      </tp>
      <tp>
        <v>0.52087000000000006</v>
        <stp/>
        <stp>21422436</stp>
        <stp>@bh,NZDCHF,d1,close,17</stp>
        <tr r="V19" s="2"/>
      </tp>
      <tp>
        <v>0.52248000000000006</v>
        <stp/>
        <stp>21422436</stp>
        <stp>@bh,NZDCHF,d1,close,16</stp>
        <tr r="V18" s="2"/>
      </tp>
      <tp>
        <v>0.52024000000000004</v>
        <stp/>
        <stp>21422436</stp>
        <stp>@bh,NZDCHF,d1,close,19</stp>
        <tr r="V21" s="2"/>
      </tp>
      <tp>
        <v>0.52051999999999998</v>
        <stp/>
        <stp>21422436</stp>
        <stp>@bh,NZDCHF,d1,close,18</stp>
        <tr r="V20" s="2"/>
      </tp>
      <tp>
        <v>1.7798099999999999</v>
        <stp/>
        <stp>21422436</stp>
        <stp>@bh,GBPCAD,d1,close,19</stp>
        <tr r="R21" s="2"/>
      </tp>
      <tp>
        <v>1.78145</v>
        <stp/>
        <stp>21422436</stp>
        <stp>@bh,GBPCAD,d1,close,18</stp>
        <tr r="R20" s="2"/>
      </tp>
      <tp>
        <v>1.7663800000000001</v>
        <stp/>
        <stp>21422436</stp>
        <stp>@bh,GBPCAD,d1,close,13</stp>
        <tr r="R15" s="2"/>
      </tp>
      <tp>
        <v>1.74939</v>
        <stp/>
        <stp>21422436</stp>
        <stp>@bh,GBPCAD,d1,close,12</stp>
        <tr r="R14" s="2"/>
      </tp>
      <tp>
        <v>1.74597</v>
        <stp/>
        <stp>21422436</stp>
        <stp>@bh,GBPCAD,d1,close,11</stp>
        <tr r="R13" s="2"/>
      </tp>
      <tp>
        <v>1.7507699999999999</v>
        <stp/>
        <stp>21422436</stp>
        <stp>@bh,GBPCAD,d1,close,10</stp>
        <tr r="R12" s="2"/>
      </tp>
      <tp>
        <v>1.77779</v>
        <stp/>
        <stp>21422436</stp>
        <stp>@bh,GBPCAD,d1,close,17</stp>
        <tr r="R19" s="2"/>
      </tp>
      <tp>
        <v>1.77504</v>
        <stp/>
        <stp>21422436</stp>
        <stp>@bh,GBPCAD,d1,close,16</stp>
        <tr r="R18" s="2"/>
      </tp>
      <tp>
        <v>1.7671300000000001</v>
        <stp/>
        <stp>21422436</stp>
        <stp>@bh,GBPCAD,d1,close,15</stp>
        <tr r="R17" s="2"/>
      </tp>
      <tp>
        <v>1.77641</v>
        <stp/>
        <stp>21422436</stp>
        <stp>@bh,GBPCAD,d1,close,14</stp>
        <tr r="R16" s="2"/>
      </tp>
      <tp>
        <v>0.52471000000000001</v>
        <stp/>
        <stp>21422436</stp>
        <stp>@bh,NZDCHF,d1,close,21</stp>
        <tr r="V23" s="2"/>
      </tp>
      <tp>
        <v>0.51890999999999998</v>
        <stp/>
        <stp>21422436</stp>
        <stp>@bh,NZDCHF,d1,close,20</stp>
        <tr r="V22" s="2"/>
      </tp>
      <tp>
        <v>0.53178000000000003</v>
        <stp/>
        <stp>21422436</stp>
        <stp>@bh,NZDCHF,d1,close,23</stp>
        <tr r="V25" s="2"/>
      </tp>
      <tp>
        <v>0.53080000000000005</v>
        <stp/>
        <stp>21422436</stp>
        <stp>@bh,NZDCHF,d1,close,22</stp>
        <tr r="V24" s="2"/>
      </tp>
      <tp>
        <v>0.53656999999999999</v>
        <stp/>
        <stp>21422436</stp>
        <stp>@bh,NZDCHF,d1,close,25</stp>
        <tr r="V27" s="2"/>
      </tp>
      <tp>
        <v>0.53407000000000004</v>
        <stp/>
        <stp>21422436</stp>
        <stp>@bh,NZDCHF,d1,close,24</stp>
        <tr r="V26" s="2"/>
      </tp>
      <tp>
        <v>0.54064000000000001</v>
        <stp/>
        <stp>21422436</stp>
        <stp>@bh,NZDCHF,d1,close,27</stp>
        <tr r="V29" s="2"/>
      </tp>
      <tp>
        <v>0.53703999999999996</v>
        <stp/>
        <stp>21422436</stp>
        <stp>@bh,NZDCHF,d1,close,26</stp>
        <tr r="V28" s="2"/>
      </tp>
      <tp>
        <v>1.7792300000000001</v>
        <stp/>
        <stp>21422436</stp>
        <stp>@bh,GBPCAD,d1,close,23</stp>
        <tr r="R25" s="2"/>
      </tp>
      <tp>
        <v>1.77904</v>
        <stp/>
        <stp>21422436</stp>
        <stp>@bh,GBPCAD,d1,close,22</stp>
        <tr r="R24" s="2"/>
      </tp>
      <tp>
        <v>1.78196</v>
        <stp/>
        <stp>21422436</stp>
        <stp>@bh,GBPCAD,d1,close,21</stp>
        <tr r="R23" s="2"/>
      </tp>
      <tp>
        <v>1.7763199999999999</v>
        <stp/>
        <stp>21422436</stp>
        <stp>@bh,GBPCAD,d1,close,20</stp>
        <tr r="R22" s="2"/>
      </tp>
      <tp>
        <v>1.77372</v>
        <stp/>
        <stp>21422436</stp>
        <stp>@bh,GBPCAD,d1,close,27</stp>
        <tr r="R29" s="2"/>
      </tp>
      <tp>
        <v>1.7798700000000001</v>
        <stp/>
        <stp>21422436</stp>
        <stp>@bh,GBPCAD,d1,close,26</stp>
        <tr r="R28" s="2"/>
      </tp>
      <tp>
        <v>1.77382</v>
        <stp/>
        <stp>21422436</stp>
        <stp>@bh,GBPCAD,d1,close,25</stp>
        <tr r="R27" s="2"/>
      </tp>
      <tp>
        <v>1.7727900000000001</v>
        <stp/>
        <stp>21422436</stp>
        <stp>@bh,GBPCAD,d1,close,24</stp>
        <tr r="R26" s="2"/>
      </tp>
      <tp>
        <v>1.4988999999999999</v>
        <stp/>
        <stp>21422436</stp>
        <stp>@bh,EURCAD,d1,close,18</stp>
        <tr r="I20" s="2"/>
      </tp>
      <tp>
        <v>1.5018100000000001</v>
        <stp/>
        <stp>21422436</stp>
        <stp>@bh,EURCAD,d1,close,19</stp>
        <tr r="I21" s="2"/>
      </tp>
      <tp>
        <v>1.5136099999999999</v>
        <stp/>
        <stp>21422436</stp>
        <stp>@bh,EURCAD,d1,close,14</stp>
        <tr r="I16" s="2"/>
      </tp>
      <tp>
        <v>1.49705</v>
        <stp/>
        <stp>21422436</stp>
        <stp>@bh,EURCAD,d1,close,15</stp>
        <tr r="I17" s="2"/>
      </tp>
      <tp>
        <v>1.49482</v>
        <stp/>
        <stp>21422436</stp>
        <stp>@bh,EURCAD,d1,close,16</stp>
        <tr r="I18" s="2"/>
      </tp>
      <tp>
        <v>1.49783</v>
        <stp/>
        <stp>21422436</stp>
        <stp>@bh,EURCAD,d1,close,17</stp>
        <tr r="I19" s="2"/>
      </tp>
      <tp>
        <v>1.4995099999999999</v>
        <stp/>
        <stp>21422436</stp>
        <stp>@bh,EURCAD,d1,close,10</stp>
        <tr r="I12" s="2"/>
      </tp>
      <tp>
        <v>1.5026600000000001</v>
        <stp/>
        <stp>21422436</stp>
        <stp>@bh,EURCAD,d1,close,11</stp>
        <tr r="I13" s="2"/>
      </tp>
      <tp>
        <v>1.50675</v>
        <stp/>
        <stp>21422436</stp>
        <stp>@bh,EURCAD,d1,close,12</stp>
        <tr r="I14" s="2"/>
      </tp>
      <tp>
        <v>1.5140400000000001</v>
        <stp/>
        <stp>21422436</stp>
        <stp>@bh,EURCAD,d1,close,13</stp>
        <tr r="I15" s="2"/>
      </tp>
      <tp>
        <v>0.88161</v>
        <stp/>
        <stp>21422436</stp>
        <stp>@bh,USDCHF,d1,close,20</stp>
        <tr r="AC22" s="2"/>
      </tp>
      <tp>
        <v>0.88514999999999999</v>
        <stp/>
        <stp>21422436</stp>
        <stp>@bh,USDCHF,d1,close,21</stp>
        <tr r="AC23" s="2"/>
      </tp>
      <tp>
        <v>0.89136000000000004</v>
        <stp/>
        <stp>21422436</stp>
        <stp>@bh,USDCHF,d1,close,22</stp>
        <tr r="AC24" s="2"/>
      </tp>
      <tp>
        <v>0.88963000000000003</v>
        <stp/>
        <stp>21422436</stp>
        <stp>@bh,USDCHF,d1,close,23</stp>
        <tr r="AC25" s="2"/>
      </tp>
      <tp>
        <v>0.88890999999999998</v>
        <stp/>
        <stp>21422436</stp>
        <stp>@bh,USDCHF,d1,close,24</stp>
        <tr r="AC26" s="2"/>
      </tp>
      <tp>
        <v>0.88776999999999995</v>
        <stp/>
        <stp>21422436</stp>
        <stp>@bh,USDCHF,d1,close,25</stp>
        <tr r="AC27" s="2"/>
      </tp>
      <tp>
        <v>0.88334000000000001</v>
        <stp/>
        <stp>21422436</stp>
        <stp>@bh,USDCHF,d1,close,26</stp>
        <tr r="AC28" s="2"/>
      </tp>
      <tp>
        <v>0.89380000000000004</v>
        <stp/>
        <stp>21422436</stp>
        <stp>@bh,USDCHF,d1,close,27</stp>
        <tr r="AC29" s="2"/>
      </tp>
      <tp>
        <v>0.88612000000000002</v>
        <stp/>
        <stp>21422436</stp>
        <stp>@bh,USDCHF,d1,close,18</stp>
        <tr r="AC20" s="2"/>
      </tp>
      <tp>
        <v>0.88368999999999998</v>
        <stp/>
        <stp>21422436</stp>
        <stp>@bh,USDCHF,d1,close,19</stp>
        <tr r="AC21" s="2"/>
      </tp>
      <tp>
        <v>0.86668000000000001</v>
        <stp/>
        <stp>21422436</stp>
        <stp>@bh,USDCHF,d1,close,10</stp>
        <tr r="AC12" s="2"/>
      </tp>
      <tp>
        <v>0.86165999999999998</v>
        <stp/>
        <stp>21422436</stp>
        <stp>@bh,USDCHF,d1,close,11</stp>
        <tr r="AC13" s="2"/>
      </tp>
      <tp>
        <v>0.85116999999999998</v>
        <stp/>
        <stp>21422436</stp>
        <stp>@bh,USDCHF,d1,close,12</stp>
        <tr r="AC14" s="2"/>
      </tp>
      <tp>
        <v>0.85228999999999999</v>
        <stp/>
        <stp>21422436</stp>
        <stp>@bh,USDCHF,d1,close,13</stp>
        <tr r="AC15" s="2"/>
      </tp>
      <tp>
        <v>0.8579</v>
        <stp/>
        <stp>21422436</stp>
        <stp>@bh,USDCHF,d1,close,14</stp>
        <tr r="AC16" s="2"/>
      </tp>
      <tp>
        <v>0.87292999999999998</v>
        <stp/>
        <stp>21422436</stp>
        <stp>@bh,USDCHF,d1,close,15</stp>
        <tr r="AC17" s="2"/>
      </tp>
      <tp>
        <v>0.87802999999999998</v>
        <stp/>
        <stp>21422436</stp>
        <stp>@bh,USDCHF,d1,close,16</stp>
        <tr r="AC18" s="2"/>
      </tp>
      <tp>
        <v>0.88270000000000004</v>
        <stp/>
        <stp>21422436</stp>
        <stp>@bh,USDCHF,d1,close,17</stp>
        <tr r="AC19" s="2"/>
      </tp>
      <tp>
        <v>1.3784099999999999</v>
        <stp/>
        <stp>21422436</stp>
        <stp>@bh,USDCAD,d1,close,22</stp>
        <tr r="AB24" s="2"/>
      </tp>
      <tp>
        <v>1.37571</v>
        <stp/>
        <stp>21422436</stp>
        <stp>@bh,USDCAD,d1,close,23</stp>
        <tr r="AB25" s="2"/>
      </tp>
      <tp>
        <v>1.38253</v>
        <stp/>
        <stp>21422436</stp>
        <stp>@bh,USDCAD,d1,close,20</stp>
        <tr r="AB22" s="2"/>
      </tp>
      <tp>
        <v>1.3807199999999999</v>
        <stp/>
        <stp>21422436</stp>
        <stp>@bh,USDCAD,d1,close,21</stp>
        <tr r="AB23" s="2"/>
      </tp>
      <tp>
        <v>1.36832</v>
        <stp/>
        <stp>21422436</stp>
        <stp>@bh,USDCAD,d1,close,26</stp>
        <tr r="AB28" s="2"/>
      </tp>
      <tp>
        <v>1.3672800000000001</v>
        <stp/>
        <stp>21422436</stp>
        <stp>@bh,USDCAD,d1,close,27</stp>
        <tr r="AB29" s="2"/>
      </tp>
      <tp>
        <v>1.3730199999999999</v>
        <stp/>
        <stp>21422436</stp>
        <stp>@bh,USDCAD,d1,close,24</stp>
        <tr r="AB26" s="2"/>
      </tp>
      <tp>
        <v>1.37059</v>
        <stp/>
        <stp>21422436</stp>
        <stp>@bh,USDCAD,d1,close,25</stp>
        <tr r="AB27" s="2"/>
      </tp>
      <tp>
        <v>1.3852</v>
        <stp/>
        <stp>21422436</stp>
        <stp>@bh,USDCAD,d1,close,18</stp>
        <tr r="AB20" s="2"/>
      </tp>
      <tp>
        <v>1.3835299999999999</v>
        <stp/>
        <stp>21422436</stp>
        <stp>@bh,USDCAD,d1,close,19</stp>
        <tr r="AB21" s="2"/>
      </tp>
      <tp>
        <v>1.3784400000000001</v>
        <stp/>
        <stp>21422436</stp>
        <stp>@bh,USDCAD,d1,close,12</stp>
        <tr r="AB14" s="2"/>
      </tp>
      <tp>
        <v>1.38259</v>
        <stp/>
        <stp>21422436</stp>
        <stp>@bh,USDCAD,d1,close,13</stp>
        <tr r="AB15" s="2"/>
      </tp>
      <tp>
        <v>1.3734599999999999</v>
        <stp/>
        <stp>21422436</stp>
        <stp>@bh,USDCAD,d1,close,10</stp>
        <tr r="AB12" s="2"/>
      </tp>
      <tp>
        <v>1.3756699999999999</v>
        <stp/>
        <stp>21422436</stp>
        <stp>@bh,USDCAD,d1,close,11</stp>
        <tr r="AB13" s="2"/>
      </tp>
      <tp>
        <v>1.38083</v>
        <stp/>
        <stp>21422436</stp>
        <stp>@bh,USDCAD,d1,close,16</stp>
        <tr r="AB18" s="2"/>
      </tp>
      <tp>
        <v>1.3851</v>
        <stp/>
        <stp>21422436</stp>
        <stp>@bh,USDCAD,d1,close,17</stp>
        <tr r="AB19" s="2"/>
      </tp>
      <tp>
        <v>1.3873200000000001</v>
        <stp/>
        <stp>21422436</stp>
        <stp>@bh,USDCAD,d1,close,14</stp>
        <tr r="AB16" s="2"/>
      </tp>
      <tp>
        <v>1.3873800000000001</v>
        <stp/>
        <stp>21422436</stp>
        <stp>@bh,USDCAD,d1,close,15</stp>
        <tr r="AB17" s="2"/>
      </tp>
      <tp>
        <v>1.09457</v>
        <stp/>
        <stp>21422436</stp>
        <stp>@bh,AUDNZD,h1,close,18</stp>
        <tr r="D20" s="3"/>
      </tp>
      <tp>
        <v>1.0942400000000001</v>
        <stp/>
        <stp>21422436</stp>
        <stp>@bh,AUDNZD,h1,close,19</stp>
        <tr r="D21" s="3"/>
      </tp>
      <tp>
        <v>1.09544</v>
        <stp/>
        <stp>21422436</stp>
        <stp>@bh,AUDNZD,h1,close,14</stp>
        <tr r="D16" s="3"/>
      </tp>
      <tp>
        <v>1.0949599999999999</v>
        <stp/>
        <stp>21422436</stp>
        <stp>@bh,AUDNZD,h1,close,15</stp>
        <tr r="D17" s="3"/>
      </tp>
      <tp>
        <v>1.0953599999999999</v>
        <stp/>
        <stp>21422436</stp>
        <stp>@bh,AUDNZD,h1,close,16</stp>
        <tr r="D18" s="3"/>
      </tp>
      <tp>
        <v>1.09473</v>
        <stp/>
        <stp>21422436</stp>
        <stp>@bh,AUDNZD,h1,close,17</stp>
        <tr r="D19" s="3"/>
      </tp>
      <tp>
        <v>1.0946800000000001</v>
        <stp/>
        <stp>21422436</stp>
        <stp>@bh,AUDNZD,h1,close,10</stp>
        <tr r="D12" s="3"/>
      </tp>
      <tp>
        <v>1.0956699999999999</v>
        <stp/>
        <stp>21422436</stp>
        <stp>@bh,AUDNZD,h1,close,11</stp>
        <tr r="D13" s="3"/>
      </tp>
      <tp>
        <v>1.0956900000000001</v>
        <stp/>
        <stp>21422436</stp>
        <stp>@bh,AUDNZD,h1,close,12</stp>
        <tr r="D14" s="3"/>
      </tp>
      <tp>
        <v>1.0952999999999999</v>
        <stp/>
        <stp>21422436</stp>
        <stp>@bh,AUDNZD,h1,close,13</stp>
        <tr r="D15" s="3"/>
      </tp>
      <tp>
        <v>2.1387499999999999</v>
        <stp/>
        <stp>21422436</stp>
        <stp>@bh,GBPNZD,h4,close,23</stp>
        <tr r="Q25" s="1"/>
      </tp>
      <tp>
        <v>2.1378300000000001</v>
        <stp/>
        <stp>21422436</stp>
        <stp>@bh,GBPNZD,h4,close,22</stp>
        <tr r="Q24" s="1"/>
      </tp>
      <tp>
        <v>2.1379299999999999</v>
        <stp/>
        <stp>21422436</stp>
        <stp>@bh,GBPNZD,h4,close,21</stp>
        <tr r="Q23" s="1"/>
      </tp>
      <tp>
        <v>2.1302300000000001</v>
        <stp/>
        <stp>21422436</stp>
        <stp>@bh,GBPNZD,h4,close,20</stp>
        <tr r="Q22" s="1"/>
      </tp>
      <tp>
        <v>2.1479499999999998</v>
        <stp/>
        <stp>21422436</stp>
        <stp>@bh,GBPNZD,h4,close,27</stp>
        <tr r="Q29" s="1"/>
      </tp>
      <tp>
        <v>2.1402299999999999</v>
        <stp/>
        <stp>21422436</stp>
        <stp>@bh,GBPNZD,h4,close,26</stp>
        <tr r="Q28" s="1"/>
      </tp>
      <tp>
        <v>2.1407799999999999</v>
        <stp/>
        <stp>21422436</stp>
        <stp>@bh,GBPNZD,h4,close,25</stp>
        <tr r="Q27" s="1"/>
      </tp>
      <tp>
        <v>2.1409699999999998</v>
        <stp/>
        <stp>21422436</stp>
        <stp>@bh,GBPNZD,h4,close,24</stp>
        <tr r="Q26" s="1"/>
      </tp>
      <tp>
        <v>1.8174999999999999</v>
        <stp/>
        <stp>21422436</stp>
        <stp>@bh,EURNZD,h4,close,18</stp>
        <tr r="N20" s="1"/>
      </tp>
      <tp>
        <v>1.81778</v>
        <stp/>
        <stp>21422436</stp>
        <stp>@bh,EURNZD,h4,close,19</stp>
        <tr r="N21" s="1"/>
      </tp>
      <tp>
        <v>1.81029</v>
        <stp/>
        <stp>21422436</stp>
        <stp>@bh,EURNZD,h4,close,14</stp>
        <tr r="N16" s="1"/>
      </tp>
      <tp>
        <v>1.8118000000000001</v>
        <stp/>
        <stp>21422436</stp>
        <stp>@bh,EURNZD,h4,close,15</stp>
        <tr r="N17" s="1"/>
      </tp>
      <tp>
        <v>1.8128200000000001</v>
        <stp/>
        <stp>21422436</stp>
        <stp>@bh,EURNZD,h4,close,16</stp>
        <tr r="N18" s="1"/>
      </tp>
      <tp>
        <v>1.8170200000000001</v>
        <stp/>
        <stp>21422436</stp>
        <stp>@bh,EURNZD,h4,close,17</stp>
        <tr r="N19" s="1"/>
      </tp>
      <tp>
        <v>1.8085800000000001</v>
        <stp/>
        <stp>21422436</stp>
        <stp>@bh,EURNZD,h4,close,10</stp>
        <tr r="N12" s="1"/>
      </tp>
      <tp>
        <v>1.8086800000000001</v>
        <stp/>
        <stp>21422436</stp>
        <stp>@bh,EURNZD,h4,close,11</stp>
        <tr r="N13" s="1"/>
      </tp>
      <tp>
        <v>1.80616</v>
        <stp/>
        <stp>21422436</stp>
        <stp>@bh,EURNZD,h4,close,12</stp>
        <tr r="N14" s="1"/>
      </tp>
      <tp>
        <v>1.80562</v>
        <stp/>
        <stp>21422436</stp>
        <stp>@bh,EURNZD,h4,close,13</stp>
        <tr r="N15" s="1"/>
      </tp>
      <tp>
        <v>1.82501</v>
        <stp/>
        <stp>21422436</stp>
        <stp>@bh,EURNZD,h4,close,24</stp>
        <tr r="N26" s="1"/>
      </tp>
      <tp>
        <v>1.8243400000000001</v>
        <stp/>
        <stp>21422436</stp>
        <stp>@bh,EURNZD,h4,close,25</stp>
        <tr r="N27" s="1"/>
      </tp>
      <tp>
        <v>1.8258799999999999</v>
        <stp/>
        <stp>21422436</stp>
        <stp>@bh,EURNZD,h4,close,26</stp>
        <tr r="N28" s="1"/>
      </tp>
      <tp>
        <v>1.83283</v>
        <stp/>
        <stp>21422436</stp>
        <stp>@bh,EURNZD,h4,close,27</stp>
        <tr r="N29" s="1"/>
      </tp>
      <tp>
        <v>1.81555</v>
        <stp/>
        <stp>21422436</stp>
        <stp>@bh,EURNZD,h4,close,20</stp>
        <tr r="N22" s="1"/>
      </tp>
      <tp>
        <v>1.8216399999999999</v>
        <stp/>
        <stp>21422436</stp>
        <stp>@bh,EURNZD,h4,close,21</stp>
        <tr r="N23" s="1"/>
      </tp>
      <tp>
        <v>1.8213600000000001</v>
        <stp/>
        <stp>21422436</stp>
        <stp>@bh,EURNZD,h4,close,22</stp>
        <tr r="N24" s="1"/>
      </tp>
      <tp>
        <v>1.82145</v>
        <stp/>
        <stp>21422436</stp>
        <stp>@bh,EURNZD,h4,close,23</stp>
        <tr r="N25" s="1"/>
      </tp>
      <tp>
        <v>1.09714</v>
        <stp/>
        <stp>21422436</stp>
        <stp>@bh,AUDNZD,h1,close,24</stp>
        <tr r="D26" s="3"/>
      </tp>
      <tp>
        <v>1.09737</v>
        <stp/>
        <stp>21422436</stp>
        <stp>@bh,AUDNZD,h1,close,25</stp>
        <tr r="D27" s="3"/>
      </tp>
      <tp>
        <v>1.0976399999999999</v>
        <stp/>
        <stp>21422436</stp>
        <stp>@bh,AUDNZD,h1,close,26</stp>
        <tr r="D28" s="3"/>
      </tp>
      <tp>
        <v>1.0973900000000001</v>
        <stp/>
        <stp>21422436</stp>
        <stp>@bh,AUDNZD,h1,close,27</stp>
        <tr r="D29" s="3"/>
      </tp>
      <tp>
        <v>1.09507</v>
        <stp/>
        <stp>21422436</stp>
        <stp>@bh,AUDNZD,h1,close,20</stp>
        <tr r="D22" s="3"/>
      </tp>
      <tp>
        <v>1.0955299999999999</v>
        <stp/>
        <stp>21422436</stp>
        <stp>@bh,AUDNZD,h1,close,21</stp>
        <tr r="D23" s="3"/>
      </tp>
      <tp>
        <v>1.0960700000000001</v>
        <stp/>
        <stp>21422436</stp>
        <stp>@bh,AUDNZD,h1,close,22</stp>
        <tr r="D24" s="3"/>
      </tp>
      <tp>
        <v>1.09683</v>
        <stp/>
        <stp>21422436</stp>
        <stp>@bh,AUDNZD,h1,close,23</stp>
        <tr r="D25" s="3"/>
      </tp>
      <tp>
        <v>2.1364000000000001</v>
        <stp/>
        <stp>21422436</stp>
        <stp>@bh,GBPNZD,h4,close,19</stp>
        <tr r="Q21" s="1"/>
      </tp>
      <tp>
        <v>2.1322700000000001</v>
        <stp/>
        <stp>21422436</stp>
        <stp>@bh,GBPNZD,h4,close,18</stp>
        <tr r="Q20" s="1"/>
      </tp>
      <tp>
        <v>2.1186799999999999</v>
        <stp/>
        <stp>21422436</stp>
        <stp>@bh,GBPNZD,h4,close,13</stp>
        <tr r="Q15" s="1"/>
      </tp>
      <tp>
        <v>2.1200399999999999</v>
        <stp/>
        <stp>21422436</stp>
        <stp>@bh,GBPNZD,h4,close,12</stp>
        <tr r="Q14" s="1"/>
      </tp>
      <tp>
        <v>2.1194999999999999</v>
        <stp/>
        <stp>21422436</stp>
        <stp>@bh,GBPNZD,h4,close,11</stp>
        <tr r="Q13" s="1"/>
      </tp>
      <tp>
        <v>2.1178400000000002</v>
        <stp/>
        <stp>21422436</stp>
        <stp>@bh,GBPNZD,h4,close,10</stp>
        <tr r="Q12" s="1"/>
      </tp>
      <tp>
        <v>2.1301299999999999</v>
        <stp/>
        <stp>21422436</stp>
        <stp>@bh,GBPNZD,h4,close,17</stp>
        <tr r="Q19" s="1"/>
      </tp>
      <tp>
        <v>2.1243799999999999</v>
        <stp/>
        <stp>21422436</stp>
        <stp>@bh,GBPNZD,h4,close,16</stp>
        <tr r="Q18" s="1"/>
      </tp>
      <tp>
        <v>2.1227299999999998</v>
        <stp/>
        <stp>21422436</stp>
        <stp>@bh,GBPNZD,h4,close,15</stp>
        <tr r="Q17" s="1"/>
      </tp>
      <tp>
        <v>2.1212300000000002</v>
        <stp/>
        <stp>21422436</stp>
        <stp>@bh,GBPNZD,h4,close,14</stp>
        <tr r="Q16" s="1"/>
      </tp>
      <tp>
        <v>1.80945</v>
        <stp/>
        <stp>21422436</stp>
        <stp>@bh,EURNZD,h1,close,18</stp>
        <tr r="N20" s="3"/>
      </tp>
      <tp>
        <v>1.80965</v>
        <stp/>
        <stp>21422436</stp>
        <stp>@bh,EURNZD,h1,close,19</stp>
        <tr r="N21" s="3"/>
      </tp>
      <tp>
        <v>1.8103800000000001</v>
        <stp/>
        <stp>21422436</stp>
        <stp>@bh,EURNZD,h1,close,14</stp>
        <tr r="N16" s="3"/>
      </tp>
      <tp>
        <v>1.81053</v>
        <stp/>
        <stp>21422436</stp>
        <stp>@bh,EURNZD,h1,close,15</stp>
        <tr r="N17" s="3"/>
      </tp>
      <tp>
        <v>1.81105</v>
        <stp/>
        <stp>21422436</stp>
        <stp>@bh,EURNZD,h1,close,16</stp>
        <tr r="N18" s="3"/>
      </tp>
      <tp>
        <v>1.81074</v>
        <stp/>
        <stp>21422436</stp>
        <stp>@bh,EURNZD,h1,close,17</stp>
        <tr r="N19" s="3"/>
      </tp>
      <tp>
        <v>1.8123199999999999</v>
        <stp/>
        <stp>21422436</stp>
        <stp>@bh,EURNZD,h1,close,10</stp>
        <tr r="N12" s="3"/>
      </tp>
      <tp>
        <v>1.8119499999999999</v>
        <stp/>
        <stp>21422436</stp>
        <stp>@bh,EURNZD,h1,close,11</stp>
        <tr r="N13" s="3"/>
      </tp>
      <tp>
        <v>1.81128</v>
        <stp/>
        <stp>21422436</stp>
        <stp>@bh,EURNZD,h1,close,12</stp>
        <tr r="N14" s="3"/>
      </tp>
      <tp>
        <v>1.81027</v>
        <stp/>
        <stp>21422436</stp>
        <stp>@bh,EURNZD,h1,close,13</stp>
        <tr r="N15" s="3"/>
      </tp>
      <tp>
        <v>1.10259</v>
        <stp/>
        <stp>21422436</stp>
        <stp>@bh,AUDNZD,h4,close,18</stp>
        <tr r="D20" s="1"/>
      </tp>
      <tp>
        <v>1.10151</v>
        <stp/>
        <stp>21422436</stp>
        <stp>@bh,AUDNZD,h4,close,19</stp>
        <tr r="D21" s="1"/>
      </tp>
      <tp>
        <v>1.0979300000000001</v>
        <stp/>
        <stp>21422436</stp>
        <stp>@bh,AUDNZD,h4,close,14</stp>
        <tr r="D16" s="1"/>
      </tp>
      <tp>
        <v>1.09958</v>
        <stp/>
        <stp>21422436</stp>
        <stp>@bh,AUDNZD,h4,close,15</stp>
        <tr r="D17" s="1"/>
      </tp>
      <tp>
        <v>1.1009</v>
        <stp/>
        <stp>21422436</stp>
        <stp>@bh,AUDNZD,h4,close,16</stp>
        <tr r="D18" s="1"/>
      </tp>
      <tp>
        <v>1.10267</v>
        <stp/>
        <stp>21422436</stp>
        <stp>@bh,AUDNZD,h4,close,17</stp>
        <tr r="D19" s="1"/>
      </tp>
      <tp>
        <v>1.0962700000000001</v>
        <stp/>
        <stp>21422436</stp>
        <stp>@bh,AUDNZD,h4,close,10</stp>
        <tr r="D12" s="1"/>
      </tp>
      <tp>
        <v>1.09619</v>
        <stp/>
        <stp>21422436</stp>
        <stp>@bh,AUDNZD,h4,close,11</stp>
        <tr r="D13" s="1"/>
      </tp>
      <tp>
        <v>1.09714</v>
        <stp/>
        <stp>21422436</stp>
        <stp>@bh,AUDNZD,h4,close,12</stp>
        <tr r="D14" s="1"/>
      </tp>
      <tp>
        <v>1.09646</v>
        <stp/>
        <stp>21422436</stp>
        <stp>@bh,AUDNZD,h4,close,13</stp>
        <tr r="D15" s="1"/>
      </tp>
      <tp>
        <v>2.1230799999999999</v>
        <stp/>
        <stp>21422436</stp>
        <stp>@bh,GBPNZD,h1,close,23</stp>
        <tr r="Q25" s="3"/>
      </tp>
      <tp>
        <v>2.1243300000000001</v>
        <stp/>
        <stp>21422436</stp>
        <stp>@bh,GBPNZD,h1,close,22</stp>
        <tr r="Q24" s="3"/>
      </tp>
      <tp>
        <v>2.1224099999999999</v>
        <stp/>
        <stp>21422436</stp>
        <stp>@bh,GBPNZD,h1,close,21</stp>
        <tr r="Q23" s="3"/>
      </tp>
      <tp>
        <v>2.1261700000000001</v>
        <stp/>
        <stp>21422436</stp>
        <stp>@bh,GBPNZD,h1,close,20</stp>
        <tr r="Q22" s="3"/>
      </tp>
      <tp>
        <v>2.1217100000000002</v>
        <stp/>
        <stp>21422436</stp>
        <stp>@bh,GBPNZD,h1,close,27</stp>
        <tr r="Q29" s="3"/>
      </tp>
      <tp>
        <v>2.1230799999999999</v>
        <stp/>
        <stp>21422436</stp>
        <stp>@bh,GBPNZD,h1,close,26</stp>
        <tr r="Q28" s="3"/>
      </tp>
      <tp>
        <v>2.1221899999999998</v>
        <stp/>
        <stp>21422436</stp>
        <stp>@bh,GBPNZD,h1,close,25</stp>
        <tr r="Q27" s="3"/>
      </tp>
      <tp>
        <v>2.1225000000000001</v>
        <stp/>
        <stp>21422436</stp>
        <stp>@bh,GBPNZD,h1,close,24</stp>
        <tr r="Q26" s="3"/>
      </tp>
      <tp>
        <v>1.1000399999999999</v>
        <stp/>
        <stp>21422436</stp>
        <stp>@bh,AUDNZD,h4,close,24</stp>
        <tr r="D26" s="1"/>
      </tp>
      <tp>
        <v>1.10185</v>
        <stp/>
        <stp>21422436</stp>
        <stp>@bh,AUDNZD,h4,close,25</stp>
        <tr r="D27" s="1"/>
      </tp>
      <tp>
        <v>1.10165</v>
        <stp/>
        <stp>21422436</stp>
        <stp>@bh,AUDNZD,h4,close,26</stp>
        <tr r="D28" s="1"/>
      </tp>
      <tp>
        <v>1.10439</v>
        <stp/>
        <stp>21422436</stp>
        <stp>@bh,AUDNZD,h4,close,27</stp>
        <tr r="D29" s="1"/>
      </tp>
      <tp>
        <v>1.09975</v>
        <stp/>
        <stp>21422436</stp>
        <stp>@bh,AUDNZD,h4,close,20</stp>
        <tr r="D22" s="1"/>
      </tp>
      <tp>
        <v>1.10301</v>
        <stp/>
        <stp>21422436</stp>
        <stp>@bh,AUDNZD,h4,close,21</stp>
        <tr r="D23" s="1"/>
      </tp>
      <tp>
        <v>1.1014600000000001</v>
        <stp/>
        <stp>21422436</stp>
        <stp>@bh,AUDNZD,h4,close,22</stp>
        <tr r="D24" s="1"/>
      </tp>
      <tp>
        <v>1.10172</v>
        <stp/>
        <stp>21422436</stp>
        <stp>@bh,AUDNZD,h4,close,23</stp>
        <tr r="D25" s="1"/>
      </tp>
      <tp>
        <v>2.1244999999999998</v>
        <stp/>
        <stp>21422436</stp>
        <stp>@bh,GBPNZD,h1,close,19</stp>
        <tr r="Q21" s="3"/>
      </tp>
      <tp>
        <v>2.1246700000000001</v>
        <stp/>
        <stp>21422436</stp>
        <stp>@bh,GBPNZD,h1,close,18</stp>
        <tr r="Q20" s="3"/>
      </tp>
      <tp>
        <v>2.1246100000000001</v>
        <stp/>
        <stp>21422436</stp>
        <stp>@bh,GBPNZD,h1,close,13</stp>
        <tr r="Q15" s="3"/>
      </tp>
      <tp>
        <v>2.1267800000000001</v>
        <stp/>
        <stp>21422436</stp>
        <stp>@bh,GBPNZD,h1,close,12</stp>
        <tr r="Q14" s="3"/>
      </tp>
      <tp>
        <v>2.1278299999999999</v>
        <stp/>
        <stp>21422436</stp>
        <stp>@bh,GBPNZD,h1,close,11</stp>
        <tr r="Q13" s="3"/>
      </tp>
      <tp>
        <v>2.12812</v>
        <stp/>
        <stp>21422436</stp>
        <stp>@bh,GBPNZD,h1,close,10</stp>
        <tr r="Q12" s="3"/>
      </tp>
      <tp>
        <v>2.1252399999999998</v>
        <stp/>
        <stp>21422436</stp>
        <stp>@bh,GBPNZD,h1,close,17</stp>
        <tr r="Q19" s="3"/>
      </tp>
      <tp>
        <v>2.1261100000000002</v>
        <stp/>
        <stp>21422436</stp>
        <stp>@bh,GBPNZD,h1,close,16</stp>
        <tr r="Q18" s="3"/>
      </tp>
      <tp>
        <v>2.12615</v>
        <stp/>
        <stp>21422436</stp>
        <stp>@bh,GBPNZD,h1,close,15</stp>
        <tr r="Q17" s="3"/>
      </tp>
      <tp>
        <v>2.1246900000000002</v>
        <stp/>
        <stp>21422436</stp>
        <stp>@bh,GBPNZD,h1,close,14</stp>
        <tr r="Q16" s="3"/>
      </tp>
      <tp>
        <v>1.8101100000000001</v>
        <stp/>
        <stp>21422436</stp>
        <stp>@bh,EURNZD,h1,close,24</stp>
        <tr r="N26" s="3"/>
      </tp>
      <tp>
        <v>1.81002</v>
        <stp/>
        <stp>21422436</stp>
        <stp>@bh,EURNZD,h1,close,25</stp>
        <tr r="N27" s="3"/>
      </tp>
      <tp>
        <v>1.81115</v>
        <stp/>
        <stp>21422436</stp>
        <stp>@bh,EURNZD,h1,close,26</stp>
        <tr r="N28" s="3"/>
      </tp>
      <tp>
        <v>1.81063</v>
        <stp/>
        <stp>21422436</stp>
        <stp>@bh,EURNZD,h1,close,27</stp>
        <tr r="N29" s="3"/>
      </tp>
      <tp>
        <v>1.8105800000000001</v>
        <stp/>
        <stp>21422436</stp>
        <stp>@bh,EURNZD,h1,close,20</stp>
        <tr r="N22" s="3"/>
      </tp>
      <tp>
        <v>1.8084899999999999</v>
        <stp/>
        <stp>21422436</stp>
        <stp>@bh,EURNZD,h1,close,21</stp>
        <tr r="N23" s="3"/>
      </tp>
      <tp>
        <v>1.80952</v>
        <stp/>
        <stp>21422436</stp>
        <stp>@bh,EURNZD,h1,close,22</stp>
        <tr r="N24" s="3"/>
      </tp>
      <tp>
        <v>1.8083199999999999</v>
        <stp/>
        <stp>21422436</stp>
        <stp>@bh,EURNZD,h1,close,23</stp>
        <tr r="N25" s="3"/>
      </tp>
      <tp>
        <v>1.62784</v>
        <stp/>
        <stp>21422436</stp>
        <stp>@bh,EURAUD,d1,close,24</stp>
        <tr r="M26" s="2"/>
      </tp>
      <tp>
        <v>1.62466</v>
        <stp/>
        <stp>21422436</stp>
        <stp>@bh,EURAUD,d1,close,25</stp>
        <tr r="M27" s="2"/>
      </tp>
      <tp>
        <v>1.6256999999999999</v>
        <stp/>
        <stp>21422436</stp>
        <stp>@bh,EURAUD,d1,close,26</stp>
        <tr r="M28" s="2"/>
      </tp>
      <tp>
        <v>1.6184700000000001</v>
        <stp/>
        <stp>21422436</stp>
        <stp>@bh,EURAUD,d1,close,27</stp>
        <tr r="M29" s="2"/>
      </tp>
      <tp>
        <v>1.65873</v>
        <stp/>
        <stp>21422436</stp>
        <stp>@bh,EURAUD,d1,close,20</stp>
        <tr r="M22" s="2"/>
      </tp>
      <tp>
        <v>1.6470199999999999</v>
        <stp/>
        <stp>21422436</stp>
        <stp>@bh,EURAUD,d1,close,21</stp>
        <tr r="M23" s="2"/>
      </tp>
      <tp>
        <v>1.6404300000000001</v>
        <stp/>
        <stp>21422436</stp>
        <stp>@bh,EURAUD,d1,close,22</stp>
        <tr r="M24" s="2"/>
      </tp>
      <tp>
        <v>1.6394899999999999</v>
        <stp/>
        <stp>21422436</stp>
        <stp>@bh,EURAUD,d1,close,23</stp>
        <tr r="M25" s="2"/>
      </tp>
      <tp>
        <v>1.9649799999999999</v>
        <stp/>
        <stp>21422436</stp>
        <stp>@bh,GBPAUD,d1,close,19</stp>
        <tr r="P21" s="2"/>
      </tp>
      <tp>
        <v>1.96373</v>
        <stp/>
        <stp>21422436</stp>
        <stp>@bh,GBPAUD,d1,close,18</stp>
        <tr r="P20" s="2"/>
      </tp>
      <tp>
        <v>1.96658</v>
        <stp/>
        <stp>21422436</stp>
        <stp>@bh,GBPAUD,d1,close,13</stp>
        <tr r="P15" s="2"/>
      </tp>
      <tp>
        <v>1.9471099999999999</v>
        <stp/>
        <stp>21422436</stp>
        <stp>@bh,GBPAUD,d1,close,12</stp>
        <tr r="P14" s="2"/>
      </tp>
      <tp>
        <v>1.9467699999999999</v>
        <stp/>
        <stp>21422436</stp>
        <stp>@bh,GBPAUD,d1,close,11</stp>
        <tr r="P13" s="2"/>
      </tp>
      <tp>
        <v>1.9337800000000001</v>
        <stp/>
        <stp>21422436</stp>
        <stp>@bh,GBPAUD,d1,close,10</stp>
        <tr r="P12" s="2"/>
      </tp>
      <tp>
        <v>1.96339</v>
        <stp/>
        <stp>21422436</stp>
        <stp>@bh,GBPAUD,d1,close,17</stp>
        <tr r="P19" s="2"/>
      </tp>
      <tp>
        <v>1.9651400000000001</v>
        <stp/>
        <stp>21422436</stp>
        <stp>@bh,GBPAUD,d1,close,16</stp>
        <tr r="P18" s="2"/>
      </tp>
      <tp>
        <v>1.9592099999999999</v>
        <stp/>
        <stp>21422436</stp>
        <stp>@bh,GBPAUD,d1,close,15</stp>
        <tr r="P17" s="2"/>
      </tp>
      <tp>
        <v>1.96678</v>
        <stp/>
        <stp>21422436</stp>
        <stp>@bh,GBPAUD,d1,close,14</stp>
        <tr r="P16" s="2"/>
      </tp>
      <tp>
        <v>1.94706</v>
        <stp/>
        <stp>21422436</stp>
        <stp>@bh,GBPAUD,d1,close,23</stp>
        <tr r="P25" s="2"/>
      </tp>
      <tp>
        <v>1.9508700000000001</v>
        <stp/>
        <stp>21422436</stp>
        <stp>@bh,GBPAUD,d1,close,22</stp>
        <tr r="P24" s="2"/>
      </tp>
      <tp>
        <v>1.9611400000000001</v>
        <stp/>
        <stp>21422436</stp>
        <stp>@bh,GBPAUD,d1,close,21</stp>
        <tr r="P23" s="2"/>
      </tp>
      <tp>
        <v>1.9653400000000001</v>
        <stp/>
        <stp>21422436</stp>
        <stp>@bh,GBPAUD,d1,close,20</stp>
        <tr r="P22" s="2"/>
      </tp>
      <tp>
        <v>1.92652</v>
        <stp/>
        <stp>21422436</stp>
        <stp>@bh,GBPAUD,d1,close,27</stp>
        <tr r="P29" s="2"/>
      </tp>
      <tp>
        <v>1.9330799999999999</v>
        <stp/>
        <stp>21422436</stp>
        <stp>@bh,GBPAUD,d1,close,26</stp>
        <tr r="P28" s="2"/>
      </tp>
      <tp>
        <v>1.92988</v>
        <stp/>
        <stp>21422436</stp>
        <stp>@bh,GBPAUD,d1,close,25</stp>
        <tr r="P27" s="2"/>
      </tp>
      <tp>
        <v>1.9314499999999999</v>
        <stp/>
        <stp>21422436</stp>
        <stp>@bh,GBPAUD,d1,close,24</stp>
        <tr r="P26" s="2"/>
      </tp>
      <tp>
        <v>1.65228</v>
        <stp/>
        <stp>21422436</stp>
        <stp>@bh,EURAUD,d1,close,18</stp>
        <tr r="M20" s="2"/>
      </tp>
      <tp>
        <v>1.65805</v>
        <stp/>
        <stp>21422436</stp>
        <stp>@bh,EURAUD,d1,close,19</stp>
        <tr r="M21" s="2"/>
      </tp>
      <tp>
        <v>1.67587</v>
        <stp/>
        <stp>21422436</stp>
        <stp>@bh,EURAUD,d1,close,14</stp>
        <tr r="M16" s="2"/>
      </tp>
      <tp>
        <v>1.65977</v>
        <stp/>
        <stp>21422436</stp>
        <stp>@bh,EURAUD,d1,close,15</stp>
        <tr r="M17" s="2"/>
      </tp>
      <tp>
        <v>1.6549100000000001</v>
        <stp/>
        <stp>21422436</stp>
        <stp>@bh,EURAUD,d1,close,16</stp>
        <tr r="M18" s="2"/>
      </tp>
      <tp>
        <v>1.65421</v>
        <stp/>
        <stp>21422436</stp>
        <stp>@bh,EURAUD,d1,close,17</stp>
        <tr r="M19" s="2"/>
      </tp>
      <tp>
        <v>1.65625</v>
        <stp/>
        <stp>21422436</stp>
        <stp>@bh,EURAUD,d1,close,10</stp>
        <tr r="M12" s="2"/>
      </tp>
      <tp>
        <v>1.67547</v>
        <stp/>
        <stp>21422436</stp>
        <stp>@bh,EURAUD,d1,close,11</stp>
        <tr r="M13" s="2"/>
      </tp>
      <tp>
        <v>1.6770499999999999</v>
        <stp/>
        <stp>21422436</stp>
        <stp>@bh,EURAUD,d1,close,12</stp>
        <tr r="M14" s="2"/>
      </tp>
      <tp>
        <v>1.68567</v>
        <stp/>
        <stp>21422436</stp>
        <stp>@bh,EURAUD,d1,close,13</stp>
        <tr r="M15" s="2"/>
      </tp>
      <tp>
        <v>0.95669000000000004</v>
        <stp/>
        <stp>21422436</stp>
        <stp>@bh,EURCHF,h4,close,26</stp>
        <tr r="K28" s="1"/>
      </tp>
      <tp>
        <v>0.95682</v>
        <stp/>
        <stp>21422436</stp>
        <stp>@bh,EURCHF,h4,close,27</stp>
        <tr r="K29" s="1"/>
      </tp>
      <tp>
        <v>0.95296999999999998</v>
        <stp/>
        <stp>21422436</stp>
        <stp>@bh,EURCHF,h4,close,24</stp>
        <tr r="K26" s="1"/>
      </tp>
      <tp>
        <v>0.95387</v>
        <stp/>
        <stp>21422436</stp>
        <stp>@bh,EURCHF,h4,close,25</stp>
        <tr r="K27" s="1"/>
      </tp>
      <tp>
        <v>0.95503000000000005</v>
        <stp/>
        <stp>21422436</stp>
        <stp>@bh,EURCHF,h4,close,22</stp>
        <tr r="K24" s="1"/>
      </tp>
      <tp>
        <v>0.95557999999999998</v>
        <stp/>
        <stp>21422436</stp>
        <stp>@bh,EURCHF,h4,close,23</stp>
        <tr r="K25" s="1"/>
      </tp>
      <tp>
        <v>0.95372000000000001</v>
        <stp/>
        <stp>21422436</stp>
        <stp>@bh,EURCHF,h4,close,20</stp>
        <tr r="K22" s="1"/>
      </tp>
      <tp>
        <v>0.95613000000000004</v>
        <stp/>
        <stp>21422436</stp>
        <stp>@bh,EURCHF,h4,close,21</stp>
        <tr r="K23" s="1"/>
      </tp>
      <tp>
        <v>0.62605999999999995</v>
        <stp/>
        <stp>21422436</stp>
        <stp>@bh,CADCHF,h1,close,18</stp>
        <tr r="Z20" s="3"/>
      </tp>
      <tp>
        <v>0.62605</v>
        <stp/>
        <stp>21422436</stp>
        <stp>@bh,CADCHF,h1,close,19</stp>
        <tr r="Z21" s="3"/>
      </tp>
      <tp>
        <v>0.62695999999999996</v>
        <stp/>
        <stp>21422436</stp>
        <stp>@bh,CADCHF,h1,close,12</stp>
        <tr r="Z14" s="3"/>
      </tp>
      <tp>
        <v>0.62663000000000002</v>
        <stp/>
        <stp>21422436</stp>
        <stp>@bh,CADCHF,h1,close,13</stp>
        <tr r="Z15" s="3"/>
      </tp>
      <tp>
        <v>0.62707999999999997</v>
        <stp/>
        <stp>21422436</stp>
        <stp>@bh,CADCHF,h1,close,10</stp>
        <tr r="Z12" s="3"/>
      </tp>
      <tp>
        <v>0.62717000000000001</v>
        <stp/>
        <stp>21422436</stp>
        <stp>@bh,CADCHF,h1,close,11</stp>
        <tr r="Z13" s="3"/>
      </tp>
      <tp>
        <v>0.62648999999999999</v>
        <stp/>
        <stp>21422436</stp>
        <stp>@bh,CADCHF,h1,close,16</stp>
        <tr r="Z18" s="3"/>
      </tp>
      <tp>
        <v>0.62626000000000004</v>
        <stp/>
        <stp>21422436</stp>
        <stp>@bh,CADCHF,h1,close,17</stp>
        <tr r="Z19" s="3"/>
      </tp>
      <tp>
        <v>0.62629000000000001</v>
        <stp/>
        <stp>21422436</stp>
        <stp>@bh,CADCHF,h1,close,14</stp>
        <tr r="Z16" s="3"/>
      </tp>
      <tp>
        <v>0.62609999999999999</v>
        <stp/>
        <stp>21422436</stp>
        <stp>@bh,CADCHF,h1,close,15</stp>
        <tr r="Z17" s="3"/>
      </tp>
      <tp>
        <v>0.83550000000000002</v>
        <stp/>
        <stp>21422436</stp>
        <stp>@bh,NZDCAD,h4,close,13</stp>
        <tr r="X15" s="1"/>
      </tp>
      <tp>
        <v>0.83686000000000005</v>
        <stp/>
        <stp>21422436</stp>
        <stp>@bh,NZDCAD,h4,close,12</stp>
        <tr r="X14" s="1"/>
      </tp>
      <tp>
        <v>0.83753</v>
        <stp/>
        <stp>21422436</stp>
        <stp>@bh,NZDCAD,h4,close,11</stp>
        <tr r="X13" s="1"/>
      </tp>
      <tp>
        <v>0.83808000000000005</v>
        <stp/>
        <stp>21422436</stp>
        <stp>@bh,NZDCAD,h4,close,10</stp>
        <tr r="X12" s="1"/>
      </tp>
      <tp>
        <v>0.83172999999999997</v>
        <stp/>
        <stp>21422436</stp>
        <stp>@bh,NZDCAD,h4,close,17</stp>
        <tr r="X19" s="1"/>
      </tp>
      <tp>
        <v>0.83350999999999997</v>
        <stp/>
        <stp>21422436</stp>
        <stp>@bh,NZDCAD,h4,close,16</stp>
        <tr r="X18" s="1"/>
      </tp>
      <tp>
        <v>0.83396999999999999</v>
        <stp/>
        <stp>21422436</stp>
        <stp>@bh,NZDCAD,h4,close,15</stp>
        <tr r="X17" s="1"/>
      </tp>
      <tp>
        <v>0.83433000000000002</v>
        <stp/>
        <stp>21422436</stp>
        <stp>@bh,NZDCAD,h4,close,14</stp>
        <tr r="X16" s="1"/>
      </tp>
      <tp>
        <v>0.57677999999999996</v>
        <stp/>
        <stp>21422436</stp>
        <stp>@bh,AUDCHF,h1,close,26</stp>
        <tr r="F28" s="3"/>
      </tp>
      <tp>
        <v>0.57618000000000003</v>
        <stp/>
        <stp>21422436</stp>
        <stp>@bh,AUDCHF,h1,close,27</stp>
        <tr r="F29" s="3"/>
      </tp>
      <tp>
        <v>0.57584999999999997</v>
        <stp/>
        <stp>21422436</stp>
        <stp>@bh,AUDCHF,h1,close,24</stp>
        <tr r="F26" s="3"/>
      </tp>
      <tp>
        <v>0.83021999999999996</v>
        <stp/>
        <stp>21422436</stp>
        <stp>@bh,NZDCAD,h4,close,19</stp>
        <tr r="X21" s="1"/>
      </tp>
      <tp>
        <v>0.57621999999999995</v>
        <stp/>
        <stp>21422436</stp>
        <stp>@bh,AUDCHF,h1,close,25</stp>
        <tr r="F27" s="3"/>
      </tp>
      <tp>
        <v>0.83035000000000003</v>
        <stp/>
        <stp>21422436</stp>
        <stp>@bh,NZDCAD,h4,close,18</stp>
        <tr r="X20" s="1"/>
      </tp>
      <tp>
        <v>0.57499999999999996</v>
        <stp/>
        <stp>21422436</stp>
        <stp>@bh,AUDCHF,h1,close,22</stp>
        <tr r="F24" s="3"/>
      </tp>
      <tp>
        <v>0.57547999999999999</v>
        <stp/>
        <stp>21422436</stp>
        <stp>@bh,AUDCHF,h1,close,23</stp>
        <tr r="F25" s="3"/>
      </tp>
      <tp>
        <v>0.57391999999999999</v>
        <stp/>
        <stp>21422436</stp>
        <stp>@bh,AUDCHF,h1,close,20</stp>
        <tr r="F22" s="3"/>
      </tp>
      <tp>
        <v>0.57477</v>
        <stp/>
        <stp>21422436</stp>
        <stp>@bh,AUDCHF,h1,close,21</stp>
        <tr r="F23" s="3"/>
      </tp>
      <tp>
        <v>1.12154</v>
        <stp/>
        <stp>21422436</stp>
        <stp>@bh,GBPCHF,h4,close,19</stp>
        <tr r="S21" s="1"/>
      </tp>
      <tp>
        <v>1.1207199999999999</v>
        <stp/>
        <stp>21422436</stp>
        <stp>@bh,GBPCHF,h4,close,18</stp>
        <tr r="S20" s="1"/>
      </tp>
      <tp>
        <v>1.1151500000000001</v>
        <stp/>
        <stp>21422436</stp>
        <stp>@bh,GBPCHF,h4,close,11</stp>
        <tr r="S13" s="1"/>
      </tp>
      <tp>
        <v>1.1131</v>
        <stp/>
        <stp>21422436</stp>
        <stp>@bh,GBPCHF,h4,close,10</stp>
        <tr r="S12" s="1"/>
      </tp>
      <tp>
        <v>1.1181700000000001</v>
        <stp/>
        <stp>21422436</stp>
        <stp>@bh,GBPCHF,h4,close,13</stp>
        <tr r="S15" s="1"/>
      </tp>
      <tp>
        <v>1.1191599999999999</v>
        <stp/>
        <stp>21422436</stp>
        <stp>@bh,GBPCHF,h4,close,12</stp>
        <tr r="S14" s="1"/>
      </tp>
      <tp>
        <v>1.1192</v>
        <stp/>
        <stp>21422436</stp>
        <stp>@bh,GBPCHF,h4,close,15</stp>
        <tr r="S17" s="1"/>
      </tp>
      <tp>
        <v>1.1189100000000001</v>
        <stp/>
        <stp>21422436</stp>
        <stp>@bh,GBPCHF,h4,close,14</stp>
        <tr r="S16" s="1"/>
      </tp>
      <tp>
        <v>1.12036</v>
        <stp/>
        <stp>21422436</stp>
        <stp>@bh,GBPCHF,h4,close,17</stp>
        <tr r="S19" s="1"/>
      </tp>
      <tp>
        <v>1.1209100000000001</v>
        <stp/>
        <stp>21422436</stp>
        <stp>@bh,GBPCHF,h4,close,16</stp>
        <tr r="S18" s="1"/>
      </tp>
      <tp>
        <v>0.82730999999999999</v>
        <stp/>
        <stp>21422436</stp>
        <stp>@bh,NZDCAD,h4,close,23</stp>
        <tr r="X25" s="1"/>
      </tp>
      <tp>
        <v>0.82811000000000001</v>
        <stp/>
        <stp>21422436</stp>
        <stp>@bh,NZDCAD,h4,close,22</stp>
        <tr r="X24" s="1"/>
      </tp>
      <tp>
        <v>0.82782999999999995</v>
        <stp/>
        <stp>21422436</stp>
        <stp>@bh,NZDCAD,h4,close,21</stp>
        <tr r="X23" s="1"/>
      </tp>
      <tp>
        <v>0.83086000000000004</v>
        <stp/>
        <stp>21422436</stp>
        <stp>@bh,NZDCAD,h4,close,20</stp>
        <tr r="X22" s="1"/>
      </tp>
      <tp>
        <v>0.82220000000000004</v>
        <stp/>
        <stp>21422436</stp>
        <stp>@bh,NZDCAD,h4,close,27</stp>
        <tr r="X29" s="1"/>
      </tp>
      <tp>
        <v>0.82545999999999997</v>
        <stp/>
        <stp>21422436</stp>
        <stp>@bh,NZDCAD,h4,close,26</stp>
        <tr r="X28" s="1"/>
      </tp>
      <tp>
        <v>0.57420000000000004</v>
        <stp/>
        <stp>21422436</stp>
        <stp>@bh,AUDCHF,h1,close,18</stp>
        <tr r="F20" s="3"/>
      </tp>
      <tp>
        <v>0.82584999999999997</v>
        <stp/>
        <stp>21422436</stp>
        <stp>@bh,NZDCAD,h4,close,25</stp>
        <tr r="X27" s="1"/>
      </tp>
      <tp>
        <v>0.57389000000000001</v>
        <stp/>
        <stp>21422436</stp>
        <stp>@bh,AUDCHF,h1,close,19</stp>
        <tr r="F21" s="3"/>
      </tp>
      <tp>
        <v>0.82674000000000003</v>
        <stp/>
        <stp>21422436</stp>
        <stp>@bh,NZDCAD,h4,close,24</stp>
        <tr r="X26" s="1"/>
      </tp>
      <tp>
        <v>0.57435000000000003</v>
        <stp/>
        <stp>21422436</stp>
        <stp>@bh,AUDCHF,h1,close,16</stp>
        <tr r="F18" s="3"/>
      </tp>
      <tp>
        <v>0.57408999999999999</v>
        <stp/>
        <stp>21422436</stp>
        <stp>@bh,AUDCHF,h1,close,17</stp>
        <tr r="F19" s="3"/>
      </tp>
      <tp>
        <v>0.57435000000000003</v>
        <stp/>
        <stp>21422436</stp>
        <stp>@bh,AUDCHF,h1,close,14</stp>
        <tr r="F16" s="3"/>
      </tp>
      <tp>
        <v>0.57386000000000004</v>
        <stp/>
        <stp>21422436</stp>
        <stp>@bh,AUDCHF,h1,close,15</stp>
        <tr r="F17" s="3"/>
      </tp>
      <tp>
        <v>0.57440000000000002</v>
        <stp/>
        <stp>21422436</stp>
        <stp>@bh,AUDCHF,h1,close,12</stp>
        <tr r="F14" s="3"/>
      </tp>
      <tp>
        <v>0.57447999999999999</v>
        <stp/>
        <stp>21422436</stp>
        <stp>@bh,AUDCHF,h1,close,13</stp>
        <tr r="F15" s="3"/>
      </tp>
      <tp>
        <v>0.57345000000000002</v>
        <stp/>
        <stp>21422436</stp>
        <stp>@bh,AUDCHF,h1,close,10</stp>
        <tr r="F12" s="3"/>
      </tp>
      <tp>
        <v>0.57428999999999997</v>
        <stp/>
        <stp>21422436</stp>
        <stp>@bh,AUDCHF,h1,close,11</stp>
        <tr r="F13" s="3"/>
      </tp>
      <tp>
        <v>1.1221300000000001</v>
        <stp/>
        <stp>21422436</stp>
        <stp>@bh,GBPCHF,h4,close,21</stp>
        <tr r="S23" s="1"/>
      </tp>
      <tp>
        <v>1.1190599999999999</v>
        <stp/>
        <stp>21422436</stp>
        <stp>@bh,GBPCHF,h4,close,20</stp>
        <tr r="S22" s="1"/>
      </tp>
      <tp>
        <v>1.12208</v>
        <stp/>
        <stp>21422436</stp>
        <stp>@bh,GBPCHF,h4,close,23</stp>
        <tr r="S25" s="1"/>
      </tp>
      <tp>
        <v>1.1209800000000001</v>
        <stp/>
        <stp>21422436</stp>
        <stp>@bh,GBPCHF,h4,close,22</stp>
        <tr r="S24" s="1"/>
      </tp>
      <tp>
        <v>1.1193200000000001</v>
        <stp/>
        <stp>21422436</stp>
        <stp>@bh,GBPCHF,h4,close,25</stp>
        <tr r="S27" s="1"/>
      </tp>
      <tp>
        <v>1.11798</v>
        <stp/>
        <stp>21422436</stp>
        <stp>@bh,GBPCHF,h4,close,24</stp>
        <tr r="S26" s="1"/>
      </tp>
      <tp>
        <v>1.1213599999999999</v>
        <stp/>
        <stp>21422436</stp>
        <stp>@bh,GBPCHF,h4,close,27</stp>
        <tr r="S29" s="1"/>
      </tp>
      <tp>
        <v>1.1213599999999999</v>
        <stp/>
        <stp>21422436</stp>
        <stp>@bh,GBPCHF,h4,close,26</stp>
        <tr r="S28" s="1"/>
      </tp>
      <tp>
        <v>0.95526</v>
        <stp/>
        <stp>21422436</stp>
        <stp>@bh,EURCHF,h4,close,18</stp>
        <tr r="K20" s="1"/>
      </tp>
      <tp>
        <v>0.95426</v>
        <stp/>
        <stp>21422436</stp>
        <stp>@bh,EURCHF,h4,close,19</stp>
        <tr r="K21" s="1"/>
      </tp>
      <tp>
        <v>0.95650000000000002</v>
        <stp/>
        <stp>21422436</stp>
        <stp>@bh,EURCHF,h4,close,16</stp>
        <tr r="K18" s="1"/>
      </tp>
      <tp>
        <v>0.95565</v>
        <stp/>
        <stp>21422436</stp>
        <stp>@bh,EURCHF,h4,close,17</stp>
        <tr r="K19" s="1"/>
      </tp>
      <tp>
        <v>0.95484000000000002</v>
        <stp/>
        <stp>21422436</stp>
        <stp>@bh,EURCHF,h4,close,14</stp>
        <tr r="K16" s="1"/>
      </tp>
      <tp>
        <v>0.95523999999999998</v>
        <stp/>
        <stp>21422436</stp>
        <stp>@bh,EURCHF,h4,close,15</stp>
        <tr r="K17" s="1"/>
      </tp>
      <tp>
        <v>0.95345999999999997</v>
        <stp/>
        <stp>21422436</stp>
        <stp>@bh,EURCHF,h4,close,12</stp>
        <tr r="K14" s="1"/>
      </tp>
      <tp>
        <v>0.95289999999999997</v>
        <stp/>
        <stp>21422436</stp>
        <stp>@bh,EURCHF,h4,close,13</stp>
        <tr r="K15" s="1"/>
      </tp>
      <tp>
        <v>0.95052000000000003</v>
        <stp/>
        <stp>21422436</stp>
        <stp>@bh,EURCHF,h4,close,10</stp>
        <tr r="K12" s="1"/>
      </tp>
      <tp>
        <v>0.95162000000000002</v>
        <stp/>
        <stp>21422436</stp>
        <stp>@bh,EURCHF,h4,close,11</stp>
        <tr r="K13" s="1"/>
      </tp>
      <tp>
        <v>0.62748999999999999</v>
        <stp/>
        <stp>21422436</stp>
        <stp>@bh,CADCHF,h1,close,22</stp>
        <tr r="Z24" s="3"/>
      </tp>
      <tp>
        <v>0.62778999999999996</v>
        <stp/>
        <stp>21422436</stp>
        <stp>@bh,CADCHF,h1,close,23</stp>
        <tr r="Z25" s="3"/>
      </tp>
      <tp>
        <v>0.62644</v>
        <stp/>
        <stp>21422436</stp>
        <stp>@bh,CADCHF,h1,close,20</stp>
        <tr r="Z22" s="3"/>
      </tp>
      <tp>
        <v>0.62695000000000001</v>
        <stp/>
        <stp>21422436</stp>
        <stp>@bh,CADCHF,h1,close,21</stp>
        <tr r="Z23" s="3"/>
      </tp>
      <tp>
        <v>0.62904000000000004</v>
        <stp/>
        <stp>21422436</stp>
        <stp>@bh,CADCHF,h1,close,26</stp>
        <tr r="Z28" s="3"/>
      </tp>
      <tp>
        <v>0.62839</v>
        <stp/>
        <stp>21422436</stp>
        <stp>@bh,CADCHF,h1,close,27</stp>
        <tr r="Z29" s="3"/>
      </tp>
      <tp>
        <v>0.62802000000000002</v>
        <stp/>
        <stp>21422436</stp>
        <stp>@bh,CADCHF,h1,close,24</stp>
        <tr r="Z26" s="3"/>
      </tp>
      <tp>
        <v>0.62877000000000005</v>
        <stp/>
        <stp>21422436</stp>
        <stp>@bh,CADCHF,h1,close,25</stp>
        <tr r="Z27" s="3"/>
      </tp>
      <tp>
        <v>0.83694999999999997</v>
        <stp/>
        <stp>21422436</stp>
        <stp>@bh,NZDCAD,h1,close,13</stp>
        <tr r="X15" s="3"/>
      </tp>
      <tp>
        <v>0.83611999999999997</v>
        <stp/>
        <stp>21422436</stp>
        <stp>@bh,NZDCAD,h1,close,12</stp>
        <tr r="X14" s="3"/>
      </tp>
      <tp>
        <v>0.83569000000000004</v>
        <stp/>
        <stp>21422436</stp>
        <stp>@bh,NZDCAD,h1,close,11</stp>
        <tr r="X13" s="3"/>
      </tp>
      <tp>
        <v>0.83533000000000002</v>
        <stp/>
        <stp>21422436</stp>
        <stp>@bh,NZDCAD,h1,close,10</stp>
        <tr r="X12" s="3"/>
      </tp>
      <tp>
        <v>0.83731</v>
        <stp/>
        <stp>21422436</stp>
        <stp>@bh,NZDCAD,h1,close,17</stp>
        <tr r="X19" s="3"/>
      </tp>
      <tp>
        <v>0.83684000000000003</v>
        <stp/>
        <stp>21422436</stp>
        <stp>@bh,NZDCAD,h1,close,16</stp>
        <tr r="X18" s="3"/>
      </tp>
      <tp>
        <v>0.83648</v>
        <stp/>
        <stp>21422436</stp>
        <stp>@bh,NZDCAD,h1,close,15</stp>
        <tr r="X17" s="3"/>
      </tp>
      <tp>
        <v>0.83711999999999998</v>
        <stp/>
        <stp>21422436</stp>
        <stp>@bh,NZDCAD,h1,close,14</stp>
        <tr r="X16" s="3"/>
      </tp>
      <tp>
        <v>0.57720000000000005</v>
        <stp/>
        <stp>21422436</stp>
        <stp>@bh,AUDCHF,h4,close,26</stp>
        <tr r="F28" s="1"/>
      </tp>
      <tp>
        <v>0.57655999999999996</v>
        <stp/>
        <stp>21422436</stp>
        <stp>@bh,AUDCHF,h4,close,27</stp>
        <tr r="F29" s="1"/>
      </tp>
      <tp>
        <v>0.57442000000000004</v>
        <stp/>
        <stp>21422436</stp>
        <stp>@bh,AUDCHF,h4,close,24</stp>
        <tr r="F26" s="1"/>
      </tp>
      <tp>
        <v>0.83765000000000001</v>
        <stp/>
        <stp>21422436</stp>
        <stp>@bh,NZDCAD,h1,close,19</stp>
        <tr r="X21" s="3"/>
      </tp>
      <tp>
        <v>0.57611999999999997</v>
        <stp/>
        <stp>21422436</stp>
        <stp>@bh,AUDCHF,h4,close,25</stp>
        <tr r="F27" s="1"/>
      </tp>
      <tp>
        <v>0.83784000000000003</v>
        <stp/>
        <stp>21422436</stp>
        <stp>@bh,NZDCAD,h1,close,18</stp>
        <tr r="X20" s="3"/>
      </tp>
      <tp>
        <v>0.57755999999999996</v>
        <stp/>
        <stp>21422436</stp>
        <stp>@bh,AUDCHF,h4,close,22</stp>
        <tr r="F24" s="1"/>
      </tp>
      <tp>
        <v>0.57801000000000002</v>
        <stp/>
        <stp>21422436</stp>
        <stp>@bh,AUDCHF,h4,close,23</stp>
        <tr r="F25" s="1"/>
      </tp>
      <tp>
        <v>0.57772000000000001</v>
        <stp/>
        <stp>21422436</stp>
        <stp>@bh,AUDCHF,h4,close,20</stp>
        <tr r="F22" s="1"/>
      </tp>
      <tp>
        <v>0.57891999999999999</v>
        <stp/>
        <stp>21422436</stp>
        <stp>@bh,AUDCHF,h4,close,21</stp>
        <tr r="F23" s="1"/>
      </tp>
      <tp>
        <v>1.11425</v>
        <stp/>
        <stp>21422436</stp>
        <stp>@bh,GBPCHF,h1,close,19</stp>
        <tr r="S21" s="3"/>
      </tp>
      <tp>
        <v>1.1145799999999999</v>
        <stp/>
        <stp>21422436</stp>
        <stp>@bh,GBPCHF,h1,close,18</stp>
        <tr r="S20" s="3"/>
      </tp>
      <tp>
        <v>1.11517</v>
        <stp/>
        <stp>21422436</stp>
        <stp>@bh,GBPCHF,h1,close,11</stp>
        <tr r="S13" s="3"/>
      </tp>
      <tp>
        <v>1.1147100000000001</v>
        <stp/>
        <stp>21422436</stp>
        <stp>@bh,GBPCHF,h1,close,10</stp>
        <tr r="S12" s="3"/>
      </tp>
      <tp>
        <v>1.1142300000000001</v>
        <stp/>
        <stp>21422436</stp>
        <stp>@bh,GBPCHF,h1,close,13</stp>
        <tr r="S15" s="3"/>
      </tp>
      <tp>
        <v>1.1148199999999999</v>
        <stp/>
        <stp>21422436</stp>
        <stp>@bh,GBPCHF,h1,close,12</stp>
        <tr r="S14" s="3"/>
      </tp>
      <tp>
        <v>1.11419</v>
        <stp/>
        <stp>21422436</stp>
        <stp>@bh,GBPCHF,h1,close,15</stp>
        <tr r="S17" s="3"/>
      </tp>
      <tp>
        <v>1.1138600000000001</v>
        <stp/>
        <stp>21422436</stp>
        <stp>@bh,GBPCHF,h1,close,14</stp>
        <tr r="S16" s="3"/>
      </tp>
      <tp>
        <v>1.1145799999999999</v>
        <stp/>
        <stp>21422436</stp>
        <stp>@bh,GBPCHF,h1,close,17</stp>
        <tr r="S19" s="3"/>
      </tp>
      <tp>
        <v>1.1148800000000001</v>
        <stp/>
        <stp>21422436</stp>
        <stp>@bh,GBPCHF,h1,close,16</stp>
        <tr r="S18" s="3"/>
      </tp>
      <tp>
        <v>0.95169000000000004</v>
        <stp/>
        <stp>21422436</stp>
        <stp>@bh,EURCHF,h1,close,26</stp>
        <tr r="K28" s="3"/>
      </tp>
      <tp>
        <v>0.95065999999999995</v>
        <stp/>
        <stp>21422436</stp>
        <stp>@bh,EURCHF,h1,close,27</stp>
        <tr r="K29" s="3"/>
      </tp>
      <tp>
        <v>0.95006999999999997</v>
        <stp/>
        <stp>21422436</stp>
        <stp>@bh,EURCHF,h1,close,24</stp>
        <tr r="K26" s="3"/>
      </tp>
      <tp>
        <v>0.95042000000000004</v>
        <stp/>
        <stp>21422436</stp>
        <stp>@bh,EURCHF,h1,close,25</stp>
        <tr r="K27" s="3"/>
      </tp>
      <tp>
        <v>0.94925999999999999</v>
        <stp/>
        <stp>21422436</stp>
        <stp>@bh,EURCHF,h1,close,22</stp>
        <tr r="K24" s="3"/>
      </tp>
      <tp>
        <v>0.94879000000000002</v>
        <stp/>
        <stp>21422436</stp>
        <stp>@bh,EURCHF,h1,close,23</stp>
        <tr r="K25" s="3"/>
      </tp>
      <tp>
        <v>0.94891000000000003</v>
        <stp/>
        <stp>21422436</stp>
        <stp>@bh,EURCHF,h1,close,20</stp>
        <tr r="K22" s="3"/>
      </tp>
      <tp>
        <v>0.94882999999999995</v>
        <stp/>
        <stp>21422436</stp>
        <stp>@bh,EURCHF,h1,close,21</stp>
        <tr r="K23" s="3"/>
      </tp>
      <tp>
        <v>0.63295000000000001</v>
        <stp/>
        <stp>21422436</stp>
        <stp>@bh,CADCHF,h4,close,18</stp>
        <tr r="Z20" s="1"/>
      </tp>
      <tp>
        <v>0.63229000000000002</v>
        <stp/>
        <stp>21422436</stp>
        <stp>@bh,CADCHF,h4,close,19</stp>
        <tr r="Z21" s="1"/>
      </tp>
      <tp>
        <v>0.63073999999999997</v>
        <stp/>
        <stp>21422436</stp>
        <stp>@bh,CADCHF,h4,close,12</stp>
        <tr r="Z14" s="1"/>
      </tp>
      <tp>
        <v>0.63163999999999998</v>
        <stp/>
        <stp>21422436</stp>
        <stp>@bh,CADCHF,h4,close,13</stp>
        <tr r="Z15" s="1"/>
      </tp>
      <tp>
        <v>0.62699000000000005</v>
        <stp/>
        <stp>21422436</stp>
        <stp>@bh,CADCHF,h4,close,10</stp>
        <tr r="Z12" s="1"/>
      </tp>
      <tp>
        <v>0.62812000000000001</v>
        <stp/>
        <stp>21422436</stp>
        <stp>@bh,CADCHF,h4,close,11</stp>
        <tr r="Z13" s="1"/>
      </tp>
      <tp>
        <v>0.63285999999999998</v>
        <stp/>
        <stp>21422436</stp>
        <stp>@bh,CADCHF,h4,close,16</stp>
        <tr r="Z18" s="1"/>
      </tp>
      <tp>
        <v>0.63229000000000002</v>
        <stp/>
        <stp>21422436</stp>
        <stp>@bh,CADCHF,h4,close,17</stp>
        <tr r="Z19" s="1"/>
      </tp>
      <tp>
        <v>0.63216000000000006</v>
        <stp/>
        <stp>21422436</stp>
        <stp>@bh,CADCHF,h4,close,14</stp>
        <tr r="Z16" s="1"/>
      </tp>
      <tp>
        <v>0.63214999999999999</v>
        <stp/>
        <stp>21422436</stp>
        <stp>@bh,CADCHF,h4,close,15</stp>
        <tr r="Z17" s="1"/>
      </tp>
      <tp>
        <v>0.94921999999999995</v>
        <stp/>
        <stp>21422436</stp>
        <stp>@bh,EURCHF,h1,close,18</stp>
        <tr r="K20" s="3"/>
      </tp>
      <tp>
        <v>0.94908000000000003</v>
        <stp/>
        <stp>21422436</stp>
        <stp>@bh,EURCHF,h1,close,19</stp>
        <tr r="K21" s="3"/>
      </tp>
      <tp>
        <v>0.94960999999999995</v>
        <stp/>
        <stp>21422436</stp>
        <stp>@bh,EURCHF,h1,close,16</stp>
        <tr r="K18" s="3"/>
      </tp>
      <tp>
        <v>0.94952000000000003</v>
        <stp/>
        <stp>21422436</stp>
        <stp>@bh,EURCHF,h1,close,17</stp>
        <tr r="K19" s="3"/>
      </tp>
      <tp>
        <v>0.94921</v>
        <stp/>
        <stp>21422436</stp>
        <stp>@bh,EURCHF,h1,close,14</stp>
        <tr r="K16" s="3"/>
      </tp>
      <tp>
        <v>0.94915000000000005</v>
        <stp/>
        <stp>21422436</stp>
        <stp>@bh,EURCHF,h1,close,15</stp>
        <tr r="K17" s="3"/>
      </tp>
      <tp>
        <v>0.94954000000000005</v>
        <stp/>
        <stp>21422436</stp>
        <stp>@bh,EURCHF,h1,close,12</stp>
        <tr r="K14" s="3"/>
      </tp>
      <tp>
        <v>0.94945000000000002</v>
        <stp/>
        <stp>21422436</stp>
        <stp>@bh,EURCHF,h1,close,13</stp>
        <tr r="K15" s="3"/>
      </tp>
      <tp>
        <v>0.94935000000000003</v>
        <stp/>
        <stp>21422436</stp>
        <stp>@bh,EURCHF,h1,close,10</stp>
        <tr r="K12" s="3"/>
      </tp>
      <tp>
        <v>0.94969000000000003</v>
        <stp/>
        <stp>21422436</stp>
        <stp>@bh,EURCHF,h1,close,11</stp>
        <tr r="K13" s="3"/>
      </tp>
      <tp>
        <v>0.63305</v>
        <stp/>
        <stp>21422436</stp>
        <stp>@bh,CADCHF,h4,close,22</stp>
        <tr r="Z24" s="1"/>
      </tp>
      <tp>
        <v>0.63410999999999995</v>
        <stp/>
        <stp>21422436</stp>
        <stp>@bh,CADCHF,h4,close,23</stp>
        <tr r="Z25" s="1"/>
      </tp>
      <tp>
        <v>0.63221000000000005</v>
        <stp/>
        <stp>21422436</stp>
        <stp>@bh,CADCHF,h4,close,20</stp>
        <tr r="Z22" s="1"/>
      </tp>
      <tp>
        <v>0.63399000000000005</v>
        <stp/>
        <stp>21422436</stp>
        <stp>@bh,CADCHF,h4,close,21</stp>
        <tr r="Z23" s="1"/>
      </tp>
      <tp>
        <v>0.63470000000000004</v>
        <stp/>
        <stp>21422436</stp>
        <stp>@bh,CADCHF,h4,close,26</stp>
        <tr r="Z28" s="1"/>
      </tp>
      <tp>
        <v>0.63485999999999998</v>
        <stp/>
        <stp>21422436</stp>
        <stp>@bh,CADCHF,h4,close,27</stp>
        <tr r="Z29" s="1"/>
      </tp>
      <tp>
        <v>0.63153000000000004</v>
        <stp/>
        <stp>21422436</stp>
        <stp>@bh,CADCHF,h4,close,24</stp>
        <tr r="Z26" s="1"/>
      </tp>
      <tp>
        <v>0.63305</v>
        <stp/>
        <stp>21422436</stp>
        <stp>@bh,CADCHF,h4,close,25</stp>
        <tr r="Z27" s="1"/>
      </tp>
      <tp>
        <v>0.83567999999999998</v>
        <stp/>
        <stp>21422436</stp>
        <stp>@bh,NZDCAD,h1,close,23</stp>
        <tr r="X25" s="3"/>
      </tp>
      <tp>
        <v>0.83596000000000004</v>
        <stp/>
        <stp>21422436</stp>
        <stp>@bh,NZDCAD,h1,close,22</stp>
        <tr r="X24" s="3"/>
      </tp>
      <tp>
        <v>0.83674000000000004</v>
        <stp/>
        <stp>21422436</stp>
        <stp>@bh,NZDCAD,h1,close,21</stp>
        <tr r="X23" s="3"/>
      </tp>
      <tp>
        <v>0.83655000000000002</v>
        <stp/>
        <stp>21422436</stp>
        <stp>@bh,NZDCAD,h1,close,20</stp>
        <tr r="X22" s="3"/>
      </tp>
      <tp>
        <v>0.83545000000000003</v>
        <stp/>
        <stp>21422436</stp>
        <stp>@bh,NZDCAD,h1,close,27</stp>
        <tr r="X29" s="3"/>
      </tp>
      <tp>
        <v>0.83531999999999995</v>
        <stp/>
        <stp>21422436</stp>
        <stp>@bh,NZDCAD,h1,close,26</stp>
        <tr r="X28" s="3"/>
      </tp>
      <tp>
        <v>0.57952000000000004</v>
        <stp/>
        <stp>21422436</stp>
        <stp>@bh,AUDCHF,h4,close,18</stp>
        <tr r="F20" s="1"/>
      </tp>
      <tp>
        <v>0.83508000000000004</v>
        <stp/>
        <stp>21422436</stp>
        <stp>@bh,NZDCAD,h1,close,25</stp>
        <tr r="X27" s="3"/>
      </tp>
      <tp>
        <v>0.57826</v>
        <stp/>
        <stp>21422436</stp>
        <stp>@bh,AUDCHF,h4,close,19</stp>
        <tr r="F21" s="1"/>
      </tp>
      <tp>
        <v>0.83570999999999995</v>
        <stp/>
        <stp>21422436</stp>
        <stp>@bh,NZDCAD,h1,close,24</stp>
        <tr r="X26" s="3"/>
      </tp>
      <tp>
        <v>0.58087</v>
        <stp/>
        <stp>21422436</stp>
        <stp>@bh,AUDCHF,h4,close,16</stp>
        <tr r="F18" s="1"/>
      </tp>
      <tp>
        <v>0.57996000000000003</v>
        <stp/>
        <stp>21422436</stp>
        <stp>@bh,AUDCHF,h4,close,17</stp>
        <tr r="F19" s="1"/>
      </tp>
      <tp>
        <v>0.57913000000000003</v>
        <stp/>
        <stp>21422436</stp>
        <stp>@bh,AUDCHF,h4,close,14</stp>
        <tr r="F16" s="1"/>
      </tp>
      <tp>
        <v>0.57974999999999999</v>
        <stp/>
        <stp>21422436</stp>
        <stp>@bh,AUDCHF,h4,close,15</stp>
        <tr r="F17" s="1"/>
      </tp>
      <tp>
        <v>0.57916999999999996</v>
        <stp/>
        <stp>21422436</stp>
        <stp>@bh,AUDCHF,h4,close,12</stp>
        <tr r="F14" s="1"/>
      </tp>
      <tp>
        <v>0.57867999999999997</v>
        <stp/>
        <stp>21422436</stp>
        <stp>@bh,AUDCHF,h4,close,13</stp>
        <tr r="F15" s="1"/>
      </tp>
      <tp>
        <v>0.57616999999999996</v>
        <stp/>
        <stp>21422436</stp>
        <stp>@bh,AUDCHF,h4,close,10</stp>
        <tr r="F12" s="1"/>
      </tp>
      <tp>
        <v>0.57674000000000003</v>
        <stp/>
        <stp>21422436</stp>
        <stp>@bh,AUDCHF,h4,close,11</stp>
        <tr r="F13" s="1"/>
      </tp>
      <tp>
        <v>1.11354</v>
        <stp/>
        <stp>21422436</stp>
        <stp>@bh,GBPCHF,h1,close,21</stp>
        <tr r="S23" s="3"/>
      </tp>
      <tp>
        <v>1.11432</v>
        <stp/>
        <stp>21422436</stp>
        <stp>@bh,GBPCHF,h1,close,20</stp>
        <tr r="S22" s="3"/>
      </tp>
      <tp>
        <v>1.1139399999999999</v>
        <stp/>
        <stp>21422436</stp>
        <stp>@bh,GBPCHF,h1,close,23</stp>
        <tr r="S25" s="3"/>
      </tp>
      <tp>
        <v>1.1144400000000001</v>
        <stp/>
        <stp>21422436</stp>
        <stp>@bh,GBPCHF,h1,close,22</stp>
        <tr r="S24" s="3"/>
      </tp>
      <tp>
        <v>1.11436</v>
        <stp/>
        <stp>21422436</stp>
        <stp>@bh,GBPCHF,h1,close,25</stp>
        <tr r="S27" s="3"/>
      </tp>
      <tp>
        <v>1.1140300000000001</v>
        <stp/>
        <stp>21422436</stp>
        <stp>@bh,GBPCHF,h1,close,24</stp>
        <tr r="S26" s="3"/>
      </tp>
      <tp>
        <v>1.1140000000000001</v>
        <stp/>
        <stp>21422436</stp>
        <stp>@bh,GBPCHF,h1,close,27</stp>
        <tr r="S29" s="3"/>
      </tp>
      <tp>
        <v>1.1156200000000001</v>
        <stp/>
        <stp>21422436</stp>
        <stp>@bh,GBPCHF,h1,close,26</stp>
        <tr r="S28" s="3"/>
      </tp>
      <tp>
        <v>0.52607999999999999</v>
        <stp/>
        <stp>21422436</stp>
        <stp>@bh,NZDCHF,h4,close,11</stp>
        <tr r="V13" s="1"/>
      </tp>
      <tp>
        <v>0.52546000000000004</v>
        <stp/>
        <stp>21422436</stp>
        <stp>@bh,NZDCHF,h4,close,10</stp>
        <tr r="V12" s="1"/>
      </tp>
      <tp>
        <v>0.52775000000000005</v>
        <stp/>
        <stp>21422436</stp>
        <stp>@bh,NZDCHF,h4,close,13</stp>
        <tr r="V15" s="1"/>
      </tp>
      <tp>
        <v>0.52786</v>
        <stp/>
        <stp>21422436</stp>
        <stp>@bh,NZDCHF,h4,close,12</stp>
        <tr r="V14" s="1"/>
      </tp>
      <tp>
        <v>0.5272</v>
        <stp/>
        <stp>21422436</stp>
        <stp>@bh,NZDCHF,h4,close,15</stp>
        <tr r="V17" s="1"/>
      </tp>
      <tp>
        <v>0.52744000000000002</v>
        <stp/>
        <stp>21422436</stp>
        <stp>@bh,NZDCHF,h4,close,14</stp>
        <tr r="V16" s="1"/>
      </tp>
      <tp>
        <v>0.52590999999999999</v>
        <stp/>
        <stp>21422436</stp>
        <stp>@bh,NZDCHF,h4,close,17</stp>
        <tr r="V19" s="1"/>
      </tp>
      <tp>
        <v>0.52749999999999997</v>
        <stp/>
        <stp>21422436</stp>
        <stp>@bh,NZDCHF,h4,close,16</stp>
        <tr r="V18" s="1"/>
      </tp>
      <tp>
        <v>0.91691999999999996</v>
        <stp/>
        <stp>21422436</stp>
        <stp>@bh,AUDCAD,h1,close,24</stp>
        <tr r="G26" s="3"/>
      </tp>
      <tp>
        <v>0.52495000000000003</v>
        <stp/>
        <stp>21422436</stp>
        <stp>@bh,NZDCHF,h4,close,19</stp>
        <tr r="V21" s="1"/>
      </tp>
      <tp>
        <v>0.91642000000000001</v>
        <stp/>
        <stp>21422436</stp>
        <stp>@bh,AUDCAD,h1,close,25</stp>
        <tr r="G27" s="3"/>
      </tp>
      <tp>
        <v>0.52558000000000005</v>
        <stp/>
        <stp>21422436</stp>
        <stp>@bh,NZDCHF,h4,close,18</stp>
        <tr r="V20" s="1"/>
      </tp>
      <tp>
        <v>0.91693000000000002</v>
        <stp/>
        <stp>21422436</stp>
        <stp>@bh,AUDCAD,h1,close,26</stp>
        <tr r="G28" s="3"/>
      </tp>
      <tp>
        <v>0.91691</v>
        <stp/>
        <stp>21422436</stp>
        <stp>@bh,AUDCAD,h1,close,27</stp>
        <tr r="G29" s="3"/>
      </tp>
      <tp>
        <v>0.91615000000000002</v>
        <stp/>
        <stp>21422436</stp>
        <stp>@bh,AUDCAD,h1,close,20</stp>
        <tr r="G22" s="3"/>
      </tp>
      <tp>
        <v>0.91678000000000004</v>
        <stp/>
        <stp>21422436</stp>
        <stp>@bh,AUDCAD,h1,close,21</stp>
        <tr r="G23" s="3"/>
      </tp>
      <tp>
        <v>0.91635999999999995</v>
        <stp/>
        <stp>21422436</stp>
        <stp>@bh,AUDCAD,h1,close,22</stp>
        <tr r="G24" s="3"/>
      </tp>
      <tp>
        <v>0.91666999999999998</v>
        <stp/>
        <stp>21422436</stp>
        <stp>@bh,AUDCAD,h1,close,23</stp>
        <tr r="G25" s="3"/>
      </tp>
      <tp>
        <v>1.7737499999999999</v>
        <stp/>
        <stp>21422436</stp>
        <stp>@bh,GBPCAD,h4,close,19</stp>
        <tr r="R21" s="1"/>
      </tp>
      <tp>
        <v>1.7706299999999999</v>
        <stp/>
        <stp>21422436</stp>
        <stp>@bh,GBPCAD,h4,close,18</stp>
        <tr r="R20" s="1"/>
      </tp>
      <tp>
        <v>1.7702199999999999</v>
        <stp/>
        <stp>21422436</stp>
        <stp>@bh,GBPCAD,h4,close,13</stp>
        <tr r="R15" s="1"/>
      </tp>
      <tp>
        <v>1.7743</v>
        <stp/>
        <stp>21422436</stp>
        <stp>@bh,GBPCAD,h4,close,12</stp>
        <tr r="R14" s="1"/>
      </tp>
      <tp>
        <v>1.7753699999999999</v>
        <stp/>
        <stp>21422436</stp>
        <stp>@bh,GBPCAD,h4,close,11</stp>
        <tr r="R13" s="1"/>
      </tp>
      <tp>
        <v>1.7751699999999999</v>
        <stp/>
        <stp>21422436</stp>
        <stp>@bh,GBPCAD,h4,close,10</stp>
        <tr r="R12" s="1"/>
      </tp>
      <tp>
        <v>1.7718799999999999</v>
        <stp/>
        <stp>21422436</stp>
        <stp>@bh,GBPCAD,h4,close,17</stp>
        <tr r="R19" s="1"/>
      </tp>
      <tp>
        <v>1.77101</v>
        <stp/>
        <stp>21422436</stp>
        <stp>@bh,GBPCAD,h4,close,16</stp>
        <tr r="R18" s="1"/>
      </tp>
      <tp>
        <v>1.7704599999999999</v>
        <stp/>
        <stp>21422436</stp>
        <stp>@bh,GBPCAD,h4,close,15</stp>
        <tr r="R17" s="1"/>
      </tp>
      <tp>
        <v>1.76997</v>
        <stp/>
        <stp>21422436</stp>
        <stp>@bh,GBPCAD,h4,close,14</stp>
        <tr r="R16" s="1"/>
      </tp>
      <tp>
        <v>1.50898</v>
        <stp/>
        <stp>21422436</stp>
        <stp>@bh,EURCAD,h4,close,24</stp>
        <tr r="I26" s="1"/>
      </tp>
      <tp>
        <v>1.50678</v>
        <stp/>
        <stp>21422436</stp>
        <stp>@bh,EURCAD,h4,close,25</stp>
        <tr r="I27" s="1"/>
      </tp>
      <tp>
        <v>1.50725</v>
        <stp/>
        <stp>21422436</stp>
        <stp>@bh,EURCAD,h4,close,26</stp>
        <tr r="I28" s="1"/>
      </tp>
      <tp>
        <v>1.50715</v>
        <stp/>
        <stp>21422436</stp>
        <stp>@bh,EURCAD,h4,close,27</stp>
        <tr r="I29" s="1"/>
      </tp>
      <tp>
        <v>1.5085599999999999</v>
        <stp/>
        <stp>21422436</stp>
        <stp>@bh,EURCAD,h4,close,20</stp>
        <tr r="I22" s="1"/>
      </tp>
      <tp>
        <v>1.5080800000000001</v>
        <stp/>
        <stp>21422436</stp>
        <stp>@bh,EURCAD,h4,close,21</stp>
        <tr r="I23" s="1"/>
      </tp>
      <tp>
        <v>1.5085500000000001</v>
        <stp/>
        <stp>21422436</stp>
        <stp>@bh,EURCAD,h4,close,22</stp>
        <tr r="I24" s="1"/>
      </tp>
      <tp>
        <v>1.5069999999999999</v>
        <stp/>
        <stp>21422436</stp>
        <stp>@bh,EURCAD,h4,close,23</stp>
        <tr r="I25" s="1"/>
      </tp>
      <tp>
        <v>1.5092399999999999</v>
        <stp/>
        <stp>21422436</stp>
        <stp>@bh,EURCAD,h4,close,18</stp>
        <tr r="I20" s="1"/>
      </tp>
      <tp>
        <v>1.5092099999999999</v>
        <stp/>
        <stp>21422436</stp>
        <stp>@bh,EURCAD,h4,close,19</stp>
        <tr r="I21" s="1"/>
      </tp>
      <tp>
        <v>1.51051</v>
        <stp/>
        <stp>21422436</stp>
        <stp>@bh,EURCAD,h4,close,14</stp>
        <tr r="I16" s="1"/>
      </tp>
      <tp>
        <v>1.51112</v>
        <stp/>
        <stp>21422436</stp>
        <stp>@bh,EURCAD,h4,close,15</stp>
        <tr r="I17" s="1"/>
      </tp>
      <tp>
        <v>1.51122</v>
        <stp/>
        <stp>21422436</stp>
        <stp>@bh,EURCAD,h4,close,16</stp>
        <tr r="I18" s="1"/>
      </tp>
      <tp>
        <v>1.5114300000000001</v>
        <stp/>
        <stp>21422436</stp>
        <stp>@bh,EURCAD,h4,close,17</stp>
        <tr r="I19" s="1"/>
      </tp>
      <tp>
        <v>1.51589</v>
        <stp/>
        <stp>21422436</stp>
        <stp>@bh,EURCAD,h4,close,10</stp>
        <tr r="I12" s="1"/>
      </tp>
      <tp>
        <v>1.5149999999999999</v>
        <stp/>
        <stp>21422436</stp>
        <stp>@bh,EURCAD,h4,close,11</stp>
        <tr r="I13" s="1"/>
      </tp>
      <tp>
        <v>1.5116099999999999</v>
        <stp/>
        <stp>21422436</stp>
        <stp>@bh,EURCAD,h4,close,12</stp>
        <tr r="I14" s="1"/>
      </tp>
      <tp>
        <v>1.50864</v>
        <stp/>
        <stp>21422436</stp>
        <stp>@bh,EURCAD,h4,close,13</stp>
        <tr r="I15" s="1"/>
      </tp>
      <tp>
        <v>0.52483999999999997</v>
        <stp/>
        <stp>21422436</stp>
        <stp>@bh,NZDCHF,h4,close,21</stp>
        <tr r="V23" s="1"/>
      </tp>
      <tp>
        <v>0.52529000000000003</v>
        <stp/>
        <stp>21422436</stp>
        <stp>@bh,NZDCHF,h4,close,20</stp>
        <tr r="V22" s="1"/>
      </tp>
      <tp>
        <v>0.52461000000000002</v>
        <stp/>
        <stp>21422436</stp>
        <stp>@bh,NZDCHF,h4,close,23</stp>
        <tr r="V25" s="1"/>
      </tp>
      <tp>
        <v>0.52427000000000001</v>
        <stp/>
        <stp>21422436</stp>
        <stp>@bh,NZDCHF,h4,close,22</stp>
        <tr r="V24" s="1"/>
      </tp>
      <tp>
        <v>0.91713999999999996</v>
        <stp/>
        <stp>21422436</stp>
        <stp>@bh,AUDCAD,h1,close,18</stp>
        <tr r="G20" s="3"/>
      </tp>
      <tp>
        <v>0.52281</v>
        <stp/>
        <stp>21422436</stp>
        <stp>@bh,NZDCHF,h4,close,25</stp>
        <tr r="V27" s="1"/>
      </tp>
      <tp>
        <v>0.91666999999999998</v>
        <stp/>
        <stp>21422436</stp>
        <stp>@bh,AUDCAD,h1,close,19</stp>
        <tr r="G21" s="3"/>
      </tp>
      <tp>
        <v>0.52212999999999998</v>
        <stp/>
        <stp>21422436</stp>
        <stp>@bh,NZDCHF,h4,close,24</stp>
        <tr r="V26" s="1"/>
      </tp>
      <tp>
        <v>0.52200000000000002</v>
        <stp/>
        <stp>21422436</stp>
        <stp>@bh,NZDCHF,h4,close,27</stp>
        <tr r="V29" s="1"/>
      </tp>
      <tp>
        <v>0.52393000000000001</v>
        <stp/>
        <stp>21422436</stp>
        <stp>@bh,NZDCHF,h4,close,26</stp>
        <tr r="V28" s="1"/>
      </tp>
      <tp>
        <v>0.91705000000000003</v>
        <stp/>
        <stp>21422436</stp>
        <stp>@bh,AUDCAD,h1,close,14</stp>
        <tr r="G16" s="3"/>
      </tp>
      <tp>
        <v>0.91632999999999998</v>
        <stp/>
        <stp>21422436</stp>
        <stp>@bh,AUDCAD,h1,close,15</stp>
        <tr r="G17" s="3"/>
      </tp>
      <tp>
        <v>0.91671000000000002</v>
        <stp/>
        <stp>21422436</stp>
        <stp>@bh,AUDCAD,h1,close,16</stp>
        <tr r="G18" s="3"/>
      </tp>
      <tp>
        <v>0.91669999999999996</v>
        <stp/>
        <stp>21422436</stp>
        <stp>@bh,AUDCAD,h1,close,17</stp>
        <tr r="G19" s="3"/>
      </tp>
      <tp>
        <v>0.91447000000000001</v>
        <stp/>
        <stp>21422436</stp>
        <stp>@bh,AUDCAD,h1,close,10</stp>
        <tr r="G12" s="3"/>
      </tp>
      <tp>
        <v>0.91568000000000005</v>
        <stp/>
        <stp>21422436</stp>
        <stp>@bh,AUDCAD,h1,close,11</stp>
        <tr r="G13" s="3"/>
      </tp>
      <tp>
        <v>0.91617000000000004</v>
        <stp/>
        <stp>21422436</stp>
        <stp>@bh,AUDCAD,h1,close,12</stp>
        <tr r="G14" s="3"/>
      </tp>
      <tp>
        <v>0.91676999999999997</v>
        <stp/>
        <stp>21422436</stp>
        <stp>@bh,AUDCAD,h1,close,13</stp>
        <tr r="G15" s="3"/>
      </tp>
      <tp>
        <v>1.76953</v>
        <stp/>
        <stp>21422436</stp>
        <stp>@bh,GBPCAD,h4,close,23</stp>
        <tr r="R25" s="1"/>
      </tp>
      <tp>
        <v>1.7706500000000001</v>
        <stp/>
        <stp>21422436</stp>
        <stp>@bh,GBPCAD,h4,close,22</stp>
        <tr r="R24" s="1"/>
      </tp>
      <tp>
        <v>1.7699400000000001</v>
        <stp/>
        <stp>21422436</stp>
        <stp>@bh,GBPCAD,h4,close,21</stp>
        <tr r="R23" s="1"/>
      </tp>
      <tp>
        <v>1.7700499999999999</v>
        <stp/>
        <stp>21422436</stp>
        <stp>@bh,GBPCAD,h4,close,20</stp>
        <tr r="R22" s="1"/>
      </tp>
      <tp>
        <v>1.7662800000000001</v>
        <stp/>
        <stp>21422436</stp>
        <stp>@bh,GBPCAD,h4,close,27</stp>
        <tr r="R29" s="1"/>
      </tp>
      <tp>
        <v>1.76675</v>
        <stp/>
        <stp>21422436</stp>
        <stp>@bh,GBPCAD,h4,close,26</stp>
        <tr r="R28" s="1"/>
      </tp>
      <tp>
        <v>1.7681199999999999</v>
        <stp/>
        <stp>21422436</stp>
        <stp>@bh,GBPCAD,h4,close,25</stp>
        <tr r="R27" s="1"/>
      </tp>
      <tp>
        <v>1.77023</v>
        <stp/>
        <stp>21422436</stp>
        <stp>@bh,GBPCAD,h4,close,24</stp>
        <tr r="R26" s="1"/>
      </tp>
      <tp>
        <v>1.51278</v>
        <stp/>
        <stp>21422436</stp>
        <stp>@bh,EURCAD,h1,close,24</stp>
        <tr r="I26" s="3"/>
      </tp>
      <tp>
        <v>1.51156</v>
        <stp/>
        <stp>21422436</stp>
        <stp>@bh,EURCAD,h1,close,25</stp>
        <tr r="I27" s="3"/>
      </tp>
      <tp>
        <v>1.51295</v>
        <stp/>
        <stp>21422436</stp>
        <stp>@bh,EURCAD,h1,close,26</stp>
        <tr r="I28" s="3"/>
      </tp>
      <tp>
        <v>1.51284</v>
        <stp/>
        <stp>21422436</stp>
        <stp>@bh,EURCAD,h1,close,27</stp>
        <tr r="I29" s="3"/>
      </tp>
      <tp>
        <v>1.5147600000000001</v>
        <stp/>
        <stp>21422436</stp>
        <stp>@bh,EURCAD,h1,close,20</stp>
        <tr r="I22" s="3"/>
      </tp>
      <tp>
        <v>1.51339</v>
        <stp/>
        <stp>21422436</stp>
        <stp>@bh,EURCAD,h1,close,21</stp>
        <tr r="I23" s="3"/>
      </tp>
      <tp>
        <v>1.5128200000000001</v>
        <stp/>
        <stp>21422436</stp>
        <stp>@bh,EURCAD,h1,close,22</stp>
        <tr r="I24" s="3"/>
      </tp>
      <tp>
        <v>1.51128</v>
        <stp/>
        <stp>21422436</stp>
        <stp>@bh,EURCAD,h1,close,23</stp>
        <tr r="I25" s="3"/>
      </tp>
      <tp>
        <v>0.52412999999999998</v>
        <stp/>
        <stp>21422436</stp>
        <stp>@bh,NZDCHF,h1,close,11</stp>
        <tr r="V13" s="3"/>
      </tp>
      <tp>
        <v>0.52383000000000002</v>
        <stp/>
        <stp>21422436</stp>
        <stp>@bh,NZDCHF,h1,close,10</stp>
        <tr r="V12" s="3"/>
      </tp>
      <tp>
        <v>0.52446999999999999</v>
        <stp/>
        <stp>21422436</stp>
        <stp>@bh,NZDCHF,h1,close,13</stp>
        <tr r="V15" s="3"/>
      </tp>
      <tp>
        <v>0.52422000000000002</v>
        <stp/>
        <stp>21422436</stp>
        <stp>@bh,NZDCHF,h1,close,12</stp>
        <tr r="V14" s="3"/>
      </tp>
      <tp>
        <v>0.52385000000000004</v>
        <stp/>
        <stp>21422436</stp>
        <stp>@bh,NZDCHF,h1,close,15</stp>
        <tr r="V17" s="3"/>
      </tp>
      <tp>
        <v>0.52429000000000003</v>
        <stp/>
        <stp>21422436</stp>
        <stp>@bh,NZDCHF,h1,close,14</stp>
        <tr r="V16" s="3"/>
      </tp>
      <tp>
        <v>0.52424000000000004</v>
        <stp/>
        <stp>21422436</stp>
        <stp>@bh,NZDCHF,h1,close,17</stp>
        <tr r="V19" s="3"/>
      </tp>
      <tp>
        <v>0.52417000000000002</v>
        <stp/>
        <stp>21422436</stp>
        <stp>@bh,NZDCHF,h1,close,16</stp>
        <tr r="V18" s="3"/>
      </tp>
      <tp>
        <v>0.90954999999999997</v>
        <stp/>
        <stp>21422436</stp>
        <stp>@bh,AUDCAD,h4,close,24</stp>
        <tr r="G26" s="1"/>
      </tp>
      <tp>
        <v>0.52442999999999995</v>
        <stp/>
        <stp>21422436</stp>
        <stp>@bh,NZDCHF,h1,close,19</stp>
        <tr r="V21" s="3"/>
      </tp>
      <tp>
        <v>0.91005999999999998</v>
        <stp/>
        <stp>21422436</stp>
        <stp>@bh,AUDCAD,h4,close,25</stp>
        <tr r="G27" s="1"/>
      </tp>
      <tp>
        <v>0.52456000000000003</v>
        <stp/>
        <stp>21422436</stp>
        <stp>@bh,NZDCHF,h1,close,18</stp>
        <tr r="V20" s="3"/>
      </tp>
      <tp>
        <v>0.90941000000000005</v>
        <stp/>
        <stp>21422436</stp>
        <stp>@bh,AUDCAD,h4,close,26</stp>
        <tr r="G28" s="1"/>
      </tp>
      <tp>
        <v>0.90815999999999997</v>
        <stp/>
        <stp>21422436</stp>
        <stp>@bh,AUDCAD,h4,close,27</stp>
        <tr r="G29" s="1"/>
      </tp>
      <tp>
        <v>0.91379999999999995</v>
        <stp/>
        <stp>21422436</stp>
        <stp>@bh,AUDCAD,h4,close,20</stp>
        <tr r="G22" s="1"/>
      </tp>
      <tp>
        <v>0.91315999999999997</v>
        <stp/>
        <stp>21422436</stp>
        <stp>@bh,AUDCAD,h4,close,21</stp>
        <tr r="G23" s="1"/>
      </tp>
      <tp>
        <v>0.91229000000000005</v>
        <stp/>
        <stp>21422436</stp>
        <stp>@bh,AUDCAD,h4,close,22</stp>
        <tr r="G24" s="1"/>
      </tp>
      <tp>
        <v>0.91154000000000002</v>
        <stp/>
        <stp>21422436</stp>
        <stp>@bh,AUDCAD,h4,close,23</stp>
        <tr r="G25" s="1"/>
      </tp>
      <tp>
        <v>1.7797400000000001</v>
        <stp/>
        <stp>21422436</stp>
        <stp>@bh,GBPCAD,h1,close,19</stp>
        <tr r="R21" s="3"/>
      </tp>
      <tp>
        <v>1.78026</v>
        <stp/>
        <stp>21422436</stp>
        <stp>@bh,GBPCAD,h1,close,18</stp>
        <tr r="R20" s="3"/>
      </tp>
      <tp>
        <v>1.77826</v>
        <stp/>
        <stp>21422436</stp>
        <stp>@bh,GBPCAD,h1,close,13</stp>
        <tr r="R15" s="3"/>
      </tp>
      <tp>
        <v>1.7782899999999999</v>
        <stp/>
        <stp>21422436</stp>
        <stp>@bh,GBPCAD,h1,close,12</stp>
        <tr r="R14" s="3"/>
      </tp>
      <tp>
        <v>1.77823</v>
        <stp/>
        <stp>21422436</stp>
        <stp>@bh,GBPCAD,h1,close,11</stp>
        <tr r="R13" s="3"/>
      </tp>
      <tp>
        <v>1.7777499999999999</v>
        <stp/>
        <stp>21422436</stp>
        <stp>@bh,GBPCAD,h1,close,10</stp>
        <tr r="R12" s="3"/>
      </tp>
      <tp>
        <v>1.77973</v>
        <stp/>
        <stp>21422436</stp>
        <stp>@bh,GBPCAD,h1,close,17</stp>
        <tr r="R19" s="3"/>
      </tp>
      <tp>
        <v>1.7794399999999999</v>
        <stp/>
        <stp>21422436</stp>
        <stp>@bh,GBPCAD,h1,close,16</stp>
        <tr r="R18" s="3"/>
      </tp>
      <tp>
        <v>1.77928</v>
        <stp/>
        <stp>21422436</stp>
        <stp>@bh,GBPCAD,h1,close,15</stp>
        <tr r="R17" s="3"/>
      </tp>
      <tp>
        <v>1.7786500000000001</v>
        <stp/>
        <stp>21422436</stp>
        <stp>@bh,GBPCAD,h1,close,14</stp>
        <tr r="R16" s="3"/>
      </tp>
      <tp>
        <v>0.52461000000000002</v>
        <stp/>
        <stp>21422436</stp>
        <stp>@bh,NZDCHF,h1,close,21</stp>
        <tr r="V23" s="3"/>
      </tp>
      <tp>
        <v>0.52405000000000002</v>
        <stp/>
        <stp>21422436</stp>
        <stp>@bh,NZDCHF,h1,close,20</stp>
        <tr r="V22" s="3"/>
      </tp>
      <tp>
        <v>0.52464999999999995</v>
        <stp/>
        <stp>21422436</stp>
        <stp>@bh,NZDCHF,h1,close,23</stp>
        <tr r="V25" s="3"/>
      </tp>
      <tp>
        <v>0.52456000000000003</v>
        <stp/>
        <stp>21422436</stp>
        <stp>@bh,NZDCHF,h1,close,22</stp>
        <tr r="V24" s="3"/>
      </tp>
      <tp>
        <v>0.91559000000000001</v>
        <stp/>
        <stp>21422436</stp>
        <stp>@bh,AUDCAD,h4,close,18</stp>
        <tr r="G20" s="1"/>
      </tp>
      <tp>
        <v>0.52507999999999999</v>
        <stp/>
        <stp>21422436</stp>
        <stp>@bh,NZDCHF,h1,close,25</stp>
        <tr r="V27" s="3"/>
      </tp>
      <tp>
        <v>0.91454000000000002</v>
        <stp/>
        <stp>21422436</stp>
        <stp>@bh,AUDCAD,h4,close,19</stp>
        <tr r="G21" s="1"/>
      </tp>
      <tp>
        <v>0.52485000000000004</v>
        <stp/>
        <stp>21422436</stp>
        <stp>@bh,NZDCHF,h1,close,24</stp>
        <tr r="V26" s="3"/>
      </tp>
      <tp>
        <v>0.52500000000000002</v>
        <stp/>
        <stp>21422436</stp>
        <stp>@bh,NZDCHF,h1,close,27</stp>
        <tr r="V29" s="3"/>
      </tp>
      <tp>
        <v>0.52546000000000004</v>
        <stp/>
        <stp>21422436</stp>
        <stp>@bh,NZDCHF,h1,close,26</stp>
        <tr r="V28" s="3"/>
      </tp>
      <tp>
        <v>0.91612000000000005</v>
        <stp/>
        <stp>21422436</stp>
        <stp>@bh,AUDCAD,h4,close,14</stp>
        <tr r="G16" s="1"/>
      </tp>
      <tp>
        <v>0.91710000000000003</v>
        <stp/>
        <stp>21422436</stp>
        <stp>@bh,AUDCAD,h4,close,15</stp>
        <tr r="G17" s="1"/>
      </tp>
      <tp>
        <v>0.91774999999999995</v>
        <stp/>
        <stp>21422436</stp>
        <stp>@bh,AUDCAD,h4,close,16</stp>
        <tr r="G18" s="1"/>
      </tp>
      <tp>
        <v>0.91722000000000004</v>
        <stp/>
        <stp>21422436</stp>
        <stp>@bh,AUDCAD,h4,close,17</stp>
        <tr r="G19" s="1"/>
      </tp>
      <tp>
        <v>0.91886999999999996</v>
        <stp/>
        <stp>21422436</stp>
        <stp>@bh,AUDCAD,h4,close,10</stp>
        <tr r="G12" s="1"/>
      </tp>
      <tp>
        <v>0.91820999999999997</v>
        <stp/>
        <stp>21422436</stp>
        <stp>@bh,AUDCAD,h4,close,11</stp>
        <tr r="G13" s="1"/>
      </tp>
      <tp>
        <v>0.91822999999999999</v>
        <stp/>
        <stp>21422436</stp>
        <stp>@bh,AUDCAD,h4,close,12</stp>
        <tr r="G14" s="1"/>
      </tp>
      <tp>
        <v>0.91612000000000005</v>
        <stp/>
        <stp>21422436</stp>
        <stp>@bh,AUDCAD,h4,close,13</stp>
        <tr r="G15" s="1"/>
      </tp>
      <tp>
        <v>1.77434</v>
        <stp/>
        <stp>21422436</stp>
        <stp>@bh,GBPCAD,h1,close,23</stp>
        <tr r="R25" s="3"/>
      </tp>
      <tp>
        <v>1.77603</v>
        <stp/>
        <stp>21422436</stp>
        <stp>@bh,GBPCAD,h1,close,22</stp>
        <tr r="R24" s="3"/>
      </tp>
      <tp>
        <v>1.7761</v>
        <stp/>
        <stp>21422436</stp>
        <stp>@bh,GBPCAD,h1,close,21</stp>
        <tr r="R23" s="3"/>
      </tp>
      <tp>
        <v>1.7787900000000001</v>
        <stp/>
        <stp>21422436</stp>
        <stp>@bh,GBPCAD,h1,close,20</stp>
        <tr r="R22" s="3"/>
      </tp>
      <tp>
        <v>1.77277</v>
        <stp/>
        <stp>21422436</stp>
        <stp>@bh,GBPCAD,h1,close,27</stp>
        <tr r="R29" s="3"/>
      </tp>
      <tp>
        <v>1.77352</v>
        <stp/>
        <stp>21422436</stp>
        <stp>@bh,GBPCAD,h1,close,26</stp>
        <tr r="R28" s="3"/>
      </tp>
      <tp>
        <v>1.77227</v>
        <stp/>
        <stp>21422436</stp>
        <stp>@bh,GBPCAD,h1,close,25</stp>
        <tr r="R27" s="3"/>
      </tp>
      <tp>
        <v>1.77386</v>
        <stp/>
        <stp>21422436</stp>
        <stp>@bh,GBPCAD,h1,close,24</stp>
        <tr r="R26" s="3"/>
      </tp>
      <tp>
        <v>1.51613</v>
        <stp/>
        <stp>21422436</stp>
        <stp>@bh,EURCAD,h1,close,18</stp>
        <tr r="I20" s="3"/>
      </tp>
      <tp>
        <v>1.516</v>
        <stp/>
        <stp>21422436</stp>
        <stp>@bh,EURCAD,h1,close,19</stp>
        <tr r="I21" s="3"/>
      </tp>
      <tp>
        <v>1.51555</v>
        <stp/>
        <stp>21422436</stp>
        <stp>@bh,EURCAD,h1,close,14</stp>
        <tr r="I16" s="3"/>
      </tp>
      <tp>
        <v>1.5151699999999999</v>
        <stp/>
        <stp>21422436</stp>
        <stp>@bh,EURCAD,h1,close,15</stp>
        <tr r="I17" s="3"/>
      </tp>
      <tp>
        <v>1.5156000000000001</v>
        <stp/>
        <stp>21422436</stp>
        <stp>@bh,EURCAD,h1,close,16</stp>
        <tr r="I18" s="3"/>
      </tp>
      <tp>
        <v>1.5162</v>
        <stp/>
        <stp>21422436</stp>
        <stp>@bh,EURCAD,h1,close,17</stp>
        <tr r="I19" s="3"/>
      </tp>
      <tp>
        <v>1.51397</v>
        <stp/>
        <stp>21422436</stp>
        <stp>@bh,EURCAD,h1,close,10</stp>
        <tr r="I12" s="3"/>
      </tp>
      <tp>
        <v>1.5142800000000001</v>
        <stp/>
        <stp>21422436</stp>
        <stp>@bh,EURCAD,h1,close,11</stp>
        <tr r="I13" s="3"/>
      </tp>
      <tp>
        <v>1.51451</v>
        <stp/>
        <stp>21422436</stp>
        <stp>@bh,EURCAD,h1,close,12</stp>
        <tr r="I14" s="3"/>
      </tp>
      <tp>
        <v>1.51518</v>
        <stp/>
        <stp>21422436</stp>
        <stp>@bh,EURCAD,h1,close,13</stp>
        <tr r="I15" s="3"/>
      </tp>
      <tp>
        <v>0.86392000000000002</v>
        <stp/>
        <stp>21422436</stp>
        <stp>@bh,USDCHF,h4,close,20</stp>
        <tr r="AC22" s="1"/>
      </tp>
      <tp>
        <v>0.86673</v>
        <stp/>
        <stp>21422436</stp>
        <stp>@bh,USDCHF,h4,close,21</stp>
        <tr r="AC23" s="1"/>
      </tp>
      <tp>
        <v>0.86599000000000004</v>
        <stp/>
        <stp>21422436</stp>
        <stp>@bh,USDCHF,h4,close,22</stp>
        <tr r="AC24" s="1"/>
      </tp>
      <tp>
        <v>0.86843000000000004</v>
        <stp/>
        <stp>21422436</stp>
        <stp>@bh,USDCHF,h4,close,23</stp>
        <tr r="AC25" s="1"/>
      </tp>
      <tp>
        <v>0.86684000000000005</v>
        <stp/>
        <stp>21422436</stp>
        <stp>@bh,USDCHF,h4,close,24</stp>
        <tr r="AC26" s="1"/>
      </tp>
      <tp>
        <v>0.86867000000000005</v>
        <stp/>
        <stp>21422436</stp>
        <stp>@bh,USDCHF,h4,close,25</stp>
        <tr r="AC27" s="1"/>
      </tp>
      <tp>
        <v>0.87114000000000003</v>
        <stp/>
        <stp>21422436</stp>
        <stp>@bh,USDCHF,h4,close,26</stp>
        <tr r="AC28" s="1"/>
      </tp>
      <tp>
        <v>0.87175999999999998</v>
        <stp/>
        <stp>21422436</stp>
        <stp>@bh,USDCHF,h4,close,27</stp>
        <tr r="AC29" s="1"/>
      </tp>
      <tp>
        <v>0.86536999999999997</v>
        <stp/>
        <stp>21422436</stp>
        <stp>@bh,USDCHF,h4,close,18</stp>
        <tr r="AC20" s="1"/>
      </tp>
      <tp>
        <v>0.86460000000000004</v>
        <stp/>
        <stp>21422436</stp>
        <stp>@bh,USDCHF,h4,close,19</stp>
        <tr r="AC21" s="1"/>
      </tp>
      <tp>
        <v>0.85402999999999996</v>
        <stp/>
        <stp>21422436</stp>
        <stp>@bh,USDCHF,h4,close,10</stp>
        <tr r="AC12" s="1"/>
      </tp>
      <tp>
        <v>0.85618000000000005</v>
        <stp/>
        <stp>21422436</stp>
        <stp>@bh,USDCHF,h4,close,11</stp>
        <tr r="AC13" s="1"/>
      </tp>
      <tp>
        <v>0.85912999999999995</v>
        <stp/>
        <stp>21422436</stp>
        <stp>@bh,USDCHF,h4,close,12</stp>
        <tr r="AC14" s="1"/>
      </tp>
      <tp>
        <v>0.86009999999999998</v>
        <stp/>
        <stp>21422436</stp>
        <stp>@bh,USDCHF,h4,close,13</stp>
        <tr r="AC15" s="1"/>
      </tp>
      <tp>
        <v>0.86204000000000003</v>
        <stp/>
        <stp>21422436</stp>
        <stp>@bh,USDCHF,h4,close,14</stp>
        <tr r="AC16" s="1"/>
      </tp>
      <tp>
        <v>0.86190999999999995</v>
        <stp/>
        <stp>21422436</stp>
        <stp>@bh,USDCHF,h4,close,15</stp>
        <tr r="AC17" s="1"/>
      </tp>
      <tp>
        <v>0.86287999999999998</v>
        <stp/>
        <stp>21422436</stp>
        <stp>@bh,USDCHF,h4,close,16</stp>
        <tr r="AC18" s="1"/>
      </tp>
      <tp>
        <v>0.86304000000000003</v>
        <stp/>
        <stp>21422436</stp>
        <stp>@bh,USDCHF,h4,close,17</stp>
        <tr r="AC19" s="1"/>
      </tp>
      <tp>
        <v>0.85133999999999999</v>
        <stp/>
        <stp>21422436</stp>
        <stp>@bh,USDCHF,h1,close,20</stp>
        <tr r="AC22" s="3"/>
      </tp>
      <tp>
        <v>0.85157000000000005</v>
        <stp/>
        <stp>21422436</stp>
        <stp>@bh,USDCHF,h1,close,21</stp>
        <tr r="AC23" s="3"/>
      </tp>
      <tp>
        <v>0.85331000000000001</v>
        <stp/>
        <stp>21422436</stp>
        <stp>@bh,USDCHF,h1,close,22</stp>
        <tr r="AC24" s="3"/>
      </tp>
      <tp>
        <v>0.85367000000000004</v>
        <stp/>
        <stp>21422436</stp>
        <stp>@bh,USDCHF,h1,close,23</stp>
        <tr r="AC25" s="3"/>
      </tp>
      <tp>
        <v>0.85401000000000005</v>
        <stp/>
        <stp>21422436</stp>
        <stp>@bh,USDCHF,h1,close,24</stp>
        <tr r="AC26" s="3"/>
      </tp>
      <tp>
        <v>0.85511000000000004</v>
        <stp/>
        <stp>21422436</stp>
        <stp>@bh,USDCHF,h1,close,25</stp>
        <tr r="AC27" s="3"/>
      </tp>
      <tp>
        <v>0.85548000000000002</v>
        <stp/>
        <stp>21422436</stp>
        <stp>@bh,USDCHF,h1,close,26</stp>
        <tr r="AC28" s="3"/>
      </tp>
      <tp>
        <v>0.85514000000000001</v>
        <stp/>
        <stp>21422436</stp>
        <stp>@bh,USDCHF,h1,close,27</stp>
        <tr r="AC29" s="3"/>
      </tp>
      <tp>
        <v>0.85041999999999995</v>
        <stp/>
        <stp>21422436</stp>
        <stp>@bh,USDCHF,h1,close,18</stp>
        <tr r="AC20" s="3"/>
      </tp>
      <tp>
        <v>0.8508</v>
        <stp/>
        <stp>21422436</stp>
        <stp>@bh,USDCHF,h1,close,19</stp>
        <tr r="AC21" s="3"/>
      </tp>
      <tp>
        <v>0.85199999999999998</v>
        <stp/>
        <stp>21422436</stp>
        <stp>@bh,USDCHF,h1,close,10</stp>
        <tr r="AC12" s="3"/>
      </tp>
      <tp>
        <v>0.85228999999999999</v>
        <stp/>
        <stp>21422436</stp>
        <stp>@bh,USDCHF,h1,close,11</stp>
        <tr r="AC13" s="3"/>
      </tp>
      <tp>
        <v>0.85179000000000005</v>
        <stp/>
        <stp>21422436</stp>
        <stp>@bh,USDCHF,h1,close,12</stp>
        <tr r="AC14" s="3"/>
      </tp>
      <tp>
        <v>0.85116000000000003</v>
        <stp/>
        <stp>21422436</stp>
        <stp>@bh,USDCHF,h1,close,13</stp>
        <tr r="AC15" s="3"/>
      </tp>
      <tp>
        <v>0.85082999999999998</v>
        <stp/>
        <stp>21422436</stp>
        <stp>@bh,USDCHF,h1,close,14</stp>
        <tr r="AC16" s="3"/>
      </tp>
      <tp>
        <v>0.85119999999999996</v>
        <stp/>
        <stp>21422436</stp>
        <stp>@bh,USDCHF,h1,close,15</stp>
        <tr r="AC17" s="3"/>
      </tp>
      <tp>
        <v>0.85167000000000004</v>
        <stp/>
        <stp>21422436</stp>
        <stp>@bh,USDCHF,h1,close,16</stp>
        <tr r="AC18" s="3"/>
      </tp>
      <tp>
        <v>0.85148000000000001</v>
        <stp/>
        <stp>21422436</stp>
        <stp>@bh,USDCHF,h1,close,17</stp>
        <tr r="AC19" s="3"/>
      </tp>
      <tp>
        <v>1.3678999999999999</v>
        <stp/>
        <stp>21422436</stp>
        <stp>@bh,USDCAD,h4,close,22</stp>
        <tr r="AB24" s="1"/>
      </tp>
      <tp>
        <v>1.36958</v>
        <stp/>
        <stp>21422436</stp>
        <stp>@bh,USDCAD,h4,close,23</stp>
        <tr r="AB25" s="1"/>
      </tp>
      <tp>
        <v>1.36653</v>
        <stp/>
        <stp>21422436</stp>
        <stp>@bh,USDCAD,h4,close,20</stp>
        <tr r="AB22" s="1"/>
      </tp>
      <tp>
        <v>1.36713</v>
        <stp/>
        <stp>21422436</stp>
        <stp>@bh,USDCAD,h4,close,21</stp>
        <tr r="AB23" s="1"/>
      </tp>
      <tp>
        <v>1.3725099999999999</v>
        <stp/>
        <stp>21422436</stp>
        <stp>@bh,USDCAD,h4,close,26</stp>
        <tr r="AB28" s="1"/>
      </tp>
      <tp>
        <v>1.37317</v>
        <stp/>
        <stp>21422436</stp>
        <stp>@bh,USDCAD,h4,close,27</stp>
        <tr r="AB29" s="1"/>
      </tp>
      <tp>
        <v>1.37262</v>
        <stp/>
        <stp>21422436</stp>
        <stp>@bh,USDCAD,h4,close,24</stp>
        <tr r="AB26" s="1"/>
      </tp>
      <tp>
        <v>1.37225</v>
        <stp/>
        <stp>21422436</stp>
        <stp>@bh,USDCAD,h4,close,25</stp>
        <tr r="AB27" s="1"/>
      </tp>
      <tp>
        <v>1.3672500000000001</v>
        <stp/>
        <stp>21422436</stp>
        <stp>@bh,USDCAD,h4,close,18</stp>
        <tr r="AB20" s="1"/>
      </tp>
      <tp>
        <v>1.3674200000000001</v>
        <stp/>
        <stp>21422436</stp>
        <stp>@bh,USDCAD,h4,close,19</stp>
        <tr r="AB21" s="1"/>
      </tp>
      <tp>
        <v>1.3620699999999999</v>
        <stp/>
        <stp>21422436</stp>
        <stp>@bh,USDCAD,h4,close,12</stp>
        <tr r="AB14" s="1"/>
      </tp>
      <tp>
        <v>1.3616900000000001</v>
        <stp/>
        <stp>21422436</stp>
        <stp>@bh,USDCAD,h4,close,13</stp>
        <tr r="AB15" s="1"/>
      </tp>
      <tp>
        <v>1.3620300000000001</v>
        <stp/>
        <stp>21422436</stp>
        <stp>@bh,USDCAD,h4,close,10</stp>
        <tr r="AB12" s="1"/>
      </tp>
      <tp>
        <v>1.3630899999999999</v>
        <stp/>
        <stp>21422436</stp>
        <stp>@bh,USDCAD,h4,close,11</stp>
        <tr r="AB13" s="1"/>
      </tp>
      <tp>
        <v>1.36334</v>
        <stp/>
        <stp>21422436</stp>
        <stp>@bh,USDCAD,h4,close,16</stp>
        <tr r="AB18" s="1"/>
      </tp>
      <tp>
        <v>1.36494</v>
        <stp/>
        <stp>21422436</stp>
        <stp>@bh,USDCAD,h4,close,17</stp>
        <tr r="AB19" s="1"/>
      </tp>
      <tp>
        <v>1.36368</v>
        <stp/>
        <stp>21422436</stp>
        <stp>@bh,USDCAD,h4,close,14</stp>
        <tr r="AB16" s="1"/>
      </tp>
      <tp>
        <v>1.3634900000000001</v>
        <stp/>
        <stp>21422436</stp>
        <stp>@bh,USDCAD,h4,close,15</stp>
        <tr r="AB17" s="1"/>
      </tp>
      <tp>
        <v>1.3599399999999999</v>
        <stp/>
        <stp>21422436</stp>
        <stp>@bh,USDCAD,h1,close,22</stp>
        <tr r="AB24" s="3"/>
      </tp>
      <tp>
        <v>1.3597900000000001</v>
        <stp/>
        <stp>21422436</stp>
        <stp>@bh,USDCAD,h1,close,23</stp>
        <tr r="AB25" s="3"/>
      </tp>
      <tp>
        <v>1.3590199999999999</v>
        <stp/>
        <stp>21422436</stp>
        <stp>@bh,USDCAD,h1,close,20</stp>
        <tr r="AB22" s="3"/>
      </tp>
      <tp>
        <v>1.35832</v>
        <stp/>
        <stp>21422436</stp>
        <stp>@bh,USDCAD,h1,close,21</stp>
        <tr r="AB23" s="3"/>
      </tp>
      <tp>
        <v>1.3600099999999999</v>
        <stp/>
        <stp>21422436</stp>
        <stp>@bh,USDCAD,h1,close,26</stp>
        <tr r="AB28" s="3"/>
      </tp>
      <tp>
        <v>1.36087</v>
        <stp/>
        <stp>21422436</stp>
        <stp>@bh,USDCAD,h1,close,27</stp>
        <tr r="AB29" s="3"/>
      </tp>
      <tp>
        <v>1.3598600000000001</v>
        <stp/>
        <stp>21422436</stp>
        <stp>@bh,USDCAD,h1,close,24</stp>
        <tr r="AB26" s="3"/>
      </tp>
      <tp>
        <v>1.3600099999999999</v>
        <stp/>
        <stp>21422436</stp>
        <stp>@bh,USDCAD,h1,close,25</stp>
        <tr r="AB27" s="3"/>
      </tp>
      <tp>
        <v>1.3584000000000001</v>
        <stp/>
        <stp>21422436</stp>
        <stp>@bh,USDCAD,h1,close,18</stp>
        <tr r="AB20" s="3"/>
      </tp>
      <tp>
        <v>1.359</v>
        <stp/>
        <stp>21422436</stp>
        <stp>@bh,USDCAD,h1,close,19</stp>
        <tr r="AB21" s="3"/>
      </tp>
      <tp>
        <v>1.3587100000000001</v>
        <stp/>
        <stp>21422436</stp>
        <stp>@bh,USDCAD,h1,close,12</stp>
        <tr r="AB14" s="3"/>
      </tp>
      <tp>
        <v>1.3584099999999999</v>
        <stp/>
        <stp>21422436</stp>
        <stp>@bh,USDCAD,h1,close,13</stp>
        <tr r="AB15" s="3"/>
      </tp>
      <tp>
        <v>1.35877</v>
        <stp/>
        <stp>21422436</stp>
        <stp>@bh,USDCAD,h1,close,10</stp>
        <tr r="AB12" s="3"/>
      </tp>
      <tp>
        <v>1.3590500000000001</v>
        <stp/>
        <stp>21422436</stp>
        <stp>@bh,USDCAD,h1,close,11</stp>
        <tr r="AB13" s="3"/>
      </tp>
      <tp>
        <v>1.35934</v>
        <stp/>
        <stp>21422436</stp>
        <stp>@bh,USDCAD,h1,close,16</stp>
        <tr r="AB18" s="3"/>
      </tp>
      <tp>
        <v>1.3596900000000001</v>
        <stp/>
        <stp>21422436</stp>
        <stp>@bh,USDCAD,h1,close,17</stp>
        <tr r="AB19" s="3"/>
      </tp>
      <tp>
        <v>1.3586100000000001</v>
        <stp/>
        <stp>21422436</stp>
        <stp>@bh,USDCAD,h1,close,14</stp>
        <tr r="AB16" s="3"/>
      </tp>
      <tp>
        <v>1.35934</v>
        <stp/>
        <stp>21422436</stp>
        <stp>@bh,USDCAD,h1,close,15</stp>
        <tr r="AB17" s="3"/>
      </tp>
      <tp>
        <v>1.1144799999999999</v>
        <stp/>
        <stp>21422436</stp>
        <stp>@bh,AUDNZD,d1,close,18</stp>
        <tr r="D20" s="2"/>
      </tp>
      <tp>
        <v>1.11181</v>
        <stp/>
        <stp>21422436</stp>
        <stp>@bh,AUDNZD,d1,close,19</stp>
        <tr r="D21" s="2"/>
      </tp>
      <tp>
        <v>1.0925800000000001</v>
        <stp/>
        <stp>21422436</stp>
        <stp>@bh,AUDNZD,d1,close,14</stp>
        <tr r="D16" s="2"/>
      </tp>
      <tp>
        <v>1.09276</v>
        <stp/>
        <stp>21422436</stp>
        <stp>@bh,AUDNZD,d1,close,15</stp>
        <tr r="D17" s="2"/>
      </tp>
      <tp>
        <v>1.0992299999999999</v>
        <stp/>
        <stp>21422436</stp>
        <stp>@bh,AUDNZD,d1,close,16</stp>
        <tr r="D18" s="2"/>
      </tp>
      <tp>
        <v>1.10737</v>
        <stp/>
        <stp>21422436</stp>
        <stp>@bh,AUDNZD,d1,close,17</stp>
        <tr r="D19" s="2"/>
      </tp>
      <tp>
        <v>1.0961799999999999</v>
        <stp/>
        <stp>21422436</stp>
        <stp>@bh,AUDNZD,d1,close,10</stp>
        <tr r="D12" s="2"/>
      </tp>
      <tp>
        <v>1.08755</v>
        <stp/>
        <stp>21422436</stp>
        <stp>@bh,AUDNZD,d1,close,11</stp>
        <tr r="D13" s="2"/>
      </tp>
      <tp>
        <v>1.0946199999999999</v>
        <stp/>
        <stp>21422436</stp>
        <stp>@bh,AUDNZD,d1,close,12</stp>
        <tr r="D14" s="2"/>
      </tp>
      <tp>
        <v>1.0936600000000001</v>
        <stp/>
        <stp>21422436</stp>
        <stp>@bh,AUDNZD,d1,close,13</stp>
        <tr r="D15" s="2"/>
      </tp>
      <tp>
        <v>1.1122300000000001</v>
        <stp/>
        <stp>21422436</stp>
        <stp>@bh,AUDNZD,d1,close,24</stp>
        <tr r="D26" s="2"/>
      </tp>
      <tp>
        <v>1.1093299999999999</v>
        <stp/>
        <stp>21422436</stp>
        <stp>@bh,AUDNZD,d1,close,25</stp>
        <tr r="D27" s="2"/>
      </tp>
      <tp>
        <v>1.1063000000000001</v>
        <stp/>
        <stp>21422436</stp>
        <stp>@bh,AUDNZD,d1,close,26</stp>
        <tr r="D28" s="2"/>
      </tp>
      <tp>
        <v>1.11293</v>
        <stp/>
        <stp>21422436</stp>
        <stp>@bh,AUDNZD,d1,close,27</stp>
        <tr r="D29" s="2"/>
      </tp>
      <tp>
        <v>1.1105</v>
        <stp/>
        <stp>21422436</stp>
        <stp>@bh,AUDNZD,d1,close,20</stp>
        <tr r="D22" s="2"/>
      </tp>
      <tp>
        <v>1.1096200000000001</v>
        <stp/>
        <stp>21422436</stp>
        <stp>@bh,AUDNZD,d1,close,21</stp>
        <tr r="D23" s="2"/>
      </tp>
      <tp>
        <v>1.1107199999999999</v>
        <stp/>
        <stp>21422436</stp>
        <stp>@bh,AUDNZD,d1,close,22</stp>
        <tr r="D24" s="2"/>
      </tp>
      <tp>
        <v>1.1109199999999999</v>
        <stp/>
        <stp>21422436</stp>
        <stp>@bh,AUDNZD,d1,close,23</stp>
        <tr r="D25" s="2"/>
      </tp>
      <tp>
        <v>1.8415699999999999</v>
        <stp/>
        <stp>21422436</stp>
        <stp>@bh,EURNZD,d1,close,18</stp>
        <tr r="N20" s="2"/>
      </tp>
      <tp>
        <v>1.8436900000000001</v>
        <stp/>
        <stp>21422436</stp>
        <stp>@bh,EURNZD,d1,close,19</stp>
        <tr r="N21" s="2"/>
      </tp>
      <tp>
        <v>1.8311200000000001</v>
        <stp/>
        <stp>21422436</stp>
        <stp>@bh,EURNZD,d1,close,14</stp>
        <tr r="N16" s="2"/>
      </tp>
      <tp>
        <v>1.81375</v>
        <stp/>
        <stp>21422436</stp>
        <stp>@bh,EURNZD,d1,close,15</stp>
        <tr r="N17" s="2"/>
      </tp>
      <tp>
        <v>1.81932</v>
        <stp/>
        <stp>21422436</stp>
        <stp>@bh,EURNZD,d1,close,16</stp>
        <tr r="N18" s="2"/>
      </tp>
      <tp>
        <v>1.83192</v>
        <stp/>
        <stp>21422436</stp>
        <stp>@bh,EURNZD,d1,close,17</stp>
        <tr r="N19" s="2"/>
      </tp>
      <tp>
        <v>1.81568</v>
        <stp/>
        <stp>21422436</stp>
        <stp>@bh,EURNZD,d1,close,10</stp>
        <tr r="N12" s="2"/>
      </tp>
      <tp>
        <v>1.82237</v>
        <stp/>
        <stp>21422436</stp>
        <stp>@bh,EURNZD,d1,close,11</stp>
        <tr r="N13" s="2"/>
      </tp>
      <tp>
        <v>1.8359399999999999</v>
        <stp/>
        <stp>21422436</stp>
        <stp>@bh,EURNZD,d1,close,12</stp>
        <tr r="N14" s="2"/>
      </tp>
      <tp>
        <v>1.8437699999999999</v>
        <stp/>
        <stp>21422436</stp>
        <stp>@bh,EURNZD,d1,close,13</stp>
        <tr r="N15" s="2"/>
      </tp>
      <tp>
        <v>2.1631300000000002</v>
        <stp/>
        <stp>21422436</stp>
        <stp>@bh,GBPNZD,d1,close,23</stp>
        <tr r="Q25" s="2"/>
      </tp>
      <tp>
        <v>2.1669999999999998</v>
        <stp/>
        <stp>21422436</stp>
        <stp>@bh,GBPNZD,d1,close,22</stp>
        <tr r="Q24" s="2"/>
      </tp>
      <tp>
        <v>2.1762100000000002</v>
        <stp/>
        <stp>21422436</stp>
        <stp>@bh,GBPNZD,d1,close,21</stp>
        <tr r="Q23" s="2"/>
      </tp>
      <tp>
        <v>2.1825600000000001</v>
        <stp/>
        <stp>21422436</stp>
        <stp>@bh,GBPNZD,d1,close,20</stp>
        <tr r="Q22" s="2"/>
      </tp>
      <tp>
        <v>2.14419</v>
        <stp/>
        <stp>21422436</stp>
        <stp>@bh,GBPNZD,d1,close,27</stp>
        <tr r="Q29" s="2"/>
      </tp>
      <tp>
        <v>2.1385200000000002</v>
        <stp/>
        <stp>21422436</stp>
        <stp>@bh,GBPNZD,d1,close,26</stp>
        <tr r="Q28" s="2"/>
      </tp>
      <tp>
        <v>2.14106</v>
        <stp/>
        <stp>21422436</stp>
        <stp>@bh,GBPNZD,d1,close,25</stp>
        <tr r="Q27" s="2"/>
      </tp>
      <tp>
        <v>2.1486399999999999</v>
        <stp/>
        <stp>21422436</stp>
        <stp>@bh,GBPNZD,d1,close,24</stp>
        <tr r="Q26" s="2"/>
      </tp>
      <tp>
        <v>2.1850000000000001</v>
        <stp/>
        <stp>21422436</stp>
        <stp>@bh,GBPNZD,d1,close,19</stp>
        <tr r="Q21" s="2"/>
      </tp>
      <tp>
        <v>2.1886000000000001</v>
        <stp/>
        <stp>21422436</stp>
        <stp>@bh,GBPNZD,d1,close,18</stp>
        <tr r="Q20" s="2"/>
      </tp>
      <tp>
        <v>2.1509800000000001</v>
        <stp/>
        <stp>21422436</stp>
        <stp>@bh,GBPNZD,d1,close,13</stp>
        <tr r="Q15" s="2"/>
      </tp>
      <tp>
        <v>2.1315200000000001</v>
        <stp/>
        <stp>21422436</stp>
        <stp>@bh,GBPNZD,d1,close,12</stp>
        <tr r="Q14" s="2"/>
      </tp>
      <tp>
        <v>2.1172399999999998</v>
        <stp/>
        <stp>21422436</stp>
        <stp>@bh,GBPNZD,d1,close,11</stp>
        <tr r="Q13" s="2"/>
      </tp>
      <tp>
        <v>2.1198299999999999</v>
        <stp/>
        <stp>21422436</stp>
        <stp>@bh,GBPNZD,d1,close,10</stp>
        <tr r="Q12" s="2"/>
      </tp>
      <tp>
        <v>2.1742300000000001</v>
        <stp/>
        <stp>21422436</stp>
        <stp>@bh,GBPNZD,d1,close,17</stp>
        <tr r="Q19" s="2"/>
      </tp>
      <tp>
        <v>2.1601300000000001</v>
        <stp/>
        <stp>21422436</stp>
        <stp>@bh,GBPNZD,d1,close,16</stp>
        <tr r="Q18" s="2"/>
      </tp>
      <tp>
        <v>2.1409600000000002</v>
        <stp/>
        <stp>21422436</stp>
        <stp>@bh,GBPNZD,d1,close,15</stp>
        <tr r="Q17" s="2"/>
      </tp>
      <tp>
        <v>2.1490499999999999</v>
        <stp/>
        <stp>21422436</stp>
        <stp>@bh,GBPNZD,d1,close,14</stp>
        <tr r="Q16" s="2"/>
      </tp>
      <tp>
        <v>1.8109</v>
        <stp/>
        <stp>21422436</stp>
        <stp>@bh,EURNZD,d1,close,24</stp>
        <tr r="N26" s="2"/>
      </tp>
      <tp>
        <v>1.8025100000000001</v>
        <stp/>
        <stp>21422436</stp>
        <stp>@bh,EURNZD,d1,close,25</stp>
        <tr r="N27" s="2"/>
      </tp>
      <tp>
        <v>1.7986899999999999</v>
        <stp/>
        <stp>21422436</stp>
        <stp>@bh,EURNZD,d1,close,26</stp>
        <tr r="N28" s="2"/>
      </tp>
      <tp>
        <v>1.80141</v>
        <stp/>
        <stp>21422436</stp>
        <stp>@bh,EURNZD,d1,close,27</stp>
        <tr r="N29" s="2"/>
      </tp>
      <tp>
        <v>1.84213</v>
        <stp/>
        <stp>21422436</stp>
        <stp>@bh,EURNZD,d1,close,20</stp>
        <tr r="N22" s="2"/>
      </tp>
      <tp>
        <v>1.82785</v>
        <stp/>
        <stp>21422436</stp>
        <stp>@bh,EURNZD,d1,close,21</stp>
        <tr r="N23" s="2"/>
      </tp>
      <tp>
        <v>1.82223</v>
        <stp/>
        <stp>21422436</stp>
        <stp>@bh,EURNZD,d1,close,22</stp>
        <tr r="N24" s="2"/>
      </tp>
      <tp>
        <v>1.8214999999999999</v>
        <stp/>
        <stp>21422436</stp>
        <stp>@bh,EURNZD,d1,close,23</stp>
        <tr r="N25" s="2"/>
      </tp>
      <tp>
        <v>1.64984</v>
        <stp/>
        <stp>21422436</stp>
        <stp>@bh,EURAUD,h1,close,24</stp>
        <tr r="M26" s="3"/>
      </tp>
      <tp>
        <v>1.64941</v>
        <stp/>
        <stp>21422436</stp>
        <stp>@bh,EURAUD,h1,close,25</stp>
        <tr r="M27" s="3"/>
      </tp>
      <tp>
        <v>1.65</v>
        <stp/>
        <stp>21422436</stp>
        <stp>@bh,EURAUD,h1,close,26</stp>
        <tr r="M28" s="3"/>
      </tp>
      <tp>
        <v>1.6499299999999999</v>
        <stp/>
        <stp>21422436</stp>
        <stp>@bh,EURAUD,h1,close,27</stp>
        <tr r="M29" s="3"/>
      </tp>
      <tp>
        <v>1.6533800000000001</v>
        <stp/>
        <stp>21422436</stp>
        <stp>@bh,EURAUD,h1,close,20</stp>
        <tr r="M22" s="3"/>
      </tp>
      <tp>
        <v>1.6507799999999999</v>
        <stp/>
        <stp>21422436</stp>
        <stp>@bh,EURAUD,h1,close,21</stp>
        <tr r="M23" s="3"/>
      </tp>
      <tp>
        <v>1.6509100000000001</v>
        <stp/>
        <stp>21422436</stp>
        <stp>@bh,EURAUD,h1,close,22</stp>
        <tr r="M24" s="3"/>
      </tp>
      <tp>
        <v>1.6486400000000001</v>
        <stp/>
        <stp>21422436</stp>
        <stp>@bh,EURAUD,h1,close,23</stp>
        <tr r="M25" s="3"/>
      </tp>
      <tp>
        <v>1.94154</v>
        <stp/>
        <stp>21422436</stp>
        <stp>@bh,GBPAUD,h1,close,19</stp>
        <tr r="P21" s="3"/>
      </tp>
      <tp>
        <v>1.9411</v>
        <stp/>
        <stp>21422436</stp>
        <stp>@bh,GBPAUD,h1,close,18</stp>
        <tr r="P20" s="3"/>
      </tp>
      <tp>
        <v>1.93971</v>
        <stp/>
        <stp>21422436</stp>
        <stp>@bh,GBPAUD,h1,close,13</stp>
        <tr r="P15" s="3"/>
      </tp>
      <tp>
        <v>1.9410099999999999</v>
        <stp/>
        <stp>21422436</stp>
        <stp>@bh,GBPAUD,h1,close,12</stp>
        <tr r="P14" s="3"/>
      </tp>
      <tp>
        <v>1.9419599999999999</v>
        <stp/>
        <stp>21422436</stp>
        <stp>@bh,GBPAUD,h1,close,11</stp>
        <tr r="P13" s="3"/>
      </tp>
      <tp>
        <v>1.9440200000000001</v>
        <stp/>
        <stp>21422436</stp>
        <stp>@bh,GBPAUD,h1,close,10</stp>
        <tr r="P12" s="3"/>
      </tp>
      <tp>
        <v>1.9414400000000001</v>
        <stp/>
        <stp>21422436</stp>
        <stp>@bh,GBPAUD,h1,close,17</stp>
        <tr r="P19" s="3"/>
      </tp>
      <tp>
        <v>1.9410000000000001</v>
        <stp/>
        <stp>21422436</stp>
        <stp>@bh,GBPAUD,h1,close,16</stp>
        <tr r="P18" s="3"/>
      </tp>
      <tp>
        <v>1.94119</v>
        <stp/>
        <stp>21422436</stp>
        <stp>@bh,GBPAUD,h1,close,15</stp>
        <tr r="P17" s="3"/>
      </tp>
      <tp>
        <v>1.93954</v>
        <stp/>
        <stp>21422436</stp>
        <stp>@bh,GBPAUD,h1,close,14</stp>
        <tr r="P16" s="3"/>
      </tp>
      <tp>
        <v>1.9356199999999999</v>
        <stp/>
        <stp>21422436</stp>
        <stp>@bh,GBPAUD,h1,close,23</stp>
        <tr r="P25" s="3"/>
      </tp>
      <tp>
        <v>1.93814</v>
        <stp/>
        <stp>21422436</stp>
        <stp>@bh,GBPAUD,h1,close,22</stp>
        <tr r="P24" s="3"/>
      </tp>
      <tp>
        <v>1.9373400000000001</v>
        <stp/>
        <stp>21422436</stp>
        <stp>@bh,GBPAUD,h1,close,21</stp>
        <tr r="P23" s="3"/>
      </tp>
      <tp>
        <v>1.9415800000000001</v>
        <stp/>
        <stp>21422436</stp>
        <stp>@bh,GBPAUD,h1,close,20</stp>
        <tr r="P22" s="3"/>
      </tp>
      <tp>
        <v>1.9334100000000001</v>
        <stp/>
        <stp>21422436</stp>
        <stp>@bh,GBPAUD,h1,close,27</stp>
        <tr r="P29" s="3"/>
      </tp>
      <tp>
        <v>1.93418</v>
        <stp/>
        <stp>21422436</stp>
        <stp>@bh,GBPAUD,h1,close,26</stp>
        <tr r="P28" s="3"/>
      </tp>
      <tp>
        <v>1.9338900000000001</v>
        <stp/>
        <stp>21422436</stp>
        <stp>@bh,GBPAUD,h1,close,25</stp>
        <tr r="P27" s="3"/>
      </tp>
      <tp>
        <v>1.9345699999999999</v>
        <stp/>
        <stp>21422436</stp>
        <stp>@bh,GBPAUD,h1,close,24</stp>
        <tr r="P26" s="3"/>
      </tp>
      <tp>
        <v>1.6531100000000001</v>
        <stp/>
        <stp>21422436</stp>
        <stp>@bh,EURAUD,h1,close,18</stp>
        <tr r="M20" s="3"/>
      </tp>
      <tp>
        <v>1.65378</v>
        <stp/>
        <stp>21422436</stp>
        <stp>@bh,EURAUD,h1,close,19</stp>
        <tr r="M21" s="3"/>
      </tp>
      <tp>
        <v>1.6526400000000001</v>
        <stp/>
        <stp>21422436</stp>
        <stp>@bh,EURAUD,h1,close,14</stp>
        <tr r="M16" s="3"/>
      </tp>
      <tp>
        <v>1.6530499999999999</v>
        <stp/>
        <stp>21422436</stp>
        <stp>@bh,EURAUD,h1,close,15</stp>
        <tr r="M17" s="3"/>
      </tp>
      <tp>
        <v>1.6532100000000001</v>
        <stp/>
        <stp>21422436</stp>
        <stp>@bh,EURAUD,h1,close,16</stp>
        <tr r="M18" s="3"/>
      </tp>
      <tp>
        <v>1.6539600000000001</v>
        <stp/>
        <stp>21422436</stp>
        <stp>@bh,EURAUD,h1,close,17</stp>
        <tr r="M19" s="3"/>
      </tp>
      <tp>
        <v>1.65557</v>
        <stp/>
        <stp>21422436</stp>
        <stp>@bh,EURAUD,h1,close,10</stp>
        <tr r="M12" s="3"/>
      </tp>
      <tp>
        <v>1.6536999999999999</v>
        <stp/>
        <stp>21422436</stp>
        <stp>@bh,EURAUD,h1,close,11</stp>
        <tr r="M13" s="3"/>
      </tp>
      <tp>
        <v>1.6530899999999999</v>
        <stp/>
        <stp>21422436</stp>
        <stp>@bh,EURAUD,h1,close,12</stp>
        <tr r="M14" s="3"/>
      </tp>
      <tp>
        <v>1.6527499999999999</v>
        <stp/>
        <stp>21422436</stp>
        <stp>@bh,EURAUD,h1,close,13</stp>
        <tr r="M15" s="3"/>
      </tp>
      <tp>
        <v>1.9395100000000001</v>
        <stp/>
        <stp>21422436</stp>
        <stp>@bh,GBPAUD,h4,close,19</stp>
        <tr r="P21" s="1"/>
      </tp>
      <tp>
        <v>1.93387</v>
        <stp/>
        <stp>21422436</stp>
        <stp>@bh,GBPAUD,h4,close,18</stp>
        <tr r="P20" s="1"/>
      </tp>
      <tp>
        <v>1.93225</v>
        <stp/>
        <stp>21422436</stp>
        <stp>@bh,GBPAUD,h4,close,13</stp>
        <tr r="P15" s="1"/>
      </tp>
      <tp>
        <v>1.93232</v>
        <stp/>
        <stp>21422436</stp>
        <stp>@bh,GBPAUD,h4,close,12</stp>
        <tr r="P14" s="1"/>
      </tp>
      <tp>
        <v>1.9334800000000001</v>
        <stp/>
        <stp>21422436</stp>
        <stp>@bh,GBPAUD,h4,close,11</stp>
        <tr r="P13" s="1"/>
      </tp>
      <tp>
        <v>1.93174</v>
        <stp/>
        <stp>21422436</stp>
        <stp>@bh,GBPAUD,h4,close,10</stp>
        <tr r="P12" s="1"/>
      </tp>
      <tp>
        <v>1.9317800000000001</v>
        <stp/>
        <stp>21422436</stp>
        <stp>@bh,GBPAUD,h4,close,17</stp>
        <tr r="P19" s="1"/>
      </tp>
      <tp>
        <v>1.9295500000000001</v>
        <stp/>
        <stp>21422436</stp>
        <stp>@bh,GBPAUD,h4,close,16</stp>
        <tr r="P18" s="1"/>
      </tp>
      <tp>
        <v>1.93049</v>
        <stp/>
        <stp>21422436</stp>
        <stp>@bh,GBPAUD,h4,close,15</stp>
        <tr r="P17" s="1"/>
      </tp>
      <tp>
        <v>1.9320299999999999</v>
        <stp/>
        <stp>21422436</stp>
        <stp>@bh,GBPAUD,h4,close,14</stp>
        <tr r="P16" s="1"/>
      </tp>
      <tp>
        <v>1.6589799999999999</v>
        <stp/>
        <stp>21422436</stp>
        <stp>@bh,EURAUD,h4,close,24</stp>
        <tr r="M26" s="1"/>
      </tp>
      <tp>
        <v>1.6556599999999999</v>
        <stp/>
        <stp>21422436</stp>
        <stp>@bh,EURAUD,h4,close,25</stp>
        <tr r="M27" s="1"/>
      </tp>
      <tp>
        <v>1.6573800000000001</v>
        <stp/>
        <stp>21422436</stp>
        <stp>@bh,EURAUD,h4,close,26</stp>
        <tr r="M28" s="1"/>
      </tp>
      <tp>
        <v>1.6595500000000001</v>
        <stp/>
        <stp>21422436</stp>
        <stp>@bh,EURAUD,h4,close,27</stp>
        <tr r="M29" s="1"/>
      </tp>
      <tp>
        <v>1.65086</v>
        <stp/>
        <stp>21422436</stp>
        <stp>@bh,EURAUD,h4,close,20</stp>
        <tr r="M22" s="1"/>
      </tp>
      <tp>
        <v>1.6515</v>
        <stp/>
        <stp>21422436</stp>
        <stp>@bh,EURAUD,h4,close,21</stp>
        <tr r="M23" s="1"/>
      </tp>
      <tp>
        <v>1.65337</v>
        <stp/>
        <stp>21422436</stp>
        <stp>@bh,EURAUD,h4,close,22</stp>
        <tr r="M24" s="1"/>
      </tp>
      <tp>
        <v>1.65324</v>
        <stp/>
        <stp>21422436</stp>
        <stp>@bh,EURAUD,h4,close,23</stp>
        <tr r="M25" s="1"/>
      </tp>
      <tp>
        <v>1.64838</v>
        <stp/>
        <stp>21422436</stp>
        <stp>@bh,EURAUD,h4,close,18</stp>
        <tr r="M20" s="1"/>
      </tp>
      <tp>
        <v>1.65025</v>
        <stp/>
        <stp>21422436</stp>
        <stp>@bh,EURAUD,h4,close,19</stp>
        <tr r="M21" s="1"/>
      </tp>
      <tp>
        <v>1.64882</v>
        <stp/>
        <stp>21422436</stp>
        <stp>@bh,EURAUD,h4,close,14</stp>
        <tr r="M16" s="1"/>
      </tp>
      <tp>
        <v>1.64771</v>
        <stp/>
        <stp>21422436</stp>
        <stp>@bh,EURAUD,h4,close,15</stp>
        <tr r="M17" s="1"/>
      </tp>
      <tp>
        <v>1.6465099999999999</v>
        <stp/>
        <stp>21422436</stp>
        <stp>@bh,EURAUD,h4,close,16</stp>
        <tr r="M18" s="1"/>
      </tp>
      <tp>
        <v>1.6478299999999999</v>
        <stp/>
        <stp>21422436</stp>
        <stp>@bh,EURAUD,h4,close,17</stp>
        <tr r="M19" s="1"/>
      </tp>
      <tp>
        <v>1.6495899999999999</v>
        <stp/>
        <stp>21422436</stp>
        <stp>@bh,EURAUD,h4,close,10</stp>
        <tr r="M12" s="1"/>
      </tp>
      <tp>
        <v>1.6499299999999999</v>
        <stp/>
        <stp>21422436</stp>
        <stp>@bh,EURAUD,h4,close,11</stp>
        <tr r="M13" s="1"/>
      </tp>
      <tp>
        <v>1.6462300000000001</v>
        <stp/>
        <stp>21422436</stp>
        <stp>@bh,EURAUD,h4,close,12</stp>
        <tr r="M14" s="1"/>
      </tp>
      <tp>
        <v>1.64673</v>
        <stp/>
        <stp>21422436</stp>
        <stp>@bh,EURAUD,h4,close,13</stp>
        <tr r="M15" s="1"/>
      </tp>
      <tp>
        <v>1.9412400000000001</v>
        <stp/>
        <stp>21422436</stp>
        <stp>@bh,GBPAUD,h4,close,23</stp>
        <tr r="P25" s="1"/>
      </tp>
      <tp>
        <v>1.9406300000000001</v>
        <stp/>
        <stp>21422436</stp>
        <stp>@bh,GBPAUD,h4,close,22</stp>
        <tr r="P24" s="1"/>
      </tp>
      <tp>
        <v>1.9382600000000001</v>
        <stp/>
        <stp>21422436</stp>
        <stp>@bh,GBPAUD,h4,close,21</stp>
        <tr r="P23" s="1"/>
      </tp>
      <tp>
        <v>1.9370099999999999</v>
        <stp/>
        <stp>21422436</stp>
        <stp>@bh,GBPAUD,h4,close,20</stp>
        <tr r="P22" s="1"/>
      </tp>
      <tp>
        <v>1.94489</v>
        <stp/>
        <stp>21422436</stp>
        <stp>@bh,GBPAUD,h4,close,27</stp>
        <tr r="P29" s="1"/>
      </tp>
      <tp>
        <v>1.9427300000000001</v>
        <stp/>
        <stp>21422436</stp>
        <stp>@bh,GBPAUD,h4,close,26</stp>
        <tr r="P28" s="1"/>
      </tp>
      <tp>
        <v>1.94282</v>
        <stp/>
        <stp>21422436</stp>
        <stp>@bh,GBPAUD,h4,close,25</stp>
        <tr r="P27" s="1"/>
      </tp>
      <tp>
        <v>1.9461900000000001</v>
        <stp/>
        <stp>21422436</stp>
        <stp>@bh,GBPAUD,h4,close,24</stp>
        <tr r="P26" s="1"/>
      </tp>
      <tp>
        <v>0.85236000000000001</v>
        <stp/>
        <stp>21422436</stp>
        <stp>@bh,EURGBP,h4,close,18</stp>
        <tr r="J20" s="1"/>
      </tp>
      <tp>
        <v>0.85084000000000004</v>
        <stp/>
        <stp>21422436</stp>
        <stp>@bh,EURGBP,h4,close,19</stp>
        <tr r="J21" s="1"/>
      </tp>
      <tp>
        <v>0.85397000000000001</v>
        <stp/>
        <stp>21422436</stp>
        <stp>@bh,EURGBP,h4,close,10</stp>
        <tr r="J12" s="1"/>
      </tp>
      <tp>
        <v>0.85335000000000005</v>
        <stp/>
        <stp>21422436</stp>
        <stp>@bh,EURGBP,h4,close,11</stp>
        <tr r="J13" s="1"/>
      </tp>
      <tp>
        <v>0.85192000000000001</v>
        <stp/>
        <stp>21422436</stp>
        <stp>@bh,EURGBP,h4,close,12</stp>
        <tr r="J14" s="1"/>
      </tp>
      <tp>
        <v>0.85221999999999998</v>
        <stp/>
        <stp>21422436</stp>
        <stp>@bh,EURGBP,h4,close,13</stp>
        <tr r="J15" s="1"/>
      </tp>
      <tp>
        <v>0.85338999999999998</v>
        <stp/>
        <stp>21422436</stp>
        <stp>@bh,EURGBP,h4,close,14</stp>
        <tr r="J16" s="1"/>
      </tp>
      <tp>
        <v>0.85348999999999997</v>
        <stp/>
        <stp>21422436</stp>
        <stp>@bh,EURGBP,h4,close,15</stp>
        <tr r="J17" s="1"/>
      </tp>
      <tp>
        <v>0.85323000000000004</v>
        <stp/>
        <stp>21422436</stp>
        <stp>@bh,EURGBP,h4,close,16</stp>
        <tr r="J18" s="1"/>
      </tp>
      <tp>
        <v>0.85299000000000003</v>
        <stp/>
        <stp>21422436</stp>
        <stp>@bh,EURGBP,h4,close,17</stp>
        <tr r="J19" s="1"/>
      </tp>
      <tp>
        <v>0.85226000000000002</v>
        <stp/>
        <stp>21422436</stp>
        <stp>@bh,EURGBP,h4,close,20</stp>
        <tr r="J22" s="1"/>
      </tp>
      <tp>
        <v>0.85202999999999995</v>
        <stp/>
        <stp>21422436</stp>
        <stp>@bh,EURGBP,h4,close,21</stp>
        <tr r="J23" s="1"/>
      </tp>
      <tp>
        <v>0.85172999999999999</v>
        <stp/>
        <stp>21422436</stp>
        <stp>@bh,EURGBP,h4,close,22</stp>
        <tr r="J24" s="1"/>
      </tp>
      <tp>
        <v>0.85160999999999998</v>
        <stp/>
        <stp>21422436</stp>
        <stp>@bh,EURGBP,h4,close,23</stp>
        <tr r="J25" s="1"/>
      </tp>
      <tp>
        <v>0.85238999999999998</v>
        <stp/>
        <stp>21422436</stp>
        <stp>@bh,EURGBP,h4,close,24</stp>
        <tr r="J26" s="1"/>
      </tp>
      <tp>
        <v>0.85218000000000005</v>
        <stp/>
        <stp>21422436</stp>
        <stp>@bh,EURGBP,h4,close,25</stp>
        <tr r="J27" s="1"/>
      </tp>
      <tp>
        <v>0.85309999999999997</v>
        <stp/>
        <stp>21422436</stp>
        <stp>@bh,EURGBP,h4,close,26</stp>
        <tr r="J28" s="1"/>
      </tp>
      <tp>
        <v>0.85326999999999997</v>
        <stp/>
        <stp>21422436</stp>
        <stp>@bh,EURGBP,h4,close,27</stp>
        <tr r="J29" s="1"/>
      </tp>
      <tp>
        <v>0.85160999999999998</v>
        <stp/>
        <stp>21422436</stp>
        <stp>@bh,EURGBP,h1,close,18</stp>
        <tr r="J20" s="3"/>
      </tp>
      <tp>
        <v>0.85174000000000005</v>
        <stp/>
        <stp>21422436</stp>
        <stp>@bh,EURGBP,h1,close,19</stp>
        <tr r="J21" s="3"/>
      </tp>
      <tp>
        <v>0.85162000000000004</v>
        <stp/>
        <stp>21422436</stp>
        <stp>@bh,EURGBP,h1,close,10</stp>
        <tr r="J12" s="3"/>
      </tp>
      <tp>
        <v>0.85158999999999996</v>
        <stp/>
        <stp>21422436</stp>
        <stp>@bh,EURGBP,h1,close,11</stp>
        <tr r="J13" s="3"/>
      </tp>
      <tp>
        <v>0.85163</v>
        <stp/>
        <stp>21422436</stp>
        <stp>@bh,EURGBP,h1,close,12</stp>
        <tr r="J14" s="3"/>
      </tp>
      <tp>
        <v>0.85202999999999995</v>
        <stp/>
        <stp>21422436</stp>
        <stp>@bh,EURGBP,h1,close,13</stp>
        <tr r="J15" s="3"/>
      </tp>
      <tp>
        <v>0.85207999999999995</v>
        <stp/>
        <stp>21422436</stp>
        <stp>@bh,EURGBP,h1,close,14</stp>
        <tr r="J16" s="3"/>
      </tp>
      <tp>
        <v>0.85148000000000001</v>
        <stp/>
        <stp>21422436</stp>
        <stp>@bh,EURGBP,h1,close,15</stp>
        <tr r="J17" s="3"/>
      </tp>
      <tp>
        <v>0.85175000000000001</v>
        <stp/>
        <stp>21422436</stp>
        <stp>@bh,EURGBP,h1,close,16</stp>
        <tr r="J18" s="3"/>
      </tp>
      <tp>
        <v>0.85190999999999995</v>
        <stp/>
        <stp>21422436</stp>
        <stp>@bh,EURGBP,h1,close,17</stp>
        <tr r="J19" s="3"/>
      </tp>
      <tp>
        <v>0.85157000000000005</v>
        <stp/>
        <stp>21422436</stp>
        <stp>@bh,EURGBP,h1,close,20</stp>
        <tr r="J22" s="3"/>
      </tp>
      <tp>
        <v>0.85209000000000001</v>
        <stp/>
        <stp>21422436</stp>
        <stp>@bh,EURGBP,h1,close,21</stp>
        <tr r="J23" s="3"/>
      </tp>
      <tp>
        <v>0.85180999999999996</v>
        <stp/>
        <stp>21422436</stp>
        <stp>@bh,EURGBP,h1,close,22</stp>
        <tr r="J24" s="3"/>
      </tp>
      <tp>
        <v>0.85172999999999999</v>
        <stp/>
        <stp>21422436</stp>
        <stp>@bh,EURGBP,h1,close,23</stp>
        <tr r="J25" s="3"/>
      </tp>
      <tp>
        <v>0.85279000000000005</v>
        <stp/>
        <stp>21422436</stp>
        <stp>@bh,EURGBP,h1,close,24</stp>
        <tr r="J26" s="3"/>
      </tp>
      <tp>
        <v>0.85289000000000004</v>
        <stp/>
        <stp>21422436</stp>
        <stp>@bh,EURGBP,h1,close,25</stp>
        <tr r="J27" s="3"/>
      </tp>
      <tp>
        <v>0.85306000000000004</v>
        <stp/>
        <stp>21422436</stp>
        <stp>@bh,EURGBP,h1,close,26</stp>
        <tr r="J28" s="3"/>
      </tp>
      <tp>
        <v>0.85338000000000003</v>
        <stp/>
        <stp>21422436</stp>
        <stp>@bh,EURGBP,h1,close,27</stp>
        <tr r="J29" s="3"/>
      </tp>
      <tp>
        <v>158.404</v>
        <stp/>
        <stp>21422436</stp>
        <stp>@bh,USDJPY,d1,close,27</stp>
        <tr r="AD29" s="2"/>
      </tp>
      <tp>
        <v>156.18700000000001</v>
        <stp/>
        <stp>21422436</stp>
        <stp>@bh,USDJPY,d1,close,26</stp>
        <tr r="AD28" s="2"/>
      </tp>
      <tp>
        <v>157.364</v>
        <stp/>
        <stp>21422436</stp>
        <stp>@bh,USDJPY,d1,close,25</stp>
        <tr r="AD27" s="2"/>
      </tp>
      <tp>
        <v>157.51499999999999</v>
        <stp/>
        <stp>21422436</stp>
        <stp>@bh,USDJPY,d1,close,24</stp>
        <tr r="AD26" s="2"/>
      </tp>
      <tp>
        <v>157.06200000000001</v>
        <stp/>
        <stp>21422436</stp>
        <stp>@bh,USDJPY,d1,close,23</stp>
        <tr r="AD25" s="2"/>
      </tp>
      <tp>
        <v>155.595</v>
        <stp/>
        <stp>21422436</stp>
        <stp>@bh,USDJPY,d1,close,22</stp>
        <tr r="AD24" s="2"/>
      </tp>
      <tp>
        <v>153.89699999999999</v>
        <stp/>
        <stp>21422436</stp>
        <stp>@bh,USDJPY,d1,close,21</stp>
        <tr r="AD23" s="2"/>
      </tp>
      <tp>
        <v>153.94200000000001</v>
        <stp/>
        <stp>21422436</stp>
        <stp>@bh,USDJPY,d1,close,20</stp>
        <tr r="AD22" s="2"/>
      </tp>
      <tp>
        <v>152.75399999999999</v>
        <stp/>
        <stp>21422436</stp>
        <stp>@bh,USDJPY,d1,close,17</stp>
        <tr r="AD19" s="2"/>
      </tp>
      <tp>
        <v>149.96</v>
        <stp/>
        <stp>21422436</stp>
        <stp>@bh,USDJPY,d1,close,16</stp>
        <tr r="AD18" s="2"/>
      </tp>
      <tp>
        <v>149.33000000000001</v>
        <stp/>
        <stp>21422436</stp>
        <stp>@bh,USDJPY,d1,close,15</stp>
        <tr r="AD17" s="2"/>
      </tp>
      <tp>
        <v>146.50200000000001</v>
        <stp/>
        <stp>21422436</stp>
        <stp>@bh,USDJPY,d1,close,14</stp>
        <tr r="AD16" s="2"/>
      </tp>
      <tp>
        <v>144.166</v>
        <stp/>
        <stp>21422436</stp>
        <stp>@bh,USDJPY,d1,close,13</stp>
        <tr r="AD15" s="2"/>
      </tp>
      <tp>
        <v>144.35900000000001</v>
        <stp/>
        <stp>21422436</stp>
        <stp>@bh,USDJPY,d1,close,12</stp>
        <tr r="AD14" s="2"/>
      </tp>
      <tp>
        <v>146.71299999999999</v>
        <stp/>
        <stp>21422436</stp>
        <stp>@bh,USDJPY,d1,close,11</stp>
        <tr r="AD13" s="2"/>
      </tp>
      <tp>
        <v>147.279</v>
        <stp/>
        <stp>21422436</stp>
        <stp>@bh,USDJPY,d1,close,10</stp>
        <tr r="AD12" s="2"/>
      </tp>
      <tp>
        <v>153.773</v>
        <stp/>
        <stp>21422436</stp>
        <stp>@bh,USDJPY,d1,close,19</stp>
        <tr r="AD21" s="2"/>
      </tp>
      <tp>
        <v>154.03399999999999</v>
        <stp/>
        <stp>21422436</stp>
        <stp>@bh,USDJPY,d1,close,18</stp>
        <tr r="AD20" s="2"/>
      </tp>
      <tp>
        <v>90.492000000000004</v>
        <stp/>
        <stp>21422436</stp>
        <stp>@bh,NZDJPY,d1,close,18</stp>
        <tr r="U20" s="2"/>
      </tp>
      <tp>
        <v>90.528999999999996</v>
        <stp/>
        <stp>21422436</stp>
        <stp>@bh,NZDJPY,d1,close,19</stp>
        <tr r="U21" s="2"/>
      </tp>
      <tp>
        <v>89.197000000000003</v>
        <stp/>
        <stp>21422436</stp>
        <stp>@bh,NZDJPY,d1,close,16</stp>
        <tr r="U18" s="2"/>
      </tp>
      <tp>
        <v>90.158000000000001</v>
        <stp/>
        <stp>21422436</stp>
        <stp>@bh,NZDJPY,d1,close,17</stp>
        <tr r="U19" s="2"/>
      </tp>
      <tp>
        <v>87.271000000000001</v>
        <stp/>
        <stp>21422436</stp>
        <stp>@bh,NZDJPY,d1,close,14</stp>
        <tr r="U16" s="2"/>
      </tp>
      <tp>
        <v>88.832999999999998</v>
        <stp/>
        <stp>21422436</stp>
        <stp>@bh,NZDJPY,d1,close,15</stp>
        <tr r="U17" s="2"/>
      </tp>
      <tp>
        <v>85.924999999999997</v>
        <stp/>
        <stp>21422436</stp>
        <stp>@bh,NZDJPY,d1,close,12</stp>
        <tr r="U14" s="2"/>
      </tp>
      <tp>
        <v>85.605999999999995</v>
        <stp/>
        <stp>21422436</stp>
        <stp>@bh,NZDJPY,d1,close,13</stp>
        <tr r="U15" s="2"/>
      </tp>
      <tp>
        <v>88.546000000000006</v>
        <stp/>
        <stp>21422436</stp>
        <stp>@bh,NZDJPY,d1,close,10</stp>
        <tr r="U12" s="2"/>
      </tp>
      <tp>
        <v>87.894999999999996</v>
        <stp/>
        <stp>21422436</stp>
        <stp>@bh,NZDJPY,d1,close,11</stp>
        <tr r="U13" s="2"/>
      </tp>
      <tp>
        <v>94.947999999999993</v>
        <stp/>
        <stp>21422436</stp>
        <stp>@bh,NZDJPY,d1,close,26</stp>
        <tr r="U28" s="2"/>
      </tp>
      <tp>
        <v>95.813999999999993</v>
        <stp/>
        <stp>21422436</stp>
        <stp>@bh,NZDJPY,d1,close,27</stp>
        <tr r="U29" s="2"/>
      </tp>
      <tp>
        <v>94.638000000000005</v>
        <stp/>
        <stp>21422436</stp>
        <stp>@bh,NZDJPY,d1,close,24</stp>
        <tr r="U26" s="2"/>
      </tp>
      <tp>
        <v>95.108999999999995</v>
        <stp/>
        <stp>21422436</stp>
        <stp>@bh,NZDJPY,d1,close,25</stp>
        <tr r="U27" s="2"/>
      </tp>
      <tp>
        <v>92.653999999999996</v>
        <stp/>
        <stp>21422436</stp>
        <stp>@bh,NZDJPY,d1,close,22</stp>
        <tr r="U24" s="2"/>
      </tp>
      <tp>
        <v>93.882999999999996</v>
        <stp/>
        <stp>21422436</stp>
        <stp>@bh,NZDJPY,d1,close,23</stp>
        <tr r="U25" s="2"/>
      </tp>
      <tp>
        <v>90.605999999999995</v>
        <stp/>
        <stp>21422436</stp>
        <stp>@bh,NZDJPY,d1,close,20</stp>
        <tr r="U22" s="2"/>
      </tp>
      <tp>
        <v>91.22</v>
        <stp/>
        <stp>21422436</stp>
        <stp>@bh,NZDJPY,d1,close,21</stp>
        <tr r="U23" s="2"/>
      </tp>
      <tp>
        <v>107.627</v>
        <stp/>
        <stp>21422436</stp>
        <stp>@bh,CADJPY,d1,close,15</stp>
        <tr r="Y17" s="2"/>
      </tp>
      <tp>
        <v>105.587</v>
        <stp/>
        <stp>21422436</stp>
        <stp>@bh,CADJPY,d1,close,14</stp>
        <tr r="Y16" s="2"/>
      </tp>
      <tp>
        <v>110.286</v>
        <stp/>
        <stp>21422436</stp>
        <stp>@bh,CADJPY,d1,close,17</stp>
        <tr r="Y19" s="2"/>
      </tp>
      <tp>
        <v>108.599</v>
        <stp/>
        <stp>21422436</stp>
        <stp>@bh,CADJPY,d1,close,16</stp>
        <tr r="Y18" s="2"/>
      </tp>
      <tp>
        <v>106.646</v>
        <stp/>
        <stp>21422436</stp>
        <stp>@bh,CADJPY,d1,close,11</stp>
        <tr r="Y13" s="2"/>
      </tp>
      <tp>
        <v>173.81700000000001</v>
        <stp/>
        <stp>21422436</stp>
        <stp>@bh,CHFJPY,d1,close,18</stp>
        <tr r="AA20" s="2"/>
      </tp>
      <tp>
        <v>107.24</v>
        <stp/>
        <stp>21422436</stp>
        <stp>@bh,CADJPY,d1,close,10</stp>
        <tr r="Y12" s="2"/>
      </tp>
      <tp>
        <v>173.99799999999999</v>
        <stp/>
        <stp>21422436</stp>
        <stp>@bh,CHFJPY,d1,close,19</stp>
        <tr r="AA21" s="2"/>
      </tp>
      <tp>
        <v>104.27</v>
        <stp/>
        <stp>21422436</stp>
        <stp>@bh,CADJPY,d1,close,13</stp>
        <tr r="Y15" s="2"/>
      </tp>
      <tp>
        <v>104.718</v>
        <stp/>
        <stp>21422436</stp>
        <stp>@bh,CADJPY,d1,close,12</stp>
        <tr r="Y14" s="2"/>
      </tp>
      <tp>
        <v>170.71899999999999</v>
        <stp/>
        <stp>21422436</stp>
        <stp>@bh,CHFJPY,d1,close,14</stp>
        <tr r="AA16" s="2"/>
      </tp>
      <tp>
        <v>171.06299999999999</v>
        <stp/>
        <stp>21422436</stp>
        <stp>@bh,CHFJPY,d1,close,15</stp>
        <tr r="AA17" s="2"/>
      </tp>
      <tp>
        <v>170.70599999999999</v>
        <stp/>
        <stp>21422436</stp>
        <stp>@bh,CHFJPY,d1,close,16</stp>
        <tr r="AA18" s="2"/>
      </tp>
      <tp>
        <v>173.011</v>
        <stp/>
        <stp>21422436</stp>
        <stp>@bh,CHFJPY,d1,close,17</stp>
        <tr r="AA19" s="2"/>
      </tp>
      <tp>
        <v>111.136</v>
        <stp/>
        <stp>21422436</stp>
        <stp>@bh,CADJPY,d1,close,19</stp>
        <tr r="Y21" s="2"/>
      </tp>
      <tp>
        <v>169.941</v>
        <stp/>
        <stp>21422436</stp>
        <stp>@bh,CHFJPY,d1,close,10</stp>
        <tr r="AA12" s="2"/>
      </tp>
      <tp>
        <v>111.2</v>
        <stp/>
        <stp>21422436</stp>
        <stp>@bh,CADJPY,d1,close,18</stp>
        <tr r="Y20" s="2"/>
      </tp>
      <tp>
        <v>170.25</v>
        <stp/>
        <stp>21422436</stp>
        <stp>@bh,CHFJPY,d1,close,11</stp>
        <tr r="AA13" s="2"/>
      </tp>
      <tp>
        <v>169.55500000000001</v>
        <stp/>
        <stp>21422436</stp>
        <stp>@bh,CHFJPY,d1,close,12</stp>
        <tr r="AA14" s="2"/>
      </tp>
      <tp>
        <v>169.119</v>
        <stp/>
        <stp>21422436</stp>
        <stp>@bh,CHFJPY,d1,close,13</stp>
        <tr r="AA15" s="2"/>
      </tp>
      <tp>
        <v>101.274</v>
        <stp/>
        <stp>21422436</stp>
        <stp>@bh,AUDJPY,d1,close,21</stp>
        <tr r="E23" s="2"/>
      </tp>
      <tp>
        <v>100.645</v>
        <stp/>
        <stp>21422436</stp>
        <stp>@bh,AUDJPY,d1,close,20</stp>
        <tr r="E22" s="2"/>
      </tp>
      <tp>
        <v>104.324</v>
        <stp/>
        <stp>21422436</stp>
        <stp>@bh,AUDJPY,d1,close,23</stp>
        <tr r="E25" s="2"/>
      </tp>
      <tp>
        <v>102.93300000000001</v>
        <stp/>
        <stp>21422436</stp>
        <stp>@bh,AUDJPY,d1,close,22</stp>
        <tr r="E24" s="2"/>
      </tp>
      <tp>
        <v>105.52500000000001</v>
        <stp/>
        <stp>21422436</stp>
        <stp>@bh,AUDJPY,d1,close,25</stp>
        <tr r="E27" s="2"/>
      </tp>
      <tp>
        <v>105.28</v>
        <stp/>
        <stp>21422436</stp>
        <stp>@bh,AUDJPY,d1,close,24</stp>
        <tr r="E26" s="2"/>
      </tp>
      <tp>
        <v>106.66</v>
        <stp/>
        <stp>21422436</stp>
        <stp>@bh,AUDJPY,d1,close,27</stp>
        <tr r="E29" s="2"/>
      </tp>
      <tp>
        <v>105.096</v>
        <stp/>
        <stp>21422436</stp>
        <stp>@bh,AUDJPY,d1,close,26</stp>
        <tr r="E28" s="2"/>
      </tp>
      <tp>
        <v>95.644000000000005</v>
        <stp/>
        <stp>21422436</stp>
        <stp>@bh,AUDJPY,d1,close,11</stp>
        <tr r="E13" s="2"/>
      </tp>
      <tp>
        <v>97.091999999999999</v>
        <stp/>
        <stp>21422436</stp>
        <stp>@bh,AUDJPY,d1,close,10</stp>
        <tr r="E12" s="2"/>
      </tp>
      <tp>
        <v>93.649000000000001</v>
        <stp/>
        <stp>21422436</stp>
        <stp>@bh,AUDJPY,d1,close,13</stp>
        <tr r="E15" s="2"/>
      </tp>
      <tp>
        <v>94.084999999999994</v>
        <stp/>
        <stp>21422436</stp>
        <stp>@bh,AUDJPY,d1,close,12</stp>
        <tr r="E14" s="2"/>
      </tp>
      <tp>
        <v>97.076999999999998</v>
        <stp/>
        <stp>21422436</stp>
        <stp>@bh,AUDJPY,d1,close,15</stp>
        <tr r="E17" s="2"/>
      </tp>
      <tp>
        <v>95.352000000000004</v>
        <stp/>
        <stp>21422436</stp>
        <stp>@bh,AUDJPY,d1,close,14</stp>
        <tr r="E16" s="2"/>
      </tp>
      <tp>
        <v>99.858999999999995</v>
        <stp/>
        <stp>21422436</stp>
        <stp>@bh,AUDJPY,d1,close,17</stp>
        <tr r="E19" s="2"/>
      </tp>
      <tp>
        <v>98.093000000000004</v>
        <stp/>
        <stp>21422436</stp>
        <stp>@bh,AUDJPY,d1,close,16</stp>
        <tr r="E18" s="2"/>
      </tp>
      <tp>
        <v>100.66200000000001</v>
        <stp/>
        <stp>21422436</stp>
        <stp>@bh,AUDJPY,d1,close,19</stp>
        <tr r="E21" s="2"/>
      </tp>
      <tp>
        <v>100.876</v>
        <stp/>
        <stp>21422436</stp>
        <stp>@bh,AUDJPY,d1,close,18</stp>
        <tr r="E20" s="2"/>
      </tp>
      <tp>
        <v>114.816</v>
        <stp/>
        <stp>21422436</stp>
        <stp>@bh,CADJPY,d1,close,25</stp>
        <tr r="Y27" s="2"/>
      </tp>
      <tp>
        <v>114.718</v>
        <stp/>
        <stp>21422436</stp>
        <stp>@bh,CADJPY,d1,close,24</stp>
        <tr r="Y26" s="2"/>
      </tp>
      <tp>
        <v>115.849</v>
        <stp/>
        <stp>21422436</stp>
        <stp>@bh,CADJPY,d1,close,27</stp>
        <tr r="Y29" s="2"/>
      </tp>
      <tp>
        <v>114.14400000000001</v>
        <stp/>
        <stp>21422436</stp>
        <stp>@bh,CADJPY,d1,close,26</stp>
        <tr r="Y28" s="2"/>
      </tp>
      <tp>
        <v>111.459</v>
        <stp/>
        <stp>21422436</stp>
        <stp>@bh,CADJPY,d1,close,21</stp>
        <tr r="Y23" s="2"/>
      </tp>
      <tp>
        <v>111.357</v>
        <stp/>
        <stp>21422436</stp>
        <stp>@bh,CADJPY,d1,close,20</stp>
        <tr r="Y22" s="2"/>
      </tp>
      <tp>
        <v>114.169</v>
        <stp/>
        <stp>21422436</stp>
        <stp>@bh,CADJPY,d1,close,23</stp>
        <tr r="Y25" s="2"/>
      </tp>
      <tp>
        <v>112.877</v>
        <stp/>
        <stp>21422436</stp>
        <stp>@bh,CADJPY,d1,close,22</stp>
        <tr r="Y24" s="2"/>
      </tp>
      <tp>
        <v>177.15899999999999</v>
        <stp/>
        <stp>21422436</stp>
        <stp>@bh,CHFJPY,d1,close,24</stp>
        <tr r="AA26" s="2"/>
      </tp>
      <tp>
        <v>177.24100000000001</v>
        <stp/>
        <stp>21422436</stp>
        <stp>@bh,CHFJPY,d1,close,25</stp>
        <tr r="AA27" s="2"/>
      </tp>
      <tp>
        <v>176.791</v>
        <stp/>
        <stp>21422436</stp>
        <stp>@bh,CHFJPY,d1,close,26</stp>
        <tr r="AA28" s="2"/>
      </tp>
      <tp>
        <v>177.20500000000001</v>
        <stp/>
        <stp>21422436</stp>
        <stp>@bh,CHFJPY,d1,close,27</stp>
        <tr r="AA29" s="2"/>
      </tp>
      <tp>
        <v>174.6</v>
        <stp/>
        <stp>21422436</stp>
        <stp>@bh,CHFJPY,d1,close,20</stp>
        <tr r="AA22" s="2"/>
      </tp>
      <tp>
        <v>173.84899999999999</v>
        <stp/>
        <stp>21422436</stp>
        <stp>@bh,CHFJPY,d1,close,21</stp>
        <tr r="AA23" s="2"/>
      </tp>
      <tp>
        <v>174.547</v>
        <stp/>
        <stp>21422436</stp>
        <stp>@bh,CHFJPY,d1,close,22</stp>
        <tr r="AA24" s="2"/>
      </tp>
      <tp>
        <v>176.53</v>
        <stp/>
        <stp>21422436</stp>
        <stp>@bh,CHFJPY,d1,close,23</stp>
        <tr r="AA25" s="2"/>
      </tp>
      <tp>
        <v>192.77600000000001</v>
        <stp/>
        <stp>21422436</stp>
        <stp>@bh,GBPJPY,d1,close,16</stp>
        <tr r="T18" s="2"/>
      </tp>
      <tp>
        <v>196.06700000000001</v>
        <stp/>
        <stp>21422436</stp>
        <stp>@bh,GBPJPY,d1,close,17</stp>
        <tr r="T19" s="2"/>
      </tp>
      <tp>
        <v>187.583</v>
        <stp/>
        <stp>21422436</stp>
        <stp>@bh,GBPJPY,d1,close,14</stp>
        <tr r="T16" s="2"/>
      </tp>
      <tp>
        <v>190.22399999999999</v>
        <stp/>
        <stp>21422436</stp>
        <stp>@bh,GBPJPY,d1,close,15</stp>
        <tr r="T17" s="2"/>
      </tp>
      <tp>
        <v>183.21</v>
        <stp/>
        <stp>21422436</stp>
        <stp>@bh,GBPJPY,d1,close,12</stp>
        <tr r="T14" s="2"/>
      </tp>
      <tp>
        <v>184.18600000000001</v>
        <stp/>
        <stp>21422436</stp>
        <stp>@bh,GBPJPY,d1,close,13</stp>
        <tr r="T15" s="2"/>
      </tp>
      <tp>
        <v>187.75700000000001</v>
        <stp/>
        <stp>21422436</stp>
        <stp>@bh,GBPJPY,d1,close,10</stp>
        <tr r="T12" s="2"/>
      </tp>
      <tp>
        <v>186.20699999999999</v>
        <stp/>
        <stp>21422436</stp>
        <stp>@bh,GBPJPY,d1,close,11</stp>
        <tr r="T13" s="2"/>
      </tp>
      <tp>
        <v>198.10300000000001</v>
        <stp/>
        <stp>21422436</stp>
        <stp>@bh,GBPJPY,d1,close,18</stp>
        <tr r="T20" s="2"/>
      </tp>
      <tp>
        <v>197.82400000000001</v>
        <stp/>
        <stp>21422436</stp>
        <stp>@bh,GBPJPY,d1,close,19</stp>
        <tr r="T21" s="2"/>
      </tp>
      <tp>
        <v>166.81200000000001</v>
        <stp/>
        <stp>21422436</stp>
        <stp>@bh,EURJPY,d1,close,21</stp>
        <tr r="L23" s="2"/>
      </tp>
      <tp>
        <v>166.94800000000001</v>
        <stp/>
        <stp>21422436</stp>
        <stp>@bh,EURJPY,d1,close,20</stp>
        <tr r="L22" s="2"/>
      </tp>
      <tp>
        <v>171.048</v>
        <stp/>
        <stp>21422436</stp>
        <stp>@bh,EURJPY,d1,close,23</stp>
        <tr r="L25" s="2"/>
      </tp>
      <tp>
        <v>168.86699999999999</v>
        <stp/>
        <stp>21422436</stp>
        <stp>@bh,EURJPY,d1,close,22</stp>
        <tr r="L24" s="2"/>
      </tp>
      <tp>
        <v>171.46299999999999</v>
        <stp/>
        <stp>21422436</stp>
        <stp>@bh,EURJPY,d1,close,25</stp>
        <tr r="L27" s="2"/>
      </tp>
      <tp>
        <v>171.37899999999999</v>
        <stp/>
        <stp>21422436</stp>
        <stp>@bh,EURJPY,d1,close,24</stp>
        <tr r="L26" s="2"/>
      </tp>
      <tp>
        <v>172.63900000000001</v>
        <stp/>
        <stp>21422436</stp>
        <stp>@bh,EURJPY,d1,close,27</stp>
        <tr r="L29" s="2"/>
      </tp>
      <tp>
        <v>170.87100000000001</v>
        <stp/>
        <stp>21422436</stp>
        <stp>@bh,EURJPY,d1,close,26</stp>
        <tr r="L28" s="2"/>
      </tp>
      <tp>
        <v>160.262</v>
        <stp/>
        <stp>21422436</stp>
        <stp>@bh,EURJPY,d1,close,11</stp>
        <tr r="L13" s="2"/>
      </tp>
      <tp>
        <v>160.81299999999999</v>
        <stp/>
        <stp>21422436</stp>
        <stp>@bh,EURJPY,d1,close,10</stp>
        <tr r="L12" s="2"/>
      </tp>
      <tp>
        <v>157.886</v>
        <stp/>
        <stp>21422436</stp>
        <stp>@bh,EURJPY,d1,close,13</stp>
        <tr r="L15" s="2"/>
      </tp>
      <tp>
        <v>157.792</v>
        <stp/>
        <stp>21422436</stp>
        <stp>@bh,EURJPY,d1,close,12</stp>
        <tr r="L14" s="2"/>
      </tp>
      <tp>
        <v>161.148</v>
        <stp/>
        <stp>21422436</stp>
        <stp>@bh,EURJPY,d1,close,15</stp>
        <tr r="L17" s="2"/>
      </tp>
      <tp>
        <v>159.839</v>
        <stp/>
        <stp>21422436</stp>
        <stp>@bh,EURJPY,d1,close,14</stp>
        <tr r="L16" s="2"/>
      </tp>
      <tp>
        <v>165.196</v>
        <stp/>
        <stp>21422436</stp>
        <stp>@bh,EURJPY,d1,close,17</stp>
        <tr r="L19" s="2"/>
      </tp>
      <tp>
        <v>162.345</v>
        <stp/>
        <stp>21422436</stp>
        <stp>@bh,EURJPY,d1,close,16</stp>
        <tr r="L18" s="2"/>
      </tp>
      <tp>
        <v>166.92599999999999</v>
        <stp/>
        <stp>21422436</stp>
        <stp>@bh,EURJPY,d1,close,19</stp>
        <tr r="L21" s="2"/>
      </tp>
      <tp>
        <v>166.68299999999999</v>
        <stp/>
        <stp>21422436</stp>
        <stp>@bh,EURJPY,d1,close,18</stp>
        <tr r="L20" s="2"/>
      </tp>
      <tp>
        <v>203.16499999999999</v>
        <stp/>
        <stp>21422436</stp>
        <stp>@bh,GBPJPY,d1,close,26</stp>
        <tr r="T28" s="2"/>
      </tp>
      <tp>
        <v>205.495</v>
        <stp/>
        <stp>21422436</stp>
        <stp>@bh,GBPJPY,d1,close,27</stp>
        <tr r="T29" s="2"/>
      </tp>
      <tp>
        <v>203.38200000000001</v>
        <stp/>
        <stp>21422436</stp>
        <stp>@bh,GBPJPY,d1,close,24</stp>
        <tr r="T26" s="2"/>
      </tp>
      <tp>
        <v>203.673</v>
        <stp/>
        <stp>21422436</stp>
        <stp>@bh,GBPJPY,d1,close,25</stp>
        <tr r="T27" s="2"/>
      </tp>
      <tp>
        <v>200.821</v>
        <stp/>
        <stp>21422436</stp>
        <stp>@bh,GBPJPY,d1,close,22</stp>
        <tr r="T24" s="2"/>
      </tp>
      <tp>
        <v>203.13399999999999</v>
        <stp/>
        <stp>21422436</stp>
        <stp>@bh,GBPJPY,d1,close,23</stp>
        <tr r="T25" s="2"/>
      </tp>
      <tp>
        <v>197.80500000000001</v>
        <stp/>
        <stp>21422436</stp>
        <stp>@bh,GBPJPY,d1,close,20</stp>
        <tr r="T22" s="2"/>
      </tp>
      <tp>
        <v>198.624</v>
        <stp/>
        <stp>21422436</stp>
        <stp>@bh,GBPJPY,d1,close,21</stp>
        <tr r="T23" s="2"/>
      </tp>
      <tp>
        <v>0.59784000000000004</v>
        <stp/>
        <stp>21422436</stp>
        <stp>@bh,NZDUSD,d1,close,23</stp>
        <tr r="W25" s="2"/>
      </tp>
      <tp>
        <v>0.59558</v>
        <stp/>
        <stp>21422436</stp>
        <stp>@bh,NZDUSD,d1,close,22</stp>
        <tr r="W24" s="2"/>
      </tp>
      <tp>
        <v>0.59301000000000004</v>
        <stp/>
        <stp>21422436</stp>
        <stp>@bh,NZDUSD,d1,close,21</stp>
        <tr r="W23" s="2"/>
      </tp>
      <tp>
        <v>0.58867000000000003</v>
        <stp/>
        <stp>21422436</stp>
        <stp>@bh,NZDUSD,d1,close,20</stp>
        <tr r="W22" s="2"/>
      </tp>
      <tp>
        <v>0.60497000000000001</v>
        <stp/>
        <stp>21422436</stp>
        <stp>@bh,NZDUSD,d1,close,27</stp>
        <tr r="W29" s="2"/>
      </tp>
      <tp>
        <v>0.60819999999999996</v>
        <stp/>
        <stp>21422436</stp>
        <stp>@bh,NZDUSD,d1,close,26</stp>
        <tr r="W28" s="2"/>
      </tp>
      <tp>
        <v>0.60448999999999997</v>
        <stp/>
        <stp>21422436</stp>
        <stp>@bh,NZDUSD,d1,close,25</stp>
        <tr r="W27" s="2"/>
      </tp>
      <tp>
        <v>0.60082999999999998</v>
        <stp/>
        <stp>21422436</stp>
        <stp>@bh,NZDUSD,d1,close,24</stp>
        <tr r="W26" s="2"/>
      </tp>
      <tp>
        <v>0.59389999999999998</v>
        <stp/>
        <stp>21422436</stp>
        <stp>@bh,NZDUSD,d1,close,13</stp>
        <tr r="W15" s="2"/>
      </tp>
      <tp>
        <v>0.59531999999999996</v>
        <stp/>
        <stp>21422436</stp>
        <stp>@bh,NZDUSD,d1,close,12</stp>
        <tr r="W14" s="2"/>
      </tp>
      <tp>
        <v>0.59946999999999995</v>
        <stp/>
        <stp>21422436</stp>
        <stp>@bh,NZDUSD,d1,close,11</stp>
        <tr r="W13" s="2"/>
      </tp>
      <tp>
        <v>0.60131000000000001</v>
        <stp/>
        <stp>21422436</stp>
        <stp>@bh,NZDUSD,d1,close,10</stp>
        <tr r="W12" s="2"/>
      </tp>
      <tp>
        <v>0.59031</v>
        <stp/>
        <stp>21422436</stp>
        <stp>@bh,NZDUSD,d1,close,17</stp>
        <tr r="W19" s="2"/>
      </tp>
      <tp>
        <v>0.59508000000000005</v>
        <stp/>
        <stp>21422436</stp>
        <stp>@bh,NZDUSD,d1,close,16</stp>
        <tr r="W18" s="2"/>
      </tp>
      <tp>
        <v>0.59497</v>
        <stp/>
        <stp>21422436</stp>
        <stp>@bh,NZDUSD,d1,close,15</stp>
        <tr r="W17" s="2"/>
      </tp>
      <tp>
        <v>0.59574000000000005</v>
        <stp/>
        <stp>21422436</stp>
        <stp>@bh,NZDUSD,d1,close,14</stp>
        <tr r="W16" s="2"/>
      </tp>
      <tp>
        <v>0.58872999999999998</v>
        <stp/>
        <stp>21422436</stp>
        <stp>@bh,NZDUSD,d1,close,19</stp>
        <tr r="W21" s="2"/>
      </tp>
      <tp>
        <v>0.58757999999999999</v>
        <stp/>
        <stp>21422436</stp>
        <stp>@bh,NZDUSD,d1,close,18</stp>
        <tr r="W20" s="2"/>
      </tp>
      <tp>
        <v>0.65490999999999999</v>
        <stp/>
        <stp>21422436</stp>
        <stp>@bh,AUDUSD,d1,close,18</stp>
        <tr r="C20" s="2"/>
      </tp>
      <tp>
        <v>0.65464</v>
        <stp/>
        <stp>21422436</stp>
        <stp>@bh,AUDUSD,d1,close,19</stp>
        <tr r="C21" s="2"/>
      </tp>
      <tp>
        <v>0.65102000000000004</v>
        <stp/>
        <stp>21422436</stp>
        <stp>@bh,AUDUSD,d1,close,14</stp>
        <tr r="C16" s="2"/>
      </tp>
      <tp>
        <v>0.65017999999999998</v>
        <stp/>
        <stp>21422436</stp>
        <stp>@bh,AUDUSD,d1,close,15</stp>
        <tr r="C17" s="2"/>
      </tp>
      <tp>
        <v>0.65415000000000001</v>
        <stp/>
        <stp>21422436</stp>
        <stp>@bh,AUDUSD,d1,close,16</stp>
        <tr r="C18" s="2"/>
      </tp>
      <tp>
        <v>0.65373999999999999</v>
        <stp/>
        <stp>21422436</stp>
        <stp>@bh,AUDUSD,d1,close,17</stp>
        <tr r="C19" s="2"/>
      </tp>
      <tp>
        <v>0.65922999999999998</v>
        <stp/>
        <stp>21422436</stp>
        <stp>@bh,AUDUSD,d1,close,10</stp>
        <tr r="C12" s="2"/>
      </tp>
      <tp>
        <v>0.65193999999999996</v>
        <stp/>
        <stp>21422436</stp>
        <stp>@bh,AUDUSD,d1,close,11</stp>
        <tr r="C13" s="2"/>
      </tp>
      <tp>
        <v>0.65178000000000003</v>
        <stp/>
        <stp>21422436</stp>
        <stp>@bh,AUDUSD,d1,close,12</stp>
        <tr r="C14" s="2"/>
      </tp>
      <tp>
        <v>0.64961000000000002</v>
        <stp/>
        <stp>21422436</stp>
        <stp>@bh,AUDUSD,d1,close,13</stp>
        <tr r="C15" s="2"/>
      </tp>
      <tp>
        <v>0.66839999999999999</v>
        <stp/>
        <stp>21422436</stp>
        <stp>@bh,AUDUSD,d1,close,24</stp>
        <tr r="C26" s="2"/>
      </tp>
      <tp>
        <v>0.67059999999999997</v>
        <stp/>
        <stp>21422436</stp>
        <stp>@bh,AUDUSD,d1,close,25</stp>
        <tr r="C27" s="2"/>
      </tp>
      <tp>
        <v>0.67290000000000005</v>
        <stp/>
        <stp>21422436</stp>
        <stp>@bh,AUDUSD,d1,close,26</stp>
        <tr r="C28" s="2"/>
      </tp>
      <tp>
        <v>0.67335999999999996</v>
        <stp/>
        <stp>21422436</stp>
        <stp>@bh,AUDUSD,d1,close,27</stp>
        <tr r="C29" s="2"/>
      </tp>
      <tp>
        <v>0.65380000000000005</v>
        <stp/>
        <stp>21422436</stp>
        <stp>@bh,AUDUSD,d1,close,20</stp>
        <tr r="C22" s="2"/>
      </tp>
      <tp>
        <v>0.65808</v>
        <stp/>
        <stp>21422436</stp>
        <stp>@bh,AUDUSD,d1,close,21</stp>
        <tr r="C23" s="2"/>
      </tp>
      <tp>
        <v>0.66156999999999999</v>
        <stp/>
        <stp>21422436</stp>
        <stp>@bh,AUDUSD,d1,close,22</stp>
        <tr r="C24" s="2"/>
      </tp>
      <tp>
        <v>0.66424000000000005</v>
        <stp/>
        <stp>21422436</stp>
        <stp>@bh,AUDUSD,d1,close,23</stp>
        <tr r="C25" s="2"/>
      </tp>
      <tp>
        <v>1.2933600000000001</v>
        <stp/>
        <stp>21422436</stp>
        <stp>@bh,GBPUSD,d1,close,23</stp>
        <tr r="O25" s="2"/>
      </tp>
      <tp>
        <v>1.2906899999999999</v>
        <stp/>
        <stp>21422436</stp>
        <stp>@bh,GBPUSD,d1,close,22</stp>
        <tr r="O24" s="2"/>
      </tp>
      <tp>
        <v>1.2906500000000001</v>
        <stp/>
        <stp>21422436</stp>
        <stp>@bh,GBPUSD,d1,close,21</stp>
        <tr r="O23" s="2"/>
      </tp>
      <tp>
        <v>1.28495</v>
        <stp/>
        <stp>21422436</stp>
        <stp>@bh,GBPUSD,d1,close,20</stp>
        <tr r="O22" s="2"/>
      </tp>
      <tp>
        <v>1.2972999999999999</v>
        <stp/>
        <stp>21422436</stp>
        <stp>@bh,GBPUSD,d1,close,27</stp>
        <tr r="O29" s="2"/>
      </tp>
      <tp>
        <v>1.30081</v>
        <stp/>
        <stp>21422436</stp>
        <stp>@bh,GBPUSD,d1,close,26</stp>
        <tr r="O28" s="2"/>
      </tp>
      <tp>
        <v>1.2943</v>
        <stp/>
        <stp>21422436</stp>
        <stp>@bh,GBPUSD,d1,close,25</stp>
        <tr r="O27" s="2"/>
      </tp>
      <tp>
        <v>1.29122</v>
        <stp/>
        <stp>21422436</stp>
        <stp>@bh,GBPUSD,d1,close,24</stp>
        <tr r="O26" s="2"/>
      </tp>
      <tp>
        <v>1.08212</v>
        <stp/>
        <stp>21422436</stp>
        <stp>@bh,EURUSD,d1,close,18</stp>
        <tr r="H20" s="2"/>
      </tp>
      <tp>
        <v>1.0855399999999999</v>
        <stp/>
        <stp>21422436</stp>
        <stp>@bh,EURUSD,d1,close,19</stp>
        <tr r="H21" s="2"/>
      </tp>
      <tp>
        <v>1.0910500000000001</v>
        <stp/>
        <stp>21422436</stp>
        <stp>@bh,EURUSD,d1,close,14</stp>
        <tr r="H16" s="2"/>
      </tp>
      <tp>
        <v>1.0791299999999999</v>
        <stp/>
        <stp>21422436</stp>
        <stp>@bh,EURUSD,d1,close,15</stp>
        <tr r="H17" s="2"/>
      </tp>
      <tp>
        <v>1.0825899999999999</v>
        <stp/>
        <stp>21422436</stp>
        <stp>@bh,EURUSD,d1,close,16</stp>
        <tr r="H18" s="2"/>
      </tp>
      <tp>
        <v>1.0814299999999999</v>
        <stp/>
        <stp>21422436</stp>
        <stp>@bh,EURUSD,d1,close,17</stp>
        <tr r="H19" s="2"/>
      </tp>
      <tp>
        <v>1.09188</v>
        <stp/>
        <stp>21422436</stp>
        <stp>@bh,EURUSD,d1,close,10</stp>
        <tr r="H12" s="2"/>
      </tp>
      <tp>
        <v>1.0923499999999999</v>
        <stp/>
        <stp>21422436</stp>
        <stp>@bh,EURUSD,d1,close,11</stp>
        <tr r="H13" s="2"/>
      </tp>
      <tp>
        <v>1.0931299999999999</v>
        <stp/>
        <stp>21422436</stp>
        <stp>@bh,EURUSD,d1,close,12</stp>
        <tr r="H14" s="2"/>
      </tp>
      <tp>
        <v>1.0951200000000001</v>
        <stp/>
        <stp>21422436</stp>
        <stp>@bh,EURUSD,d1,close,13</stp>
        <tr r="H15" s="2"/>
      </tp>
      <tp>
        <v>1.0882400000000001</v>
        <stp/>
        <stp>21422436</stp>
        <stp>@bh,EURUSD,d1,close,24</stp>
        <tr r="H26" s="2"/>
      </tp>
      <tp>
        <v>1.0895900000000001</v>
        <stp/>
        <stp>21422436</stp>
        <stp>@bh,EURUSD,d1,close,25</stp>
        <tr r="H27" s="2"/>
      </tp>
      <tp>
        <v>1.09396</v>
        <stp/>
        <stp>21422436</stp>
        <stp>@bh,EURUSD,d1,close,26</stp>
        <tr r="H28" s="2"/>
      </tp>
      <tp>
        <v>1.0898600000000001</v>
        <stp/>
        <stp>21422436</stp>
        <stp>@bh,EURUSD,d1,close,27</stp>
        <tr r="H29" s="2"/>
      </tp>
      <tp>
        <v>1.08449</v>
        <stp/>
        <stp>21422436</stp>
        <stp>@bh,EURUSD,d1,close,20</stp>
        <tr r="H22" s="2"/>
      </tp>
      <tp>
        <v>1.08392</v>
        <stp/>
        <stp>21422436</stp>
        <stp>@bh,EURUSD,d1,close,21</stp>
        <tr r="H23" s="2"/>
      </tp>
      <tp>
        <v>1.0852999999999999</v>
        <stp/>
        <stp>21422436</stp>
        <stp>@bh,EURUSD,d1,close,22</stp>
        <tr r="H24" s="2"/>
      </tp>
      <tp>
        <v>1.0890500000000001</v>
        <stp/>
        <stp>21422436</stp>
        <stp>@bh,EURUSD,d1,close,23</stp>
        <tr r="H25" s="2"/>
      </tp>
      <tp>
        <v>1.2865</v>
        <stp/>
        <stp>21422436</stp>
        <stp>@bh,GBPUSD,d1,close,19</stp>
        <tr r="O21" s="2"/>
      </tp>
      <tp>
        <v>1.2861100000000001</v>
        <stp/>
        <stp>21422436</stp>
        <stp>@bh,GBPUSD,d1,close,18</stp>
        <tr r="O20" s="2"/>
      </tp>
      <tp>
        <v>1.27762</v>
        <stp/>
        <stp>21422436</stp>
        <stp>@bh,GBPUSD,d1,close,13</stp>
        <tr r="O15" s="2"/>
      </tp>
      <tp>
        <v>1.2691699999999999</v>
        <stp/>
        <stp>21422436</stp>
        <stp>@bh,GBPUSD,d1,close,12</stp>
        <tr r="O14" s="2"/>
      </tp>
      <tp>
        <v>1.2692399999999999</v>
        <stp/>
        <stp>21422436</stp>
        <stp>@bh,GBPUSD,d1,close,11</stp>
        <tr r="O13" s="2"/>
      </tp>
      <tp>
        <v>1.27484</v>
        <stp/>
        <stp>21422436</stp>
        <stp>@bh,GBPUSD,d1,close,10</stp>
        <tr r="O12" s="2"/>
      </tp>
      <tp>
        <v>1.28356</v>
        <stp/>
        <stp>21422436</stp>
        <stp>@bh,GBPUSD,d1,close,17</stp>
        <tr r="O19" s="2"/>
      </tp>
      <tp>
        <v>1.2855399999999999</v>
        <stp/>
        <stp>21422436</stp>
        <stp>@bh,GBPUSD,d1,close,16</stp>
        <tr r="O18" s="2"/>
      </tp>
      <tp>
        <v>1.27386</v>
        <stp/>
        <stp>21422436</stp>
        <stp>@bh,GBPUSD,d1,close,15</stp>
        <tr r="O17" s="2"/>
      </tp>
      <tp>
        <v>1.2804899999999999</v>
        <stp/>
        <stp>21422436</stp>
        <stp>@bh,GBPUSD,d1,close,14</stp>
        <tr r="O16" s="2"/>
      </tp>
      <tp>
        <v>0.60409000000000002</v>
        <stp/>
        <stp>21422436</stp>
        <stp>@bh,NZDUSD,h4,close,23</stp>
        <tr r="W25" s="1"/>
      </tp>
      <tp>
        <v>0.60541</v>
        <stp/>
        <stp>21422436</stp>
        <stp>@bh,NZDUSD,h4,close,22</stp>
        <tr r="W24" s="1"/>
      </tp>
      <tp>
        <v>0.60555000000000003</v>
        <stp/>
        <stp>21422436</stp>
        <stp>@bh,NZDUSD,h4,close,21</stp>
        <tr r="W23" s="1"/>
      </tp>
      <tp>
        <v>0.60802999999999996</v>
        <stp/>
        <stp>21422436</stp>
        <stp>@bh,NZDUSD,h4,close,20</stp>
        <tr r="W22" s="1"/>
      </tp>
      <tp>
        <v>0.59879000000000004</v>
        <stp/>
        <stp>21422436</stp>
        <stp>@bh,NZDUSD,h4,close,27</stp>
        <tr r="W29" s="1"/>
      </tp>
      <tp>
        <v>0.60145000000000004</v>
        <stp/>
        <stp>21422436</stp>
        <stp>@bh,NZDUSD,h4,close,26</stp>
        <tr r="W28" s="1"/>
      </tp>
      <tp>
        <v>0.60185</v>
        <stp/>
        <stp>21422436</stp>
        <stp>@bh,NZDUSD,h4,close,25</stp>
        <tr r="W27" s="1"/>
      </tp>
      <tp>
        <v>0.60233000000000003</v>
        <stp/>
        <stp>21422436</stp>
        <stp>@bh,NZDUSD,h4,close,24</stp>
        <tr r="W26" s="1"/>
      </tp>
      <tp>
        <v>0.61360000000000003</v>
        <stp/>
        <stp>21422436</stp>
        <stp>@bh,NZDUSD,h4,close,13</stp>
        <tr r="W15" s="1"/>
      </tp>
      <tp>
        <v>0.61443000000000003</v>
        <stp/>
        <stp>21422436</stp>
        <stp>@bh,NZDUSD,h4,close,12</stp>
        <tr r="W14" s="1"/>
      </tp>
      <tp>
        <v>0.61446999999999996</v>
        <stp/>
        <stp>21422436</stp>
        <stp>@bh,NZDUSD,h4,close,11</stp>
        <tr r="W13" s="1"/>
      </tp>
      <tp>
        <v>0.61536000000000002</v>
        <stp/>
        <stp>21422436</stp>
        <stp>@bh,NZDUSD,h4,close,10</stp>
        <tr r="W12" s="1"/>
      </tp>
      <tp>
        <v>0.60938000000000003</v>
        <stp/>
        <stp>21422436</stp>
        <stp>@bh,NZDUSD,h4,close,17</stp>
        <tr r="W19" s="1"/>
      </tp>
      <tp>
        <v>0.61141000000000001</v>
        <stp/>
        <stp>21422436</stp>
        <stp>@bh,NZDUSD,h4,close,16</stp>
        <tr r="W18" s="1"/>
      </tp>
      <tp>
        <v>0.61167000000000005</v>
        <stp/>
        <stp>21422436</stp>
        <stp>@bh,NZDUSD,h4,close,15</stp>
        <tr r="W17" s="1"/>
      </tp>
      <tp>
        <v>0.61185</v>
        <stp/>
        <stp>21422436</stp>
        <stp>@bh,NZDUSD,h4,close,14</stp>
        <tr r="W16" s="1"/>
      </tp>
      <tp>
        <v>0.60716999999999999</v>
        <stp/>
        <stp>21422436</stp>
        <stp>@bh,NZDUSD,h4,close,19</stp>
        <tr r="W21" s="1"/>
      </tp>
      <tp>
        <v>0.60733999999999999</v>
        <stp/>
        <stp>21422436</stp>
        <stp>@bh,NZDUSD,h4,close,18</stp>
        <tr r="W20" s="1"/>
      </tp>
      <tp>
        <v>0.61458999999999997</v>
        <stp/>
        <stp>21422436</stp>
        <stp>@bh,NZDUSD,h1,close,23</stp>
        <tr r="W25" s="3"/>
      </tp>
      <tp>
        <v>0.61473999999999995</v>
        <stp/>
        <stp>21422436</stp>
        <stp>@bh,NZDUSD,h1,close,22</stp>
        <tr r="W24" s="3"/>
      </tp>
      <tp>
        <v>0.61604000000000003</v>
        <stp/>
        <stp>21422436</stp>
        <stp>@bh,NZDUSD,h1,close,21</stp>
        <tr r="W23" s="3"/>
      </tp>
      <tp>
        <v>0.61556999999999995</v>
        <stp/>
        <stp>21422436</stp>
        <stp>@bh,NZDUSD,h1,close,20</stp>
        <tr r="W22" s="3"/>
      </tp>
      <tp>
        <v>0.61392999999999998</v>
        <stp/>
        <stp>21422436</stp>
        <stp>@bh,NZDUSD,h1,close,27</stp>
        <tr r="W29" s="3"/>
      </tp>
      <tp>
        <v>0.61423000000000005</v>
        <stp/>
        <stp>21422436</stp>
        <stp>@bh,NZDUSD,h1,close,26</stp>
        <tr r="W28" s="3"/>
      </tp>
      <tp>
        <v>0.61404999999999998</v>
        <stp/>
        <stp>21422436</stp>
        <stp>@bh,NZDUSD,h1,close,25</stp>
        <tr r="W27" s="3"/>
      </tp>
      <tp>
        <v>0.61458000000000002</v>
        <stp/>
        <stp>21422436</stp>
        <stp>@bh,NZDUSD,h1,close,24</stp>
        <tr r="W26" s="3"/>
      </tp>
      <tp>
        <v>0.61619000000000002</v>
        <stp/>
        <stp>21422436</stp>
        <stp>@bh,NZDUSD,h1,close,13</stp>
        <tr r="W15" s="3"/>
      </tp>
      <tp>
        <v>0.61543999999999999</v>
        <stp/>
        <stp>21422436</stp>
        <stp>@bh,NZDUSD,h1,close,12</stp>
        <tr r="W14" s="3"/>
      </tp>
      <tp>
        <v>0.61497000000000002</v>
        <stp/>
        <stp>21422436</stp>
        <stp>@bh,NZDUSD,h1,close,11</stp>
        <tr r="W13" s="3"/>
      </tp>
      <tp>
        <v>0.61482999999999999</v>
        <stp/>
        <stp>21422436</stp>
        <stp>@bh,NZDUSD,h1,close,10</stp>
        <tr r="W12" s="3"/>
      </tp>
      <tp>
        <v>0.6159</v>
        <stp/>
        <stp>21422436</stp>
        <stp>@bh,NZDUSD,h1,close,17</stp>
        <tr r="W19" s="3"/>
      </tp>
      <tp>
        <v>0.61570000000000003</v>
        <stp/>
        <stp>21422436</stp>
        <stp>@bh,NZDUSD,h1,close,16</stp>
        <tr r="W18" s="3"/>
      </tp>
      <tp>
        <v>0.61543000000000003</v>
        <stp/>
        <stp>21422436</stp>
        <stp>@bh,NZDUSD,h1,close,15</stp>
        <tr r="W17" s="3"/>
      </tp>
      <tp>
        <v>0.61621999999999999</v>
        <stp/>
        <stp>21422436</stp>
        <stp>@bh,NZDUSD,h1,close,14</stp>
        <tr r="W16" s="3"/>
      </tp>
      <tp>
        <v>0.61638999999999999</v>
        <stp/>
        <stp>21422436</stp>
        <stp>@bh,NZDUSD,h1,close,19</stp>
        <tr r="W21" s="3"/>
      </tp>
      <tp>
        <v>0.61682000000000003</v>
        <stp/>
        <stp>21422436</stp>
        <stp>@bh,NZDUSD,h1,close,18</stp>
        <tr r="W20" s="3"/>
      </tp>
      <tp>
        <v>1.1039000000000001</v>
        <stp/>
        <stp>21422436</stp>
        <stp>@bh,EURUSD,h4,close,18</stp>
        <tr r="H20" s="1"/>
      </tp>
      <tp>
        <v>1.1037300000000001</v>
        <stp/>
        <stp>21422436</stp>
        <stp>@bh,EURUSD,h4,close,19</stp>
        <tr r="H21" s="1"/>
      </tp>
      <tp>
        <v>1.10772</v>
        <stp/>
        <stp>21422436</stp>
        <stp>@bh,EURUSD,h4,close,14</stp>
        <tr r="H16" s="1"/>
      </tp>
      <tp>
        <v>1.1083099999999999</v>
        <stp/>
        <stp>21422436</stp>
        <stp>@bh,EURUSD,h4,close,15</stp>
        <tr r="H17" s="1"/>
      </tp>
      <tp>
        <v>1.1085100000000001</v>
        <stp/>
        <stp>21422436</stp>
        <stp>@bh,EURUSD,h4,close,16</stp>
        <tr r="H18" s="1"/>
      </tp>
      <tp>
        <v>1.10737</v>
        <stp/>
        <stp>21422436</stp>
        <stp>@bh,EURUSD,h4,close,17</stp>
        <tr r="H19" s="1"/>
      </tp>
      <tp>
        <v>1.113</v>
        <stp/>
        <stp>21422436</stp>
        <stp>@bh,EURUSD,h4,close,10</stp>
        <tr r="H12" s="1"/>
      </tp>
      <tp>
        <v>1.1114999999999999</v>
        <stp/>
        <stp>21422436</stp>
        <stp>@bh,EURUSD,h4,close,11</stp>
        <tr r="H13" s="1"/>
      </tp>
      <tp>
        <v>1.1098399999999999</v>
        <stp/>
        <stp>21422436</stp>
        <stp>@bh,EURUSD,h4,close,12</stp>
        <tr r="H14" s="1"/>
      </tp>
      <tp>
        <v>1.10798</v>
        <stp/>
        <stp>21422436</stp>
        <stp>@bh,EURUSD,h4,close,13</stp>
        <tr r="H15" s="1"/>
      </tp>
      <tp>
        <v>0.67520000000000002</v>
        <stp/>
        <stp>21422436</stp>
        <stp>@bh,AUDUSD,h1,close,18</stp>
        <tr r="C20" s="3"/>
      </tp>
      <tp>
        <v>0.67454999999999998</v>
        <stp/>
        <stp>21422436</stp>
        <stp>@bh,AUDUSD,h1,close,19</stp>
        <tr r="C21" s="3"/>
      </tp>
      <tp>
        <v>0.67505999999999999</v>
        <stp/>
        <stp>21422436</stp>
        <stp>@bh,AUDUSD,h1,close,14</stp>
        <tr r="C16" s="3"/>
      </tp>
      <tp>
        <v>0.67418999999999996</v>
        <stp/>
        <stp>21422436</stp>
        <stp>@bh,AUDUSD,h1,close,15</stp>
        <tr r="C17" s="3"/>
      </tp>
      <tp>
        <v>0.67440999999999995</v>
        <stp/>
        <stp>21422436</stp>
        <stp>@bh,AUDUSD,h1,close,16</stp>
        <tr r="C18" s="3"/>
      </tp>
      <tp>
        <v>0.67423</v>
        <stp/>
        <stp>21422436</stp>
        <stp>@bh,AUDUSD,h1,close,17</stp>
        <tr r="C19" s="3"/>
      </tp>
      <tp>
        <v>0.67305999999999999</v>
        <stp/>
        <stp>21422436</stp>
        <stp>@bh,AUDUSD,h1,close,10</stp>
        <tr r="C12" s="3"/>
      </tp>
      <tp>
        <v>0.67383000000000004</v>
        <stp/>
        <stp>21422436</stp>
        <stp>@bh,AUDUSD,h1,close,11</stp>
        <tr r="C13" s="3"/>
      </tp>
      <tp>
        <v>0.67435</v>
        <stp/>
        <stp>21422436</stp>
        <stp>@bh,AUDUSD,h1,close,12</stp>
        <tr r="C14" s="3"/>
      </tp>
      <tp>
        <v>0.67493999999999998</v>
        <stp/>
        <stp>21422436</stp>
        <stp>@bh,AUDUSD,h1,close,13</stp>
        <tr r="C15" s="3"/>
      </tp>
      <tp>
        <v>1.29209</v>
        <stp/>
        <stp>21422436</stp>
        <stp>@bh,GBPUSD,h4,close,23</stp>
        <tr r="O25" s="1"/>
      </tp>
      <tp>
        <v>1.2945</v>
        <stp/>
        <stp>21422436</stp>
        <stp>@bh,GBPUSD,h4,close,22</stp>
        <tr r="O24" s="1"/>
      </tp>
      <tp>
        <v>1.2946800000000001</v>
        <stp/>
        <stp>21422436</stp>
        <stp>@bh,GBPUSD,h4,close,21</stp>
        <tr r="O23" s="1"/>
      </tp>
      <tp>
        <v>1.2953399999999999</v>
        <stp/>
        <stp>21422436</stp>
        <stp>@bh,GBPUSD,h4,close,20</stp>
        <tr r="O22" s="1"/>
      </tp>
      <tp>
        <v>1.28633</v>
        <stp/>
        <stp>21422436</stp>
        <stp>@bh,GBPUSD,h4,close,27</stp>
        <tr r="O29" s="1"/>
      </tp>
      <tp>
        <v>1.28729</v>
        <stp/>
        <stp>21422436</stp>
        <stp>@bh,GBPUSD,h4,close,26</stp>
        <tr r="O28" s="1"/>
      </tp>
      <tp>
        <v>1.2885500000000001</v>
        <stp/>
        <stp>21422436</stp>
        <stp>@bh,GBPUSD,h4,close,25</stp>
        <tr r="O27" s="1"/>
      </tp>
      <tp>
        <v>1.2897400000000001</v>
        <stp/>
        <stp>21422436</stp>
        <stp>@bh,GBPUSD,h4,close,24</stp>
        <tr r="O26" s="1"/>
      </tp>
      <tp>
        <v>0.67430999999999996</v>
        <stp/>
        <stp>21422436</stp>
        <stp>@bh,AUDUSD,h1,close,24</stp>
        <tr r="C26" s="3"/>
      </tp>
      <tp>
        <v>0.67386000000000001</v>
        <stp/>
        <stp>21422436</stp>
        <stp>@bh,AUDUSD,h1,close,25</stp>
        <tr r="C27" s="3"/>
      </tp>
      <tp>
        <v>0.67422000000000004</v>
        <stp/>
        <stp>21422436</stp>
        <stp>@bh,AUDUSD,h1,close,26</stp>
        <tr r="C28" s="3"/>
      </tp>
      <tp>
        <v>0.67379</v>
        <stp/>
        <stp>21422436</stp>
        <stp>@bh,AUDUSD,h1,close,27</stp>
        <tr r="C29" s="3"/>
      </tp>
      <tp>
        <v>0.67415000000000003</v>
        <stp/>
        <stp>21422436</stp>
        <stp>@bh,AUDUSD,h1,close,20</stp>
        <tr r="C22" s="3"/>
      </tp>
      <tp>
        <v>0.67496</v>
        <stp/>
        <stp>21422436</stp>
        <stp>@bh,AUDUSD,h1,close,21</stp>
        <tr r="C23" s="3"/>
      </tp>
      <tp>
        <v>0.67383999999999999</v>
        <stp/>
        <stp>21422436</stp>
        <stp>@bh,AUDUSD,h1,close,22</stp>
        <tr r="C24" s="3"/>
      </tp>
      <tp>
        <v>0.67415000000000003</v>
        <stp/>
        <stp>21422436</stp>
        <stp>@bh,AUDUSD,h1,close,23</stp>
        <tr r="C25" s="3"/>
      </tp>
      <tp>
        <v>1.2971900000000001</v>
        <stp/>
        <stp>21422436</stp>
        <stp>@bh,GBPUSD,h4,close,19</stp>
        <tr r="O21" s="1"/>
      </tp>
      <tp>
        <v>1.29508</v>
        <stp/>
        <stp>21422436</stp>
        <stp>@bh,GBPUSD,h4,close,18</stp>
        <tr r="O20" s="1"/>
      </tp>
      <tp>
        <v>1.30009</v>
        <stp/>
        <stp>21422436</stp>
        <stp>@bh,GBPUSD,h4,close,13</stp>
        <tr r="O15" s="1"/>
      </tp>
      <tp>
        <v>1.3027200000000001</v>
        <stp/>
        <stp>21422436</stp>
        <stp>@bh,GBPUSD,h4,close,12</stp>
        <tr r="O14" s="1"/>
      </tp>
      <tp>
        <v>1.3025199999999999</v>
        <stp/>
        <stp>21422436</stp>
        <stp>@bh,GBPUSD,h4,close,11</stp>
        <tr r="O13" s="1"/>
      </tp>
      <tp>
        <v>1.3033699999999999</v>
        <stp/>
        <stp>21422436</stp>
        <stp>@bh,GBPUSD,h4,close,10</stp>
        <tr r="O12" s="1"/>
      </tp>
      <tp>
        <v>1.2981799999999999</v>
        <stp/>
        <stp>21422436</stp>
        <stp>@bh,GBPUSD,h4,close,17</stp>
        <tr r="O19" s="1"/>
      </tp>
      <tp>
        <v>1.2990699999999999</v>
        <stp/>
        <stp>21422436</stp>
        <stp>@bh,GBPUSD,h4,close,16</stp>
        <tr r="O18" s="1"/>
      </tp>
      <tp>
        <v>1.2985199999999999</v>
        <stp/>
        <stp>21422436</stp>
        <stp>@bh,GBPUSD,h4,close,15</stp>
        <tr r="O17" s="1"/>
      </tp>
      <tp>
        <v>1.2979799999999999</v>
        <stp/>
        <stp>21422436</stp>
        <stp>@bh,GBPUSD,h4,close,14</stp>
        <tr r="O16" s="1"/>
      </tp>
      <tp>
        <v>1.0993999999999999</v>
        <stp/>
        <stp>21422436</stp>
        <stp>@bh,EURUSD,h4,close,24</stp>
        <tr r="H26" s="1"/>
      </tp>
      <tp>
        <v>1.0981000000000001</v>
        <stp/>
        <stp>21422436</stp>
        <stp>@bh,EURUSD,h4,close,25</stp>
        <tr r="H27" s="1"/>
      </tp>
      <tp>
        <v>1.09822</v>
        <stp/>
        <stp>21422436</stp>
        <stp>@bh,EURUSD,h4,close,26</stp>
        <tr r="H28" s="1"/>
      </tp>
      <tp>
        <v>1.09762</v>
        <stp/>
        <stp>21422436</stp>
        <stp>@bh,EURUSD,h4,close,27</stp>
        <tr r="H29" s="1"/>
      </tp>
      <tp>
        <v>1.10398</v>
        <stp/>
        <stp>21422436</stp>
        <stp>@bh,EURUSD,h4,close,20</stp>
        <tr r="H22" s="1"/>
      </tp>
      <tp>
        <v>1.1031500000000001</v>
        <stp/>
        <stp>21422436</stp>
        <stp>@bh,EURUSD,h4,close,21</stp>
        <tr r="H23" s="1"/>
      </tp>
      <tp>
        <v>1.10286</v>
        <stp/>
        <stp>21422436</stp>
        <stp>@bh,EURUSD,h4,close,22</stp>
        <tr r="H24" s="1"/>
      </tp>
      <tp>
        <v>1.10039</v>
        <stp/>
        <stp>21422436</stp>
        <stp>@bh,EURUSD,h4,close,23</stp>
        <tr r="H25" s="1"/>
      </tp>
      <tp>
        <v>0.66968000000000005</v>
        <stp/>
        <stp>21422436</stp>
        <stp>@bh,AUDUSD,h4,close,18</stp>
        <tr r="C20" s="1"/>
      </tp>
      <tp>
        <v>0.66883000000000004</v>
        <stp/>
        <stp>21422436</stp>
        <stp>@bh,AUDUSD,h4,close,19</stp>
        <tr r="C21" s="1"/>
      </tp>
      <tp>
        <v>0.67181999999999997</v>
        <stp/>
        <stp>21422436</stp>
        <stp>@bh,AUDUSD,h4,close,14</stp>
        <tr r="C16" s="1"/>
      </tp>
      <tp>
        <v>0.67264000000000002</v>
        <stp/>
        <stp>21422436</stp>
        <stp>@bh,AUDUSD,h4,close,15</stp>
        <tr r="C17" s="1"/>
      </tp>
      <tp>
        <v>0.67320000000000002</v>
        <stp/>
        <stp>21422436</stp>
        <stp>@bh,AUDUSD,h4,close,16</stp>
        <tr r="C18" s="1"/>
      </tp>
      <tp>
        <v>0.67200000000000004</v>
        <stp/>
        <stp>21422436</stp>
        <stp>@bh,AUDUSD,h4,close,17</stp>
        <tr r="C19" s="1"/>
      </tp>
      <tp>
        <v>0.67466999999999999</v>
        <stp/>
        <stp>21422436</stp>
        <stp>@bh,AUDUSD,h4,close,10</stp>
        <tr r="C12" s="1"/>
      </tp>
      <tp>
        <v>0.67364000000000002</v>
        <stp/>
        <stp>21422436</stp>
        <stp>@bh,AUDUSD,h4,close,11</stp>
        <tr r="C13" s="1"/>
      </tp>
      <tp>
        <v>0.67415999999999998</v>
        <stp/>
        <stp>21422436</stp>
        <stp>@bh,AUDUSD,h4,close,12</stp>
        <tr r="C14" s="1"/>
      </tp>
      <tp>
        <v>0.67281999999999997</v>
        <stp/>
        <stp>21422436</stp>
        <stp>@bh,AUDUSD,h4,close,13</stp>
        <tr r="C15" s="1"/>
      </tp>
      <tp>
        <v>1.3049200000000001</v>
        <stp/>
        <stp>21422436</stp>
        <stp>@bh,GBPUSD,h1,close,23</stp>
        <tr r="O25" s="3"/>
      </tp>
      <tp>
        <v>1.3060099999999999</v>
        <stp/>
        <stp>21422436</stp>
        <stp>@bh,GBPUSD,h1,close,22</stp>
        <tr r="O24" s="3"/>
      </tp>
      <tp>
        <v>1.30762</v>
        <stp/>
        <stp>21422436</stp>
        <stp>@bh,GBPUSD,h1,close,21</stp>
        <tr r="O23" s="3"/>
      </tp>
      <tp>
        <v>1.3089299999999999</v>
        <stp/>
        <stp>21422436</stp>
        <stp>@bh,GBPUSD,h1,close,20</stp>
        <tr r="O22" s="3"/>
      </tp>
      <tp>
        <v>1.3027200000000001</v>
        <stp/>
        <stp>21422436</stp>
        <stp>@bh,GBPUSD,h1,close,27</stp>
        <tr r="O29" s="3"/>
      </tp>
      <tp>
        <v>1.3041</v>
        <stp/>
        <stp>21422436</stp>
        <stp>@bh,GBPUSD,h1,close,26</stp>
        <tr r="O28" s="3"/>
      </tp>
      <tp>
        <v>1.30318</v>
        <stp/>
        <stp>21422436</stp>
        <stp>@bh,GBPUSD,h1,close,25</stp>
        <tr r="O27" s="3"/>
      </tp>
      <tp>
        <v>1.3045100000000001</v>
        <stp/>
        <stp>21422436</stp>
        <stp>@bh,GBPUSD,h1,close,24</stp>
        <tr r="O26" s="3"/>
      </tp>
      <tp>
        <v>1.1161799999999999</v>
        <stp/>
        <stp>21422436</stp>
        <stp>@bh,EURUSD,h1,close,18</stp>
        <tr r="H20" s="3"/>
      </tp>
      <tp>
        <v>1.11557</v>
        <stp/>
        <stp>21422436</stp>
        <stp>@bh,EURUSD,h1,close,19</stp>
        <tr r="H21" s="3"/>
      </tp>
      <tp>
        <v>1.11564</v>
        <stp/>
        <stp>21422436</stp>
        <stp>@bh,EURUSD,h1,close,14</stp>
        <tr r="H16" s="3"/>
      </tp>
      <tp>
        <v>1.11477</v>
        <stp/>
        <stp>21422436</stp>
        <stp>@bh,EURUSD,h1,close,15</stp>
        <tr r="H17" s="3"/>
      </tp>
      <tp>
        <v>1.1149899999999999</v>
        <stp/>
        <stp>21422436</stp>
        <stp>@bh,EURUSD,h1,close,16</stp>
        <tr r="H18" s="3"/>
      </tp>
      <tp>
        <v>1.1151800000000001</v>
        <stp/>
        <stp>21422436</stp>
        <stp>@bh,EURUSD,h1,close,17</stp>
        <tr r="H19" s="3"/>
      </tp>
      <tp>
        <v>1.11433</v>
        <stp/>
        <stp>21422436</stp>
        <stp>@bh,EURUSD,h1,close,10</stp>
        <tr r="H12" s="3"/>
      </tp>
      <tp>
        <v>1.11433</v>
        <stp/>
        <stp>21422436</stp>
        <stp>@bh,EURUSD,h1,close,11</stp>
        <tr r="H13" s="3"/>
      </tp>
      <tp>
        <v>1.11477</v>
        <stp/>
        <stp>21422436</stp>
        <stp>@bh,EURUSD,h1,close,12</stp>
        <tr r="H14" s="3"/>
      </tp>
      <tp>
        <v>1.1155200000000001</v>
        <stp/>
        <stp>21422436</stp>
        <stp>@bh,EURUSD,h1,close,13</stp>
        <tr r="H15" s="3"/>
      </tp>
      <tp>
        <v>1.1125</v>
        <stp/>
        <stp>21422436</stp>
        <stp>@bh,EURUSD,h1,close,24</stp>
        <tr r="H26" s="3"/>
      </tp>
      <tp>
        <v>1.11148</v>
        <stp/>
        <stp>21422436</stp>
        <stp>@bh,EURUSD,h1,close,25</stp>
        <tr r="H27" s="3"/>
      </tp>
      <tp>
        <v>1.11249</v>
        <stp/>
        <stp>21422436</stp>
        <stp>@bh,EURUSD,h1,close,26</stp>
        <tr r="H28" s="3"/>
      </tp>
      <tp>
        <v>1.11171</v>
        <stp/>
        <stp>21422436</stp>
        <stp>@bh,EURUSD,h1,close,27</stp>
        <tr r="H29" s="3"/>
      </tp>
      <tp>
        <v>1.1146499999999999</v>
        <stp/>
        <stp>21422436</stp>
        <stp>@bh,EURUSD,h1,close,20</stp>
        <tr r="H22" s="3"/>
      </tp>
      <tp>
        <v>1.1142300000000001</v>
        <stp/>
        <stp>21422436</stp>
        <stp>@bh,EURUSD,h1,close,21</stp>
        <tr r="H23" s="3"/>
      </tp>
      <tp>
        <v>1.1124799999999999</v>
        <stp/>
        <stp>21422436</stp>
        <stp>@bh,EURUSD,h1,close,22</stp>
        <tr r="H24" s="3"/>
      </tp>
      <tp>
        <v>1.1114599999999999</v>
        <stp/>
        <stp>21422436</stp>
        <stp>@bh,EURUSD,h1,close,23</stp>
        <tr r="H25" s="3"/>
      </tp>
      <tp>
        <v>0.66266000000000003</v>
        <stp/>
        <stp>21422436</stp>
        <stp>@bh,AUDUSD,h4,close,24</stp>
        <tr r="C26" s="1"/>
      </tp>
      <tp>
        <v>0.66322999999999999</v>
        <stp/>
        <stp>21422436</stp>
        <stp>@bh,AUDUSD,h4,close,25</stp>
        <tr r="C27" s="1"/>
      </tp>
      <tp>
        <v>0.66261999999999999</v>
        <stp/>
        <stp>21422436</stp>
        <stp>@bh,AUDUSD,h4,close,26</stp>
        <tr r="C28" s="1"/>
      </tp>
      <tp>
        <v>0.66139000000000003</v>
        <stp/>
        <stp>21422436</stp>
        <stp>@bh,AUDUSD,h4,close,27</stp>
        <tr r="C29" s="1"/>
      </tp>
      <tp>
        <v>0.66871999999999998</v>
        <stp/>
        <stp>21422436</stp>
        <stp>@bh,AUDUSD,h4,close,20</stp>
        <tr r="C22" s="1"/>
      </tp>
      <tp>
        <v>0.66795000000000004</v>
        <stp/>
        <stp>21422436</stp>
        <stp>@bh,AUDUSD,h4,close,21</stp>
        <tr r="C23" s="1"/>
      </tp>
      <tp>
        <v>0.66700999999999999</v>
        <stp/>
        <stp>21422436</stp>
        <stp>@bh,AUDUSD,h4,close,22</stp>
        <tr r="C24" s="1"/>
      </tp>
      <tp>
        <v>0.66557999999999995</v>
        <stp/>
        <stp>21422436</stp>
        <stp>@bh,AUDUSD,h4,close,23</stp>
        <tr r="C25" s="1"/>
      </tp>
      <tp>
        <v>1.30966</v>
        <stp/>
        <stp>21422436</stp>
        <stp>@bh,GBPUSD,h1,close,19</stp>
        <tr r="O21" s="3"/>
      </tp>
      <tp>
        <v>1.3106199999999999</v>
        <stp/>
        <stp>21422436</stp>
        <stp>@bh,GBPUSD,h1,close,18</stp>
        <tr r="O20" s="3"/>
      </tp>
      <tp>
        <v>1.30924</v>
        <stp/>
        <stp>21422436</stp>
        <stp>@bh,GBPUSD,h1,close,13</stp>
        <tr r="O15" s="3"/>
      </tp>
      <tp>
        <v>1.30901</v>
        <stp/>
        <stp>21422436</stp>
        <stp>@bh,GBPUSD,h1,close,12</stp>
        <tr r="O14" s="3"/>
      </tp>
      <tp>
        <v>1.3086199999999999</v>
        <stp/>
        <stp>21422436</stp>
        <stp>@bh,GBPUSD,h1,close,11</stp>
        <tr r="O13" s="3"/>
      </tp>
      <tp>
        <v>1.3085100000000001</v>
        <stp/>
        <stp>21422436</stp>
        <stp>@bh,GBPUSD,h1,close,10</stp>
        <tr r="O12" s="3"/>
      </tp>
      <tp>
        <v>1.3089900000000001</v>
        <stp/>
        <stp>21422436</stp>
        <stp>@bh,GBPUSD,h1,close,17</stp>
        <tr r="O19" s="3"/>
      </tp>
      <tp>
        <v>1.3090900000000001</v>
        <stp/>
        <stp>21422436</stp>
        <stp>@bh,GBPUSD,h1,close,16</stp>
        <tr r="O18" s="3"/>
      </tp>
      <tp>
        <v>1.3091299999999999</v>
        <stp/>
        <stp>21422436</stp>
        <stp>@bh,GBPUSD,h1,close,15</stp>
        <tr r="O17" s="3"/>
      </tp>
      <tp>
        <v>1.30932</v>
        <stp/>
        <stp>21422436</stp>
        <stp>@bh,GBPUSD,h1,close,14</stp>
        <tr r="O16" s="3"/>
      </tp>
      <tp>
        <v>189.76</v>
        <stp/>
        <stp>21422436</stp>
        <stp>@bh,GBPJPY,h4,close,8</stp>
        <tr r="T10" s="1"/>
      </tp>
      <tp>
        <v>189.589</v>
        <stp/>
        <stp>21422436</stp>
        <stp>@bh,GBPJPY,h4,close,9</stp>
        <tr r="T11" s="1"/>
      </tp>
      <tp>
        <v>190.07599999999999</v>
        <stp/>
        <stp>21422436</stp>
        <stp>@bh,GBPJPY,h1,close,9</stp>
        <tr r="T11" s="3"/>
      </tp>
      <tp>
        <v>189.863</v>
        <stp/>
        <stp>21422436</stp>
        <stp>@bh,GBPJPY,h1,close,8</stp>
        <tr r="T10" s="3"/>
      </tp>
      <tp>
        <v>190.21600000000001</v>
        <stp/>
        <stp>21422436</stp>
        <stp>@bh,GBPJPY,h1,close,5</stp>
        <tr r="T7" s="3"/>
      </tp>
      <tp>
        <v>191.417</v>
        <stp/>
        <stp>21422436</stp>
        <stp>@bh,GBPJPY,h4,close,0</stp>
        <tr r="T2" s="1"/>
      </tp>
      <tp>
        <v>190.958</v>
        <stp/>
        <stp>21422436</stp>
        <stp>@bh,GBPJPY,h1,close,4</stp>
        <tr r="T6" s="3"/>
      </tp>
      <tp>
        <v>190.958</v>
        <stp/>
        <stp>21422436</stp>
        <stp>@bh,GBPJPY,h4,close,1</stp>
        <tr r="T3" s="1"/>
      </tp>
      <tp>
        <v>190.03800000000001</v>
        <stp/>
        <stp>21422436</stp>
        <stp>@bh,GBPJPY,h1,close,7</stp>
        <tr r="T9" s="3"/>
      </tp>
      <tp>
        <v>189.863</v>
        <stp/>
        <stp>21422436</stp>
        <stp>@bh,GBPJPY,h4,close,2</stp>
        <tr r="T4" s="1"/>
      </tp>
      <tp>
        <v>190.31100000000001</v>
        <stp/>
        <stp>21422436</stp>
        <stp>@bh,GBPJPY,h1,close,6</stp>
        <tr r="T8" s="3"/>
      </tp>
      <tp>
        <v>190.209</v>
        <stp/>
        <stp>21422436</stp>
        <stp>@bh,GBPJPY,h4,close,3</stp>
        <tr r="T5" s="1"/>
      </tp>
      <tp>
        <v>191.39500000000001</v>
        <stp/>
        <stp>21422436</stp>
        <stp>@bh,GBPJPY,h1,close,1</stp>
        <tr r="T3" s="3"/>
      </tp>
      <tp>
        <v>190.173</v>
        <stp/>
        <stp>21422436</stp>
        <stp>@bh,GBPJPY,h4,close,4</stp>
        <tr r="T6" s="1"/>
      </tp>
      <tp>
        <v>191.417</v>
        <stp/>
        <stp>21422436</stp>
        <stp>@bh,GBPJPY,h1,close,0</stp>
        <tr r="T2" s="3"/>
      </tp>
      <tp>
        <v>190.048</v>
        <stp/>
        <stp>21422436</stp>
        <stp>@bh,GBPJPY,h4,close,5</stp>
        <tr r="T7" s="1"/>
      </tp>
      <tp>
        <v>191.08500000000001</v>
        <stp/>
        <stp>21422436</stp>
        <stp>@bh,GBPJPY,h1,close,3</stp>
        <tr r="T5" s="3"/>
      </tp>
      <tp>
        <v>190.16499999999999</v>
        <stp/>
        <stp>21422436</stp>
        <stp>@bh,GBPJPY,h4,close,6</stp>
        <tr r="T8" s="1"/>
      </tp>
      <tp>
        <v>191.22499999999999</v>
        <stp/>
        <stp>21422436</stp>
        <stp>@bh,GBPJPY,h1,close,2</stp>
        <tr r="T4" s="3"/>
      </tp>
      <tp>
        <v>190.03100000000001</v>
        <stp/>
        <stp>21422436</stp>
        <stp>@bh,GBPJPY,h4,close,7</stp>
        <tr r="T9" s="1"/>
      </tp>
      <tp>
        <v>1.93818</v>
        <stp/>
        <stp>21422436</stp>
        <stp>@bh,GBPAUD,d1,close,8</stp>
        <tr r="P10" s="2"/>
      </tp>
      <tp>
        <v>1.9410000000000001</v>
        <stp/>
        <stp>21422436</stp>
        <stp>@bh,GBPAUD,d1,close,9</stp>
        <tr r="P11" s="2"/>
      </tp>
      <tp>
        <v>1.94763</v>
        <stp/>
        <stp>21422436</stp>
        <stp>@bh,GBPAUD,d1,close,0</stp>
        <tr r="P2" s="2"/>
      </tp>
      <tp>
        <v>1.9410000000000001</v>
        <stp/>
        <stp>21422436</stp>
        <stp>@bh,GBPAUD,d1,close,1</stp>
        <tr r="P3" s="2"/>
      </tp>
      <tp>
        <v>1.93174</v>
        <stp/>
        <stp>21422436</stp>
        <stp>@bh,GBPAUD,d1,close,2</stp>
        <tr r="P4" s="2"/>
      </tp>
      <tp>
        <v>1.9295500000000001</v>
        <stp/>
        <stp>21422436</stp>
        <stp>@bh,GBPAUD,d1,close,3</stp>
        <tr r="P5" s="2"/>
      </tp>
      <tp>
        <v>1.9406300000000001</v>
        <stp/>
        <stp>21422436</stp>
        <stp>@bh,GBPAUD,d1,close,4</stp>
        <tr r="P6" s="2"/>
      </tp>
      <tp>
        <v>1.94432</v>
        <stp/>
        <stp>21422436</stp>
        <stp>@bh,GBPAUD,d1,close,5</stp>
        <tr r="P7" s="2"/>
      </tp>
      <tp>
        <v>1.94418</v>
        <stp/>
        <stp>21422436</stp>
        <stp>@bh,GBPAUD,d1,close,6</stp>
        <tr r="P8" s="2"/>
      </tp>
      <tp>
        <v>1.93889</v>
        <stp/>
        <stp>21422436</stp>
        <stp>@bh,GBPAUD,d1,close,7</stp>
        <tr r="P9" s="2"/>
      </tp>
      <tp>
        <v>2.12615</v>
        <stp/>
        <stp>21422436</stp>
        <stp>@bh,GBPNZD,h1,close,7</stp>
        <tr r="Q9" s="3"/>
      </tp>
      <tp>
        <v>2.1269499999999999</v>
        <stp/>
        <stp>21422436</stp>
        <stp>@bh,GBPNZD,h4,close,2</stp>
        <tr r="Q4" s="1"/>
      </tp>
      <tp>
        <v>2.1257999999999999</v>
        <stp/>
        <stp>21422436</stp>
        <stp>@bh,GBPNZD,h1,close,6</stp>
        <tr r="Q8" s="3"/>
      </tp>
      <tp>
        <v>2.1267800000000001</v>
        <stp/>
        <stp>21422436</stp>
        <stp>@bh,GBPNZD,h4,close,3</stp>
        <tr r="Q5" s="1"/>
      </tp>
      <tp>
        <v>2.1242800000000002</v>
        <stp/>
        <stp>21422436</stp>
        <stp>@bh,GBPNZD,h1,close,5</stp>
        <tr r="Q7" s="3"/>
      </tp>
      <tp>
        <v>2.1310600000000002</v>
        <stp/>
        <stp>21422436</stp>
        <stp>@bh,GBPNZD,h4,close,0</stp>
        <tr r="Q2" s="1"/>
      </tp>
      <tp>
        <v>2.1284200000000002</v>
        <stp/>
        <stp>21422436</stp>
        <stp>@bh,GBPNZD,h1,close,4</stp>
        <tr r="Q6" s="3"/>
      </tp>
      <tp>
        <v>2.1284200000000002</v>
        <stp/>
        <stp>21422436</stp>
        <stp>@bh,GBPNZD,h4,close,1</stp>
        <tr r="Q3" s="1"/>
      </tp>
      <tp>
        <v>2.1306500000000002</v>
        <stp/>
        <stp>21422436</stp>
        <stp>@bh,GBPNZD,h1,close,3</stp>
        <tr r="Q5" s="3"/>
      </tp>
      <tp>
        <v>2.1225000000000001</v>
        <stp/>
        <stp>21422436</stp>
        <stp>@bh,GBPNZD,h4,close,6</stp>
        <tr r="Q8" s="1"/>
      </tp>
      <tp>
        <v>2.1313499999999999</v>
        <stp/>
        <stp>21422436</stp>
        <stp>@bh,GBPNZD,h1,close,2</stp>
        <tr r="Q4" s="3"/>
      </tp>
      <tp>
        <v>2.1198700000000001</v>
        <stp/>
        <stp>21422436</stp>
        <stp>@bh,GBPNZD,h4,close,7</stp>
        <tr r="Q9" s="1"/>
      </tp>
      <tp>
        <v>2.1314299999999999</v>
        <stp/>
        <stp>21422436</stp>
        <stp>@bh,GBPNZD,h1,close,1</stp>
        <tr r="Q3" s="3"/>
      </tp>
      <tp>
        <v>2.1261100000000002</v>
        <stp/>
        <stp>21422436</stp>
        <stp>@bh,GBPNZD,h4,close,4</stp>
        <tr r="Q6" s="1"/>
      </tp>
      <tp>
        <v>2.1310600000000002</v>
        <stp/>
        <stp>21422436</stp>
        <stp>@bh,GBPNZD,h1,close,0</stp>
        <tr r="Q2" s="3"/>
      </tp>
      <tp>
        <v>2.1261700000000001</v>
        <stp/>
        <stp>21422436</stp>
        <stp>@bh,GBPNZD,h4,close,5</stp>
        <tr r="Q7" s="1"/>
      </tp>
      <tp>
        <v>2.1205799999999999</v>
        <stp/>
        <stp>21422436</stp>
        <stp>@bh,GBPNZD,h4,close,8</stp>
        <tr r="Q10" s="1"/>
      </tp>
      <tp>
        <v>2.11497</v>
        <stp/>
        <stp>21422436</stp>
        <stp>@bh,GBPNZD,h4,close,9</stp>
        <tr r="Q11" s="1"/>
      </tp>
      <tp>
        <v>2.1278100000000002</v>
        <stp/>
        <stp>21422436</stp>
        <stp>@bh,GBPNZD,h1,close,9</stp>
        <tr r="Q11" s="3"/>
      </tp>
      <tp>
        <v>2.1269499999999999</v>
        <stp/>
        <stp>21422436</stp>
        <stp>@bh,GBPNZD,h1,close,8</stp>
        <tr r="Q10" s="3"/>
      </tp>
      <tp>
        <v>1.1214599999999999</v>
        <stp/>
        <stp>21422436</stp>
        <stp>@bh,GBPCHF,d1,close,5</stp>
        <tr r="S7" s="2"/>
      </tp>
      <tp>
        <v>1.1209800000000001</v>
        <stp/>
        <stp>21422436</stp>
        <stp>@bh,GBPCHF,d1,close,4</stp>
        <tr r="S6" s="2"/>
      </tp>
      <tp>
        <v>1.11232</v>
        <stp/>
        <stp>21422436</stp>
        <stp>@bh,GBPCHF,d1,close,7</stp>
        <tr r="S9" s="2"/>
      </tp>
      <tp>
        <v>1.1094999999999999</v>
        <stp/>
        <stp>21422436</stp>
        <stp>@bh,GBPCHF,d1,close,6</stp>
        <tr r="S8" s="2"/>
      </tp>
      <tp>
        <v>1.1148800000000001</v>
        <stp/>
        <stp>21422436</stp>
        <stp>@bh,GBPCHF,d1,close,1</stp>
        <tr r="S3" s="2"/>
      </tp>
      <tp>
        <v>1.7541500000000001</v>
        <stp/>
        <stp>21422436</stp>
        <stp>@bh,GBPCAD,d1,close,8</stp>
        <tr r="R10" s="2"/>
      </tp>
      <tp>
        <v>1.1165400000000001</v>
        <stp/>
        <stp>21422436</stp>
        <stp>@bh,GBPCHF,d1,close,0</stp>
        <tr r="S2" s="2"/>
      </tp>
      <tp>
        <v>1.75143</v>
        <stp/>
        <stp>21422436</stp>
        <stp>@bh,GBPCAD,d1,close,9</stp>
        <tr r="R11" s="2"/>
      </tp>
      <tp>
        <v>1.1209100000000001</v>
        <stp/>
        <stp>21422436</stp>
        <stp>@bh,GBPCHF,d1,close,3</stp>
        <tr r="S5" s="2"/>
      </tp>
      <tp>
        <v>1.1131</v>
        <stp/>
        <stp>21422436</stp>
        <stp>@bh,GBPCHF,d1,close,2</stp>
        <tr r="S4" s="2"/>
      </tp>
      <tp>
        <v>1.7706500000000001</v>
        <stp/>
        <stp>21422436</stp>
        <stp>@bh,GBPCAD,d1,close,4</stp>
        <tr r="R6" s="2"/>
      </tp>
      <tp>
        <v>1.7644599999999999</v>
        <stp/>
        <stp>21422436</stp>
        <stp>@bh,GBPCAD,d1,close,5</stp>
        <tr r="R7" s="2"/>
      </tp>
      <tp>
        <v>1.7587999999999999</v>
        <stp/>
        <stp>21422436</stp>
        <stp>@bh,GBPCAD,d1,close,6</stp>
        <tr r="R8" s="2"/>
      </tp>
      <tp>
        <v>1.76295</v>
        <stp/>
        <stp>21422436</stp>
        <stp>@bh,GBPCAD,d1,close,7</stp>
        <tr r="R9" s="2"/>
      </tp>
      <tp>
        <v>1.10371</v>
        <stp/>
        <stp>21422436</stp>
        <stp>@bh,GBPCHF,d1,close,9</stp>
        <tr r="S11" s="2"/>
      </tp>
      <tp>
        <v>1.7806200000000001</v>
        <stp/>
        <stp>21422436</stp>
        <stp>@bh,GBPCAD,d1,close,0</stp>
        <tr r="R2" s="2"/>
      </tp>
      <tp>
        <v>1.1043700000000001</v>
        <stp/>
        <stp>21422436</stp>
        <stp>@bh,GBPCHF,d1,close,8</stp>
        <tr r="S10" s="2"/>
      </tp>
      <tp>
        <v>1.7794399999999999</v>
        <stp/>
        <stp>21422436</stp>
        <stp>@bh,GBPCAD,d1,close,1</stp>
        <tr r="R3" s="2"/>
      </tp>
      <tp>
        <v>1.7751699999999999</v>
        <stp/>
        <stp>21422436</stp>
        <stp>@bh,GBPCAD,d1,close,2</stp>
        <tr r="R4" s="2"/>
      </tp>
      <tp>
        <v>1.77101</v>
        <stp/>
        <stp>21422436</stp>
        <stp>@bh,GBPCAD,d1,close,3</stp>
        <tr r="R5" s="2"/>
      </tp>
      <tp>
        <v>1.9424999999999999</v>
        <stp/>
        <stp>21422436</stp>
        <stp>@bh,GBPAUD,h1,close,8</stp>
        <tr r="P10" s="3"/>
      </tp>
      <tp>
        <v>1.94371</v>
        <stp/>
        <stp>21422436</stp>
        <stp>@bh,GBPAUD,h1,close,9</stp>
        <tr r="P11" s="3"/>
      </tp>
      <tp>
        <v>1.9309799999999999</v>
        <stp/>
        <stp>21422436</stp>
        <stp>@bh,GBPAUD,h4,close,9</stp>
        <tr r="P11" s="1"/>
      </tp>
      <tp>
        <v>1.9314</v>
        <stp/>
        <stp>21422436</stp>
        <stp>@bh,GBPAUD,h4,close,8</stp>
        <tr r="P10" s="1"/>
      </tp>
      <tp>
        <v>1.94763</v>
        <stp/>
        <stp>21422436</stp>
        <stp>@bh,GBPAUD,h1,close,0</stp>
        <tr r="P2" s="3"/>
      </tp>
      <tp>
        <v>1.9415800000000001</v>
        <stp/>
        <stp>21422436</stp>
        <stp>@bh,GBPAUD,h4,close,5</stp>
        <tr r="P7" s="1"/>
      </tp>
      <tp>
        <v>1.9479900000000001</v>
        <stp/>
        <stp>21422436</stp>
        <stp>@bh,GBPAUD,h1,close,1</stp>
        <tr r="P3" s="3"/>
      </tp>
      <tp>
        <v>1.9410000000000001</v>
        <stp/>
        <stp>21422436</stp>
        <stp>@bh,GBPAUD,h4,close,4</stp>
        <tr r="P6" s="1"/>
      </tp>
      <tp>
        <v>1.9476199999999999</v>
        <stp/>
        <stp>21422436</stp>
        <stp>@bh,GBPAUD,h1,close,2</stp>
        <tr r="P4" s="3"/>
      </tp>
      <tp>
        <v>1.93188</v>
        <stp/>
        <stp>21422436</stp>
        <stp>@bh,GBPAUD,h4,close,7</stp>
        <tr r="P9" s="1"/>
      </tp>
      <tp>
        <v>1.9472799999999999</v>
        <stp/>
        <stp>21422436</stp>
        <stp>@bh,GBPAUD,h1,close,3</stp>
        <tr r="P5" s="3"/>
      </tp>
      <tp>
        <v>1.9345699999999999</v>
        <stp/>
        <stp>21422436</stp>
        <stp>@bh,GBPAUD,h4,close,6</stp>
        <tr r="P8" s="1"/>
      </tp>
      <tp>
        <v>1.94387</v>
        <stp/>
        <stp>21422436</stp>
        <stp>@bh,GBPAUD,h1,close,4</stp>
        <tr r="P6" s="3"/>
      </tp>
      <tp>
        <v>1.94387</v>
        <stp/>
        <stp>21422436</stp>
        <stp>@bh,GBPAUD,h4,close,1</stp>
        <tr r="P3" s="1"/>
      </tp>
      <tp>
        <v>1.9407799999999999</v>
        <stp/>
        <stp>21422436</stp>
        <stp>@bh,GBPAUD,h1,close,5</stp>
        <tr r="P7" s="3"/>
      </tp>
      <tp>
        <v>1.94763</v>
        <stp/>
        <stp>21422436</stp>
        <stp>@bh,GBPAUD,h4,close,0</stp>
        <tr r="P2" s="1"/>
      </tp>
      <tp>
        <v>1.94218</v>
        <stp/>
        <stp>21422436</stp>
        <stp>@bh,GBPAUD,h1,close,6</stp>
        <tr r="P8" s="3"/>
      </tp>
      <tp>
        <v>1.9410099999999999</v>
        <stp/>
        <stp>21422436</stp>
        <stp>@bh,GBPAUD,h4,close,3</stp>
        <tr r="P5" s="1"/>
      </tp>
      <tp>
        <v>1.94146</v>
        <stp/>
        <stp>21422436</stp>
        <stp>@bh,GBPAUD,h1,close,7</stp>
        <tr r="P9" s="3"/>
      </tp>
      <tp>
        <v>1.9424999999999999</v>
        <stp/>
        <stp>21422436</stp>
        <stp>@bh,GBPAUD,h4,close,2</stp>
        <tr r="P4" s="1"/>
      </tp>
      <tp>
        <v>2.1164700000000001</v>
        <stp/>
        <stp>21422436</stp>
        <stp>@bh,GBPNZD,d1,close,7</stp>
        <tr r="Q9" s="2"/>
      </tp>
      <tp>
        <v>2.13856</v>
        <stp/>
        <stp>21422436</stp>
        <stp>@bh,GBPNZD,d1,close,6</stp>
        <tr r="Q8" s="2"/>
      </tp>
      <tp>
        <v>2.1476899999999999</v>
        <stp/>
        <stp>21422436</stp>
        <stp>@bh,GBPNZD,d1,close,5</stp>
        <tr r="Q7" s="2"/>
      </tp>
      <tp>
        <v>2.1378300000000001</v>
        <stp/>
        <stp>21422436</stp>
        <stp>@bh,GBPNZD,d1,close,4</stp>
        <tr r="Q6" s="2"/>
      </tp>
      <tp>
        <v>2.1243799999999999</v>
        <stp/>
        <stp>21422436</stp>
        <stp>@bh,GBPNZD,d1,close,3</stp>
        <tr r="Q5" s="2"/>
      </tp>
      <tp>
        <v>2.1178400000000002</v>
        <stp/>
        <stp>21422436</stp>
        <stp>@bh,GBPNZD,d1,close,2</stp>
        <tr r="Q4" s="2"/>
      </tp>
      <tp>
        <v>2.1261100000000002</v>
        <stp/>
        <stp>21422436</stp>
        <stp>@bh,GBPNZD,d1,close,1</stp>
        <tr r="Q3" s="2"/>
      </tp>
      <tp>
        <v>2.1310600000000002</v>
        <stp/>
        <stp>21422436</stp>
        <stp>@bh,GBPNZD,d1,close,0</stp>
        <tr r="Q2" s="2"/>
      </tp>
      <tp>
        <v>2.12608</v>
        <stp/>
        <stp>21422436</stp>
        <stp>@bh,GBPNZD,d1,close,9</stp>
        <tr r="Q11" s="2"/>
      </tp>
      <tp>
        <v>2.1209899999999999</v>
        <stp/>
        <stp>21422436</stp>
        <stp>@bh,GBPNZD,d1,close,8</stp>
        <tr r="Q10" s="2"/>
      </tp>
      <tp>
        <v>1.11344</v>
        <stp/>
        <stp>21422436</stp>
        <stp>@bh,GBPCHF,h1,close,5</stp>
        <tr r="S7" s="3"/>
      </tp>
      <tp>
        <v>1.1165400000000001</v>
        <stp/>
        <stp>21422436</stp>
        <stp>@bh,GBPCHF,h4,close,0</stp>
        <tr r="S2" s="1"/>
      </tp>
      <tp>
        <v>1.77485</v>
        <stp/>
        <stp>21422436</stp>
        <stp>@bh,GBPCAD,h4,close,9</stp>
        <tr r="R11" s="1"/>
      </tp>
      <tp>
        <v>1.11615</v>
        <stp/>
        <stp>21422436</stp>
        <stp>@bh,GBPCHF,h1,close,4</stp>
        <tr r="S6" s="3"/>
      </tp>
      <tp>
        <v>1.11615</v>
        <stp/>
        <stp>21422436</stp>
        <stp>@bh,GBPCHF,h4,close,1</stp>
        <tr r="S3" s="1"/>
      </tp>
      <tp>
        <v>1.77346</v>
        <stp/>
        <stp>21422436</stp>
        <stp>@bh,GBPCAD,h4,close,8</stp>
        <tr r="R10" s="1"/>
      </tp>
      <tp>
        <v>1.1138399999999999</v>
        <stp/>
        <stp>21422436</stp>
        <stp>@bh,GBPCHF,h1,close,7</stp>
        <tr r="S9" s="3"/>
      </tp>
      <tp>
        <v>1.1138399999999999</v>
        <stp/>
        <stp>21422436</stp>
        <stp>@bh,GBPCHF,h4,close,2</stp>
        <tr r="S4" s="1"/>
      </tp>
      <tp>
        <v>1.1138699999999999</v>
        <stp/>
        <stp>21422436</stp>
        <stp>@bh,GBPCHF,h1,close,6</stp>
        <tr r="S8" s="3"/>
      </tp>
      <tp>
        <v>1.1148199999999999</v>
        <stp/>
        <stp>21422436</stp>
        <stp>@bh,GBPCHF,h4,close,3</stp>
        <tr r="S5" s="1"/>
      </tp>
      <tp>
        <v>1.11696</v>
        <stp/>
        <stp>21422436</stp>
        <stp>@bh,GBPCHF,h1,close,1</stp>
        <tr r="S3" s="3"/>
      </tp>
      <tp>
        <v>1.1148800000000001</v>
        <stp/>
        <stp>21422436</stp>
        <stp>@bh,GBPCHF,h4,close,4</stp>
        <tr r="S6" s="1"/>
      </tp>
      <tp>
        <v>1.7775700000000001</v>
        <stp/>
        <stp>21422436</stp>
        <stp>@bh,GBPCAD,h1,close,8</stp>
        <tr r="R10" s="3"/>
      </tp>
      <tp>
        <v>1.1165400000000001</v>
        <stp/>
        <stp>21422436</stp>
        <stp>@bh,GBPCHF,h1,close,0</stp>
        <tr r="S2" s="3"/>
      </tp>
      <tp>
        <v>1.11432</v>
        <stp/>
        <stp>21422436</stp>
        <stp>@bh,GBPCHF,h4,close,5</stp>
        <tr r="S7" s="1"/>
      </tp>
      <tp>
        <v>1.7779499999999999</v>
        <stp/>
        <stp>21422436</stp>
        <stp>@bh,GBPCAD,h1,close,9</stp>
        <tr r="R11" s="3"/>
      </tp>
      <tp>
        <v>1.1168199999999999</v>
        <stp/>
        <stp>21422436</stp>
        <stp>@bh,GBPCHF,h1,close,3</stp>
        <tr r="S5" s="3"/>
      </tp>
      <tp>
        <v>1.1140300000000001</v>
        <stp/>
        <stp>21422436</stp>
        <stp>@bh,GBPCHF,h4,close,6</stp>
        <tr r="S8" s="1"/>
      </tp>
      <tp>
        <v>1.117</v>
        <stp/>
        <stp>21422436</stp>
        <stp>@bh,GBPCHF,h1,close,2</stp>
        <tr r="S4" s="3"/>
      </tp>
      <tp>
        <v>1.1128899999999999</v>
        <stp/>
        <stp>21422436</stp>
        <stp>@bh,GBPCHF,h4,close,7</stp>
        <tr r="S9" s="1"/>
      </tp>
      <tp>
        <v>1.1127</v>
        <stp/>
        <stp>21422436</stp>
        <stp>@bh,GBPCHF,h4,close,8</stp>
        <tr r="S10" s="1"/>
      </tp>
      <tp>
        <v>1.7803599999999999</v>
        <stp/>
        <stp>21422436</stp>
        <stp>@bh,GBPCAD,h1,close,4</stp>
        <tr r="R6" s="3"/>
      </tp>
      <tp>
        <v>1.7803599999999999</v>
        <stp/>
        <stp>21422436</stp>
        <stp>@bh,GBPCAD,h4,close,1</stp>
        <tr r="R3" s="1"/>
      </tp>
      <tp>
        <v>1.1125400000000001</v>
        <stp/>
        <stp>21422436</stp>
        <stp>@bh,GBPCHF,h4,close,9</stp>
        <tr r="S11" s="1"/>
      </tp>
      <tp>
        <v>1.7779799999999999</v>
        <stp/>
        <stp>21422436</stp>
        <stp>@bh,GBPCAD,h1,close,5</stp>
        <tr r="R7" s="3"/>
      </tp>
      <tp>
        <v>1.7806200000000001</v>
        <stp/>
        <stp>21422436</stp>
        <stp>@bh,GBPCAD,h4,close,0</stp>
        <tr r="R2" s="1"/>
      </tp>
      <tp>
        <v>1.77807</v>
        <stp/>
        <stp>21422436</stp>
        <stp>@bh,GBPCAD,h1,close,6</stp>
        <tr r="R8" s="3"/>
      </tp>
      <tp>
        <v>1.7782899999999999</v>
        <stp/>
        <stp>21422436</stp>
        <stp>@bh,GBPCAD,h4,close,3</stp>
        <tr r="R5" s="1"/>
      </tp>
      <tp>
        <v>1.7771999999999999</v>
        <stp/>
        <stp>21422436</stp>
        <stp>@bh,GBPCAD,h1,close,7</stp>
        <tr r="R9" s="3"/>
      </tp>
      <tp>
        <v>1.7775700000000001</v>
        <stp/>
        <stp>21422436</stp>
        <stp>@bh,GBPCAD,h4,close,2</stp>
        <tr r="R4" s="1"/>
      </tp>
      <tp>
        <v>1.11395</v>
        <stp/>
        <stp>21422436</stp>
        <stp>@bh,GBPCHF,h1,close,9</stp>
        <tr r="S11" s="3"/>
      </tp>
      <tp>
        <v>1.7806200000000001</v>
        <stp/>
        <stp>21422436</stp>
        <stp>@bh,GBPCAD,h1,close,0</stp>
        <tr r="R2" s="3"/>
      </tp>
      <tp>
        <v>1.7787900000000001</v>
        <stp/>
        <stp>21422436</stp>
        <stp>@bh,GBPCAD,h4,close,5</stp>
        <tr r="R7" s="1"/>
      </tp>
      <tp>
        <v>1.1138399999999999</v>
        <stp/>
        <stp>21422436</stp>
        <stp>@bh,GBPCHF,h1,close,8</stp>
        <tr r="S10" s="3"/>
      </tp>
      <tp>
        <v>1.78098</v>
        <stp/>
        <stp>21422436</stp>
        <stp>@bh,GBPCAD,h1,close,1</stp>
        <tr r="R3" s="3"/>
      </tp>
      <tp>
        <v>1.7794399999999999</v>
        <stp/>
        <stp>21422436</stp>
        <stp>@bh,GBPCAD,h4,close,4</stp>
        <tr r="R6" s="1"/>
      </tp>
      <tp>
        <v>1.78199</v>
        <stp/>
        <stp>21422436</stp>
        <stp>@bh,GBPCAD,h1,close,2</stp>
        <tr r="R4" s="3"/>
      </tp>
      <tp>
        <v>1.77121</v>
        <stp/>
        <stp>21422436</stp>
        <stp>@bh,GBPCAD,h4,close,7</stp>
        <tr r="R9" s="1"/>
      </tp>
      <tp>
        <v>1.7820199999999999</v>
        <stp/>
        <stp>21422436</stp>
        <stp>@bh,GBPCAD,h1,close,3</stp>
        <tr r="R5" s="3"/>
      </tp>
      <tp>
        <v>1.77386</v>
        <stp/>
        <stp>21422436</stp>
        <stp>@bh,GBPCAD,h4,close,6</stp>
        <tr r="R8" s="1"/>
      </tp>
      <tp>
        <v>187.02099999999999</v>
        <stp/>
        <stp>21422436</stp>
        <stp>@bh,GBPJPY,d1,close,9</stp>
        <tr r="T11" s="2"/>
      </tp>
      <tp>
        <v>187.887</v>
        <stp/>
        <stp>21422436</stp>
        <stp>@bh,GBPJPY,d1,close,8</stp>
        <tr r="T10" s="2"/>
      </tp>
      <tp>
        <v>191.874</v>
        <stp/>
        <stp>21422436</stp>
        <stp>@bh,GBPJPY,d1,close,5</stp>
        <tr r="T7" s="2"/>
      </tp>
      <tp>
        <v>191.05199999999999</v>
        <stp/>
        <stp>21422436</stp>
        <stp>@bh,GBPJPY,d1,close,4</stp>
        <tr r="T6" s="2"/>
      </tp>
      <tp>
        <v>188.88200000000001</v>
        <stp/>
        <stp>21422436</stp>
        <stp>@bh,GBPJPY,d1,close,7</stp>
        <tr r="T9" s="2"/>
      </tp>
      <tp>
        <v>188.929</v>
        <stp/>
        <stp>21422436</stp>
        <stp>@bh,GBPJPY,d1,close,6</stp>
        <tr r="T8" s="2"/>
      </tp>
      <tp>
        <v>190.173</v>
        <stp/>
        <stp>21422436</stp>
        <stp>@bh,GBPJPY,d1,close,1</stp>
        <tr r="T3" s="2"/>
      </tp>
      <tp>
        <v>191.417</v>
        <stp/>
        <stp>21422436</stp>
        <stp>@bh,GBPJPY,d1,close,0</stp>
        <tr r="T2" s="2"/>
      </tp>
      <tp>
        <v>190.44499999999999</v>
        <stp/>
        <stp>21422436</stp>
        <stp>@bh,GBPJPY,d1,close,3</stp>
        <tr r="T5" s="2"/>
      </tp>
      <tp>
        <v>189.32900000000001</v>
        <stp/>
        <stp>21422436</stp>
        <stp>@bh,GBPJPY,d1,close,2</stp>
        <tr r="T4" s="2"/>
      </tp>
      <tp>
        <v>1.2765200000000001</v>
        <stp/>
        <stp>21422436</stp>
        <stp>@bh,GBPUSD,d1,close,8</stp>
        <tr r="O10" s="2"/>
      </tp>
      <tp>
        <v>1.27579</v>
        <stp/>
        <stp>21422436</stp>
        <stp>@bh,GBPUSD,d1,close,9</stp>
        <tr r="O11" s="2"/>
      </tp>
      <tp>
        <v>1.2825500000000001</v>
        <stp/>
        <stp>21422436</stp>
        <stp>@bh,GBPUSD,d1,close,6</stp>
        <tr r="O8" s="2"/>
      </tp>
      <tp>
        <v>1.2862899999999999</v>
        <stp/>
        <stp>21422436</stp>
        <stp>@bh,GBPUSD,d1,close,7</stp>
        <tr r="O9" s="2"/>
      </tp>
      <tp>
        <v>1.2945</v>
        <stp/>
        <stp>21422436</stp>
        <stp>@bh,GBPUSD,d1,close,4</stp>
        <tr r="O6" s="2"/>
      </tp>
      <tp>
        <v>1.2853300000000001</v>
        <stp/>
        <stp>21422436</stp>
        <stp>@bh,GBPUSD,d1,close,5</stp>
        <tr r="O7" s="2"/>
      </tp>
      <tp>
        <v>1.3033699999999999</v>
        <stp/>
        <stp>21422436</stp>
        <stp>@bh,GBPUSD,d1,close,2</stp>
        <tr r="O4" s="2"/>
      </tp>
      <tp>
        <v>1.2990699999999999</v>
        <stp/>
        <stp>21422436</stp>
        <stp>@bh,GBPUSD,d1,close,3</stp>
        <tr r="O5" s="2"/>
      </tp>
      <tp>
        <v>1.31026</v>
        <stp/>
        <stp>21422436</stp>
        <stp>@bh,GBPUSD,d1,close,0</stp>
        <tr r="O2" s="2"/>
      </tp>
      <tp>
        <v>1.3090900000000001</v>
        <stp/>
        <stp>21422436</stp>
        <stp>@bh,GBPUSD,d1,close,1</stp>
        <tr r="O3" s="2"/>
      </tp>
      <tp>
        <v>1.3034600000000001</v>
        <stp/>
        <stp>21422436</stp>
        <stp>@bh,GBPUSD,h4,close,9</stp>
        <tr r="O11" s="1"/>
      </tp>
      <tp>
        <v>1.3026599999999999</v>
        <stp/>
        <stp>21422436</stp>
        <stp>@bh,GBPUSD,h4,close,8</stp>
        <tr r="O10" s="1"/>
      </tp>
      <tp>
        <v>1.3083899999999999</v>
        <stp/>
        <stp>21422436</stp>
        <stp>@bh,GBPUSD,h1,close,8</stp>
        <tr r="O10" s="3"/>
      </tp>
      <tp>
        <v>1.3086800000000001</v>
        <stp/>
        <stp>21422436</stp>
        <stp>@bh,GBPUSD,h1,close,9</stp>
        <tr r="O11" s="3"/>
      </tp>
      <tp>
        <v>1.30925</v>
        <stp/>
        <stp>21422436</stp>
        <stp>@bh,GBPUSD,h1,close,6</stp>
        <tr r="O8" s="3"/>
      </tp>
      <tp>
        <v>1.30901</v>
        <stp/>
        <stp>21422436</stp>
        <stp>@bh,GBPUSD,h4,close,3</stp>
        <tr r="O5" s="1"/>
      </tp>
      <tp>
        <v>1.30836</v>
        <stp/>
        <stp>21422436</stp>
        <stp>@bh,GBPUSD,h1,close,7</stp>
        <tr r="O9" s="3"/>
      </tp>
      <tp>
        <v>1.3083899999999999</v>
        <stp/>
        <stp>21422436</stp>
        <stp>@bh,GBPUSD,h4,close,2</stp>
        <tr r="O4" s="1"/>
      </tp>
      <tp>
        <v>1.3113900000000001</v>
        <stp/>
        <stp>21422436</stp>
        <stp>@bh,GBPUSD,h1,close,4</stp>
        <tr r="O6" s="3"/>
      </tp>
      <tp>
        <v>1.3113900000000001</v>
        <stp/>
        <stp>21422436</stp>
        <stp>@bh,GBPUSD,h4,close,1</stp>
        <tr r="O3" s="1"/>
      </tp>
      <tp>
        <v>1.30979</v>
        <stp/>
        <stp>21422436</stp>
        <stp>@bh,GBPUSD,h1,close,5</stp>
        <tr r="O7" s="3"/>
      </tp>
      <tp>
        <v>1.31026</v>
        <stp/>
        <stp>21422436</stp>
        <stp>@bh,GBPUSD,h4,close,0</stp>
        <tr r="O2" s="1"/>
      </tp>
      <tp>
        <v>1.3120799999999999</v>
        <stp/>
        <stp>21422436</stp>
        <stp>@bh,GBPUSD,h1,close,2</stp>
        <tr r="O4" s="3"/>
      </tp>
      <tp>
        <v>1.30132</v>
        <stp/>
        <stp>21422436</stp>
        <stp>@bh,GBPUSD,h4,close,7</stp>
        <tr r="O9" s="1"/>
      </tp>
      <tp>
        <v>1.31254</v>
        <stp/>
        <stp>21422436</stp>
        <stp>@bh,GBPUSD,h1,close,3</stp>
        <tr r="O5" s="3"/>
      </tp>
      <tp>
        <v>1.3045100000000001</v>
        <stp/>
        <stp>21422436</stp>
        <stp>@bh,GBPUSD,h4,close,6</stp>
        <tr r="O8" s="1"/>
      </tp>
      <tp>
        <v>1.31026</v>
        <stp/>
        <stp>21422436</stp>
        <stp>@bh,GBPUSD,h1,close,0</stp>
        <tr r="O2" s="3"/>
      </tp>
      <tp>
        <v>1.3089299999999999</v>
        <stp/>
        <stp>21422436</stp>
        <stp>@bh,GBPUSD,h4,close,5</stp>
        <tr r="O7" s="1"/>
      </tp>
      <tp>
        <v>1.3111999999999999</v>
        <stp/>
        <stp>21422436</stp>
        <stp>@bh,GBPUSD,h1,close,1</stp>
        <tr r="O3" s="3"/>
      </tp>
      <tp>
        <v>1.3090900000000001</v>
        <stp/>
        <stp>21422436</stp>
        <stp>@bh,GBPUSD,h4,close,4</stp>
        <tr r="O6" s="1"/>
      </tp>
      <tp>
        <v>161.97499999999999</v>
        <stp/>
        <stp>21422436</stp>
        <stp>@bh,EURJPY,h4,close,8</stp>
        <tr r="L10" s="1"/>
      </tp>
      <tp>
        <v>161.85400000000001</v>
        <stp/>
        <stp>21422436</stp>
        <stp>@bh,EURJPY,h4,close,9</stp>
        <tr r="L11" s="1"/>
      </tp>
      <tp>
        <v>161.89400000000001</v>
        <stp/>
        <stp>21422436</stp>
        <stp>@bh,EURJPY,h1,close,9</stp>
        <tr r="L11" s="3"/>
      </tp>
      <tp>
        <v>161.72900000000001</v>
        <stp/>
        <stp>21422436</stp>
        <stp>@bh,EURJPY,h1,close,8</stp>
        <tr r="L10" s="3"/>
      </tp>
      <tp>
        <v>161.87</v>
        <stp/>
        <stp>21422436</stp>
        <stp>@bh,EURJPY,h1,close,7</stp>
        <tr r="L9" s="3"/>
      </tp>
      <tp>
        <v>161.72900000000001</v>
        <stp/>
        <stp>21422436</stp>
        <stp>@bh,EURJPY,h4,close,2</stp>
        <tr r="L4" s="1"/>
      </tp>
      <tp>
        <v>162.09100000000001</v>
        <stp/>
        <stp>21422436</stp>
        <stp>@bh,EURJPY,h1,close,6</stp>
        <tr r="L8" s="3"/>
      </tp>
      <tp>
        <v>162.01</v>
        <stp/>
        <stp>21422436</stp>
        <stp>@bh,EURJPY,h4,close,3</stp>
        <tr r="L5" s="1"/>
      </tp>
      <tp>
        <v>161.761</v>
        <stp/>
        <stp>21422436</stp>
        <stp>@bh,EURJPY,h1,close,5</stp>
        <tr r="L7" s="3"/>
      </tp>
      <tp>
        <v>162.654</v>
        <stp/>
        <stp>21422436</stp>
        <stp>@bh,EURJPY,h4,close,0</stp>
        <tr r="L2" s="1"/>
      </tp>
      <tp>
        <v>162.27600000000001</v>
        <stp/>
        <stp>21422436</stp>
        <stp>@bh,EURJPY,h1,close,4</stp>
        <tr r="L6" s="3"/>
      </tp>
      <tp>
        <v>162.27600000000001</v>
        <stp/>
        <stp>21422436</stp>
        <stp>@bh,EURJPY,h4,close,1</stp>
        <tr r="L3" s="1"/>
      </tp>
      <tp>
        <v>162.19800000000001</v>
        <stp/>
        <stp>21422436</stp>
        <stp>@bh,EURJPY,h1,close,3</stp>
        <tr r="L5" s="3"/>
      </tp>
      <tp>
        <v>162.17400000000001</v>
        <stp/>
        <stp>21422436</stp>
        <stp>@bh,EURJPY,h4,close,6</stp>
        <tr r="L8" s="1"/>
      </tp>
      <tp>
        <v>162.458</v>
        <stp/>
        <stp>21422436</stp>
        <stp>@bh,EURJPY,h1,close,2</stp>
        <tr r="L4" s="3"/>
      </tp>
      <tp>
        <v>162.36500000000001</v>
        <stp/>
        <stp>21422436</stp>
        <stp>@bh,EURJPY,h4,close,7</stp>
        <tr r="L9" s="1"/>
      </tp>
      <tp>
        <v>162.589</v>
        <stp/>
        <stp>21422436</stp>
        <stp>@bh,EURJPY,h1,close,1</stp>
        <tr r="L3" s="3"/>
      </tp>
      <tp>
        <v>161.98099999999999</v>
        <stp/>
        <stp>21422436</stp>
        <stp>@bh,EURJPY,h4,close,4</stp>
        <tr r="L6" s="1"/>
      </tp>
      <tp>
        <v>162.654</v>
        <stp/>
        <stp>21422436</stp>
        <stp>@bh,EURJPY,h1,close,0</stp>
        <tr r="L2" s="3"/>
      </tp>
      <tp>
        <v>161.83600000000001</v>
        <stp/>
        <stp>21422436</stp>
        <stp>@bh,EURJPY,h4,close,5</stp>
        <tr r="L7" s="1"/>
      </tp>
      <tp>
        <v>0.85557000000000005</v>
        <stp/>
        <stp>21422436</stp>
        <stp>@bh,EURGBP,d1,close,9</stp>
        <tr r="J11" s="2"/>
      </tp>
      <tp>
        <v>0.85633000000000004</v>
        <stp/>
        <stp>21422436</stp>
        <stp>@bh,EURGBP,d1,close,8</stp>
        <tr r="J10" s="2"/>
      </tp>
      <tp>
        <v>0.85350999999999999</v>
        <stp/>
        <stp>21422436</stp>
        <stp>@bh,EURGBP,d1,close,5</stp>
        <tr r="J7" s="2"/>
      </tp>
      <tp>
        <v>0.85172999999999999</v>
        <stp/>
        <stp>21422436</stp>
        <stp>@bh,EURGBP,d1,close,4</stp>
        <tr r="J6" s="2"/>
      </tp>
      <tp>
        <v>0.85462000000000005</v>
        <stp/>
        <stp>21422436</stp>
        <stp>@bh,EURGBP,d1,close,7</stp>
        <tr r="J9" s="2"/>
      </tp>
      <tp>
        <v>0.85846</v>
        <stp/>
        <stp>21422436</stp>
        <stp>@bh,EURGBP,d1,close,6</stp>
        <tr r="J8" s="2"/>
      </tp>
      <tp>
        <v>0.85175000000000001</v>
        <stp/>
        <stp>21422436</stp>
        <stp>@bh,EURGBP,d1,close,1</stp>
        <tr r="J3" s="2"/>
      </tp>
      <tp>
        <v>0.84967000000000004</v>
        <stp/>
        <stp>21422436</stp>
        <stp>@bh,EURGBP,d1,close,0</stp>
        <tr r="J2" s="2"/>
      </tp>
      <tp>
        <v>0.85323000000000004</v>
        <stp/>
        <stp>21422436</stp>
        <stp>@bh,EURGBP,d1,close,3</stp>
        <tr r="J5" s="2"/>
      </tp>
      <tp>
        <v>0.85397000000000001</v>
        <stp/>
        <stp>21422436</stp>
        <stp>@bh,EURGBP,d1,close,2</stp>
        <tr r="J4" s="2"/>
      </tp>
      <tp>
        <v>1.65987</v>
        <stp/>
        <stp>21422436</stp>
        <stp>@bh,EURAUD,d1,close,8</stp>
        <tr r="M10" s="2"/>
      </tp>
      <tp>
        <v>1.6607400000000001</v>
        <stp/>
        <stp>21422436</stp>
        <stp>@bh,EURAUD,d1,close,9</stp>
        <tr r="M11" s="2"/>
      </tp>
      <tp>
        <v>1.6495899999999999</v>
        <stp/>
        <stp>21422436</stp>
        <stp>@bh,EURAUD,d1,close,2</stp>
        <tr r="M4" s="2"/>
      </tp>
      <tp>
        <v>1.6465099999999999</v>
        <stp/>
        <stp>21422436</stp>
        <stp>@bh,EURAUD,d1,close,3</stp>
        <tr r="M5" s="2"/>
      </tp>
      <tp>
        <v>1.65486</v>
        <stp/>
        <stp>21422436</stp>
        <stp>@bh,EURAUD,d1,close,0</stp>
        <tr r="M2" s="2"/>
      </tp>
      <tp>
        <v>1.6532100000000001</v>
        <stp/>
        <stp>21422436</stp>
        <stp>@bh,EURAUD,d1,close,1</stp>
        <tr r="M3" s="2"/>
      </tp>
      <tp>
        <v>1.66934</v>
        <stp/>
        <stp>21422436</stp>
        <stp>@bh,EURAUD,d1,close,6</stp>
        <tr r="M8" s="2"/>
      </tp>
      <tp>
        <v>1.6570199999999999</v>
        <stp/>
        <stp>21422436</stp>
        <stp>@bh,EURAUD,d1,close,7</stp>
        <tr r="M9" s="2"/>
      </tp>
      <tp>
        <v>1.65337</v>
        <stp/>
        <stp>21422436</stp>
        <stp>@bh,EURAUD,d1,close,4</stp>
        <tr r="M6" s="2"/>
      </tp>
      <tp>
        <v>1.6596299999999999</v>
        <stp/>
        <stp>21422436</stp>
        <stp>@bh,EURAUD,d1,close,5</stp>
        <tr r="M7" s="2"/>
      </tp>
      <tp>
        <v>1.8063</v>
        <stp/>
        <stp>21422436</stp>
        <stp>@bh,EURNZD,h1,close,5</stp>
        <tr r="N7" s="3"/>
      </tp>
      <tp>
        <v>1.8108200000000001</v>
        <stp/>
        <stp>21422436</stp>
        <stp>@bh,EURNZD,h4,close,0</stp>
        <tr r="N2" s="1"/>
      </tp>
      <tp>
        <v>1.8085100000000001</v>
        <stp/>
        <stp>21422436</stp>
        <stp>@bh,EURNZD,h1,close,4</stp>
        <tr r="N6" s="3"/>
      </tp>
      <tp>
        <v>1.8085100000000001</v>
        <stp/>
        <stp>21422436</stp>
        <stp>@bh,EURNZD,h4,close,1</stp>
        <tr r="N3" s="1"/>
      </tp>
      <tp>
        <v>1.8108200000000001</v>
        <stp/>
        <stp>21422436</stp>
        <stp>@bh,EURNZD,h1,close,7</stp>
        <tr r="N9" s="3"/>
      </tp>
      <tp>
        <v>1.81151</v>
        <stp/>
        <stp>21422436</stp>
        <stp>@bh,EURNZD,h4,close,2</stp>
        <tr r="N4" s="1"/>
      </tp>
      <tp>
        <v>1.81036</v>
        <stp/>
        <stp>21422436</stp>
        <stp>@bh,EURNZD,h1,close,6</stp>
        <tr r="N8" s="3"/>
      </tp>
      <tp>
        <v>1.81128</v>
        <stp/>
        <stp>21422436</stp>
        <stp>@bh,EURNZD,h4,close,3</stp>
        <tr r="N5" s="1"/>
      </tp>
      <tp>
        <v>1.8103800000000001</v>
        <stp/>
        <stp>21422436</stp>
        <stp>@bh,EURNZD,h1,close,1</stp>
        <tr r="N3" s="3"/>
      </tp>
      <tp>
        <v>1.81105</v>
        <stp/>
        <stp>21422436</stp>
        <stp>@bh,EURNZD,h4,close,4</stp>
        <tr r="N6" s="1"/>
      </tp>
      <tp>
        <v>1.8108200000000001</v>
        <stp/>
        <stp>21422436</stp>
        <stp>@bh,EURNZD,h1,close,0</stp>
        <tr r="N2" s="3"/>
      </tp>
      <tp>
        <v>1.8105800000000001</v>
        <stp/>
        <stp>21422436</stp>
        <stp>@bh,EURNZD,h4,close,5</stp>
        <tr r="N7" s="1"/>
      </tp>
      <tp>
        <v>1.80836</v>
        <stp/>
        <stp>21422436</stp>
        <stp>@bh,EURNZD,h1,close,3</stp>
        <tr r="N5" s="3"/>
      </tp>
      <tp>
        <v>1.8101100000000001</v>
        <stp/>
        <stp>21422436</stp>
        <stp>@bh,EURNZD,h4,close,6</stp>
        <tr r="N8" s="1"/>
      </tp>
      <tp>
        <v>1.8104899999999999</v>
        <stp/>
        <stp>21422436</stp>
        <stp>@bh,EURNZD,h1,close,2</stp>
        <tr r="N4" s="3"/>
      </tp>
      <tp>
        <v>1.81128</v>
        <stp/>
        <stp>21422436</stp>
        <stp>@bh,EURNZD,h4,close,7</stp>
        <tr r="N9" s="1"/>
      </tp>
      <tp>
        <v>1.81013</v>
        <stp/>
        <stp>21422436</stp>
        <stp>@bh,EURNZD,h4,close,8</stp>
        <tr r="N10" s="1"/>
      </tp>
      <tp>
        <v>1.80559</v>
        <stp/>
        <stp>21422436</stp>
        <stp>@bh,EURNZD,h4,close,9</stp>
        <tr r="N11" s="1"/>
      </tp>
      <tp>
        <v>1.81209</v>
        <stp/>
        <stp>21422436</stp>
        <stp>@bh,EURNZD,h1,close,9</stp>
        <tr r="N11" s="3"/>
      </tp>
      <tp>
        <v>1.81151</v>
        <stp/>
        <stp>21422436</stp>
        <stp>@bh,EURNZD,h1,close,8</stp>
        <tr r="N10" s="3"/>
      </tp>
      <tp>
        <v>0.95062999999999998</v>
        <stp/>
        <stp>21422436</stp>
        <stp>@bh,EURCHF,d1,close,7</stp>
        <tr r="K9" s="2"/>
      </tp>
      <tp>
        <v>0.95267999999999997</v>
        <stp/>
        <stp>21422436</stp>
        <stp>@bh,EURCHF,d1,close,6</stp>
        <tr r="K8" s="2"/>
      </tp>
      <tp>
        <v>0.95728000000000002</v>
        <stp/>
        <stp>21422436</stp>
        <stp>@bh,EURCHF,d1,close,5</stp>
        <tr r="K7" s="2"/>
      </tp>
      <tp>
        <v>0.95503000000000005</v>
        <stp/>
        <stp>21422436</stp>
        <stp>@bh,EURCHF,d1,close,4</stp>
        <tr r="K6" s="2"/>
      </tp>
      <tp>
        <v>0.95650000000000002</v>
        <stp/>
        <stp>21422436</stp>
        <stp>@bh,EURCHF,d1,close,3</stp>
        <tr r="K5" s="2"/>
      </tp>
      <tp>
        <v>0.95052000000000003</v>
        <stp/>
        <stp>21422436</stp>
        <stp>@bh,EURCHF,d1,close,2</stp>
        <tr r="K4" s="2"/>
      </tp>
      <tp>
        <v>1.5022599999999999</v>
        <stp/>
        <stp>21422436</stp>
        <stp>@bh,EURCAD,d1,close,8</stp>
        <tr r="I10" s="2"/>
      </tp>
      <tp>
        <v>0.94960999999999995</v>
        <stp/>
        <stp>21422436</stp>
        <stp>@bh,EURCHF,d1,close,1</stp>
        <tr r="K3" s="2"/>
      </tp>
      <tp>
        <v>1.49854</v>
        <stp/>
        <stp>21422436</stp>
        <stp>@bh,EURCAD,d1,close,9</stp>
        <tr r="I11" s="2"/>
      </tp>
      <tp>
        <v>0.94874999999999998</v>
        <stp/>
        <stp>21422436</stp>
        <stp>@bh,EURCHF,d1,close,0</stp>
        <tr r="K2" s="2"/>
      </tp>
      <tp>
        <v>1.5101599999999999</v>
        <stp/>
        <stp>21422436</stp>
        <stp>@bh,EURCAD,d1,close,6</stp>
        <tr r="I8" s="2"/>
      </tp>
      <tp>
        <v>1.50665</v>
        <stp/>
        <stp>21422436</stp>
        <stp>@bh,EURCAD,d1,close,7</stp>
        <tr r="I9" s="2"/>
      </tp>
      <tp>
        <v>1.5085500000000001</v>
        <stp/>
        <stp>21422436</stp>
        <stp>@bh,EURCAD,d1,close,4</stp>
        <tr r="I6" s="2"/>
      </tp>
      <tp>
        <v>1.5061</v>
        <stp/>
        <stp>21422436</stp>
        <stp>@bh,EURCAD,d1,close,5</stp>
        <tr r="I7" s="2"/>
      </tp>
      <tp>
        <v>1.51589</v>
        <stp/>
        <stp>21422436</stp>
        <stp>@bh,EURCAD,d1,close,2</stp>
        <tr r="I4" s="2"/>
      </tp>
      <tp>
        <v>1.51122</v>
        <stp/>
        <stp>21422436</stp>
        <stp>@bh,EURCAD,d1,close,3</stp>
        <tr r="I5" s="2"/>
      </tp>
      <tp>
        <v>1.5129600000000001</v>
        <stp/>
        <stp>21422436</stp>
        <stp>@bh,EURCAD,d1,close,0</stp>
        <tr r="I2" s="2"/>
      </tp>
      <tp>
        <v>0.94435000000000002</v>
        <stp/>
        <stp>21422436</stp>
        <stp>@bh,EURCHF,d1,close,9</stp>
        <tr r="K11" s="2"/>
      </tp>
      <tp>
        <v>1.5156000000000001</v>
        <stp/>
        <stp>21422436</stp>
        <stp>@bh,EURCAD,d1,close,1</stp>
        <tr r="I3" s="2"/>
      </tp>
      <tp>
        <v>0.94581000000000004</v>
        <stp/>
        <stp>21422436</stp>
        <stp>@bh,EURCHF,d1,close,8</stp>
        <tr r="K10" s="2"/>
      </tp>
      <tp>
        <v>1.6544399999999999</v>
        <stp/>
        <stp>21422436</stp>
        <stp>@bh,EURAUD,h1,close,8</stp>
        <tr r="M10" s="3"/>
      </tp>
      <tp>
        <v>1.65533</v>
        <stp/>
        <stp>21422436</stp>
        <stp>@bh,EURAUD,h1,close,9</stp>
        <tr r="M11" s="3"/>
      </tp>
      <tp>
        <v>1.6485099999999999</v>
        <stp/>
        <stp>21422436</stp>
        <stp>@bh,EURAUD,h4,close,9</stp>
        <tr r="M11" s="1"/>
      </tp>
      <tp>
        <v>1.6486400000000001</v>
        <stp/>
        <stp>21422436</stp>
        <stp>@bh,EURAUD,h4,close,8</stp>
        <tr r="M10" s="1"/>
      </tp>
      <tp>
        <v>1.6544300000000001</v>
        <stp/>
        <stp>21422436</stp>
        <stp>@bh,EURAUD,h1,close,2</stp>
        <tr r="M4" s="3"/>
      </tp>
      <tp>
        <v>1.65065</v>
        <stp/>
        <stp>21422436</stp>
        <stp>@bh,EURAUD,h4,close,7</stp>
        <tr r="M9" s="1"/>
      </tp>
      <tp>
        <v>1.6527499999999999</v>
        <stp/>
        <stp>21422436</stp>
        <stp>@bh,EURAUD,h1,close,3</stp>
        <tr r="M5" s="3"/>
      </tp>
      <tp>
        <v>1.64984</v>
        <stp/>
        <stp>21422436</stp>
        <stp>@bh,EURAUD,h4,close,6</stp>
        <tr r="M8" s="1"/>
      </tp>
      <tp>
        <v>1.65486</v>
        <stp/>
        <stp>21422436</stp>
        <stp>@bh,EURAUD,h1,close,0</stp>
        <tr r="M2" s="3"/>
      </tp>
      <tp>
        <v>1.6533800000000001</v>
        <stp/>
        <stp>21422436</stp>
        <stp>@bh,EURAUD,h4,close,5</stp>
        <tr r="M7" s="1"/>
      </tp>
      <tp>
        <v>1.6546000000000001</v>
        <stp/>
        <stp>21422436</stp>
        <stp>@bh,EURAUD,h1,close,1</stp>
        <tr r="M3" s="3"/>
      </tp>
      <tp>
        <v>1.6532100000000001</v>
        <stp/>
        <stp>21422436</stp>
        <stp>@bh,EURAUD,h4,close,4</stp>
        <tr r="M6" s="1"/>
      </tp>
      <tp>
        <v>1.6539999999999999</v>
        <stp/>
        <stp>21422436</stp>
        <stp>@bh,EURAUD,h1,close,6</stp>
        <tr r="M8" s="3"/>
      </tp>
      <tp>
        <v>1.6530899999999999</v>
        <stp/>
        <stp>21422436</stp>
        <stp>@bh,EURAUD,h4,close,3</stp>
        <tr r="M5" s="1"/>
      </tp>
      <tp>
        <v>1.6535500000000001</v>
        <stp/>
        <stp>21422436</stp>
        <stp>@bh,EURAUD,h1,close,7</stp>
        <tr r="M9" s="3"/>
      </tp>
      <tp>
        <v>1.6544399999999999</v>
        <stp/>
        <stp>21422436</stp>
        <stp>@bh,EURAUD,h4,close,2</stp>
        <tr r="M4" s="1"/>
      </tp>
      <tp>
        <v>1.6517200000000001</v>
        <stp/>
        <stp>21422436</stp>
        <stp>@bh,EURAUD,h1,close,4</stp>
        <tr r="M6" s="3"/>
      </tp>
      <tp>
        <v>1.6517200000000001</v>
        <stp/>
        <stp>21422436</stp>
        <stp>@bh,EURAUD,h4,close,1</stp>
        <tr r="M3" s="1"/>
      </tp>
      <tp>
        <v>1.65028</v>
        <stp/>
        <stp>21422436</stp>
        <stp>@bh,EURAUD,h1,close,5</stp>
        <tr r="M7" s="3"/>
      </tp>
      <tp>
        <v>1.65486</v>
        <stp/>
        <stp>21422436</stp>
        <stp>@bh,EURAUD,h4,close,0</stp>
        <tr r="M2" s="1"/>
      </tp>
      <tp>
        <v>1.83327</v>
        <stp/>
        <stp>21422436</stp>
        <stp>@bh,EURNZD,d1,close,5</stp>
        <tr r="N7" s="2"/>
      </tp>
      <tp>
        <v>1.8213600000000001</v>
        <stp/>
        <stp>21422436</stp>
        <stp>@bh,EURNZD,d1,close,4</stp>
        <tr r="N6" s="2"/>
      </tp>
      <tp>
        <v>1.8088299999999999</v>
        <stp/>
        <stp>21422436</stp>
        <stp>@bh,EURNZD,d1,close,7</stp>
        <tr r="N9" s="2"/>
      </tp>
      <tp>
        <v>1.8364100000000001</v>
        <stp/>
        <stp>21422436</stp>
        <stp>@bh,EURNZD,d1,close,6</stp>
        <tr r="N8" s="2"/>
      </tp>
      <tp>
        <v>1.81105</v>
        <stp/>
        <stp>21422436</stp>
        <stp>@bh,EURNZD,d1,close,1</stp>
        <tr r="N3" s="2"/>
      </tp>
      <tp>
        <v>1.8108200000000001</v>
        <stp/>
        <stp>21422436</stp>
        <stp>@bh,EURNZD,d1,close,0</stp>
        <tr r="N2" s="2"/>
      </tp>
      <tp>
        <v>1.8128200000000001</v>
        <stp/>
        <stp>21422436</stp>
        <stp>@bh,EURNZD,d1,close,3</stp>
        <tr r="N5" s="2"/>
      </tp>
      <tp>
        <v>1.8085800000000001</v>
        <stp/>
        <stp>21422436</stp>
        <stp>@bh,EURNZD,d1,close,2</stp>
        <tr r="N4" s="2"/>
      </tp>
      <tp>
        <v>1.8190999999999999</v>
        <stp/>
        <stp>21422436</stp>
        <stp>@bh,EURNZD,d1,close,9</stp>
        <tr r="N11" s="2"/>
      </tp>
      <tp>
        <v>1.8164800000000001</v>
        <stp/>
        <stp>21422436</stp>
        <stp>@bh,EURNZD,d1,close,8</stp>
        <tr r="N10" s="2"/>
      </tp>
      <tp>
        <v>0.94874999999999998</v>
        <stp/>
        <stp>21422436</stp>
        <stp>@bh,EURCHF,h1,close,7</stp>
        <tr r="K9" s="3"/>
      </tp>
      <tp>
        <v>0.94874999999999998</v>
        <stp/>
        <stp>21422436</stp>
        <stp>@bh,EURCHF,h4,close,2</stp>
        <tr r="K4" s="1"/>
      </tp>
      <tp>
        <v>0.94867999999999997</v>
        <stp/>
        <stp>21422436</stp>
        <stp>@bh,EURCHF,h1,close,6</stp>
        <tr r="K8" s="3"/>
      </tp>
      <tp>
        <v>0.94954000000000005</v>
        <stp/>
        <stp>21422436</stp>
        <stp>@bh,EURCHF,h4,close,3</stp>
        <tr r="K5" s="1"/>
      </tp>
      <tp>
        <v>1.5152099999999999</v>
        <stp/>
        <stp>21422436</stp>
        <stp>@bh,EURCAD,h4,close,9</stp>
        <tr r="I11" s="1"/>
      </tp>
      <tp>
        <v>0.94682999999999995</v>
        <stp/>
        <stp>21422436</stp>
        <stp>@bh,EURCHF,h1,close,5</stp>
        <tr r="K7" s="3"/>
      </tp>
      <tp>
        <v>0.94874999999999998</v>
        <stp/>
        <stp>21422436</stp>
        <stp>@bh,EURCHF,h4,close,0</stp>
        <tr r="K2" s="1"/>
      </tp>
      <tp>
        <v>1.5138199999999999</v>
        <stp/>
        <stp>21422436</stp>
        <stp>@bh,EURCAD,h4,close,8</stp>
        <tr r="I10" s="1"/>
      </tp>
      <tp>
        <v>0.94847999999999999</v>
        <stp/>
        <stp>21422436</stp>
        <stp>@bh,EURCHF,h1,close,4</stp>
        <tr r="K6" s="3"/>
      </tp>
      <tp>
        <v>0.94847999999999999</v>
        <stp/>
        <stp>21422436</stp>
        <stp>@bh,EURCHF,h4,close,1</stp>
        <tr r="K3" s="1"/>
      </tp>
      <tp>
        <v>0.94798000000000004</v>
        <stp/>
        <stp>21422436</stp>
        <stp>@bh,EURCHF,h1,close,3</stp>
        <tr r="K5" s="3"/>
      </tp>
      <tp>
        <v>0.95006999999999997</v>
        <stp/>
        <stp>21422436</stp>
        <stp>@bh,EURCHF,h4,close,6</stp>
        <tr r="K8" s="1"/>
      </tp>
      <tp>
        <v>0.94894000000000001</v>
        <stp/>
        <stp>21422436</stp>
        <stp>@bh,EURCHF,h1,close,2</stp>
        <tr r="K4" s="3"/>
      </tp>
      <tp>
        <v>0.95087999999999995</v>
        <stp/>
        <stp>21422436</stp>
        <stp>@bh,EURCHF,h4,close,7</stp>
        <tr r="K9" s="1"/>
      </tp>
      <tp>
        <v>1.51397</v>
        <stp/>
        <stp>21422436</stp>
        <stp>@bh,EURCAD,h1,close,8</stp>
        <tr r="I10" s="3"/>
      </tp>
      <tp>
        <v>0.94881000000000004</v>
        <stp/>
        <stp>21422436</stp>
        <stp>@bh,EURCHF,h1,close,1</stp>
        <tr r="K3" s="3"/>
      </tp>
      <tp>
        <v>0.94960999999999995</v>
        <stp/>
        <stp>21422436</stp>
        <stp>@bh,EURCHF,h4,close,4</stp>
        <tr r="K6" s="1"/>
      </tp>
      <tp>
        <v>1.51416</v>
        <stp/>
        <stp>21422436</stp>
        <stp>@bh,EURCAD,h1,close,9</stp>
        <tr r="I11" s="3"/>
      </tp>
      <tp>
        <v>0.94874999999999998</v>
        <stp/>
        <stp>21422436</stp>
        <stp>@bh,EURCHF,h1,close,0</stp>
        <tr r="K2" s="3"/>
      </tp>
      <tp>
        <v>0.94891000000000003</v>
        <stp/>
        <stp>21422436</stp>
        <stp>@bh,EURCHF,h4,close,5</stp>
        <tr r="K7" s="1"/>
      </tp>
      <tp>
        <v>1.51424</v>
        <stp/>
        <stp>21422436</stp>
        <stp>@bh,EURCAD,h1,close,6</stp>
        <tr r="I8" s="3"/>
      </tp>
      <tp>
        <v>1.51451</v>
        <stp/>
        <stp>21422436</stp>
        <stp>@bh,EURCAD,h4,close,3</stp>
        <tr r="I5" s="1"/>
      </tp>
      <tp>
        <v>1.5136499999999999</v>
        <stp/>
        <stp>21422436</stp>
        <stp>@bh,EURCAD,h1,close,7</stp>
        <tr r="I9" s="3"/>
      </tp>
      <tp>
        <v>1.51397</v>
        <stp/>
        <stp>21422436</stp>
        <stp>@bh,EURCAD,h4,close,2</stp>
        <tr r="I4" s="1"/>
      </tp>
      <tp>
        <v>1.5127900000000001</v>
        <stp/>
        <stp>21422436</stp>
        <stp>@bh,EURCAD,h1,close,4</stp>
        <tr r="I6" s="3"/>
      </tp>
      <tp>
        <v>1.5127900000000001</v>
        <stp/>
        <stp>21422436</stp>
        <stp>@bh,EURCAD,h4,close,1</stp>
        <tr r="I3" s="1"/>
      </tp>
      <tp>
        <v>0.94974999999999998</v>
        <stp/>
        <stp>21422436</stp>
        <stp>@bh,EURCHF,h4,close,8</stp>
        <tr r="K10" s="1"/>
      </tp>
      <tp>
        <v>1.51186</v>
        <stp/>
        <stp>21422436</stp>
        <stp>@bh,EURCAD,h1,close,5</stp>
        <tr r="I7" s="3"/>
      </tp>
      <tp>
        <v>1.5129600000000001</v>
        <stp/>
        <stp>21422436</stp>
        <stp>@bh,EURCAD,h4,close,0</stp>
        <tr r="I2" s="1"/>
      </tp>
      <tp>
        <v>0.94977999999999996</v>
        <stp/>
        <stp>21422436</stp>
        <stp>@bh,EURCHF,h4,close,9</stp>
        <tr r="K11" s="1"/>
      </tp>
      <tp>
        <v>1.51373</v>
        <stp/>
        <stp>21422436</stp>
        <stp>@bh,EURCAD,h1,close,2</stp>
        <tr r="I4" s="3"/>
      </tp>
      <tp>
        <v>1.5133799999999999</v>
        <stp/>
        <stp>21422436</stp>
        <stp>@bh,EURCAD,h4,close,7</stp>
        <tr r="I9" s="1"/>
      </tp>
      <tp>
        <v>1.5124899999999999</v>
        <stp/>
        <stp>21422436</stp>
        <stp>@bh,EURCAD,h1,close,3</stp>
        <tr r="I5" s="3"/>
      </tp>
      <tp>
        <v>1.51278</v>
        <stp/>
        <stp>21422436</stp>
        <stp>@bh,EURCAD,h4,close,6</stp>
        <tr r="I8" s="1"/>
      </tp>
      <tp>
        <v>1.5129600000000001</v>
        <stp/>
        <stp>21422436</stp>
        <stp>@bh,EURCAD,h1,close,0</stp>
        <tr r="I2" s="3"/>
      </tp>
      <tp>
        <v>1.5147600000000001</v>
        <stp/>
        <stp>21422436</stp>
        <stp>@bh,EURCAD,h4,close,5</stp>
        <tr r="I7" s="1"/>
      </tp>
      <tp>
        <v>0.94874000000000003</v>
        <stp/>
        <stp>21422436</stp>
        <stp>@bh,EURCHF,h1,close,9</stp>
        <tr r="K11" s="3"/>
      </tp>
      <tp>
        <v>1.51274</v>
        <stp/>
        <stp>21422436</stp>
        <stp>@bh,EURCAD,h1,close,1</stp>
        <tr r="I3" s="3"/>
      </tp>
      <tp>
        <v>1.5156000000000001</v>
        <stp/>
        <stp>21422436</stp>
        <stp>@bh,EURCAD,h4,close,4</stp>
        <tr r="I6" s="1"/>
      </tp>
      <tp>
        <v>0.94874999999999998</v>
        <stp/>
        <stp>21422436</stp>
        <stp>@bh,EURCHF,h1,close,8</stp>
        <tr r="K10" s="3"/>
      </tp>
      <tp>
        <v>160.01</v>
        <stp/>
        <stp>21422436</stp>
        <stp>@bh,EURJPY,d1,close,9</stp>
        <tr r="L11" s="2"/>
      </tp>
      <tp>
        <v>160.91300000000001</v>
        <stp/>
        <stp>21422436</stp>
        <stp>@bh,EURJPY,d1,close,8</stp>
        <tr r="L10" s="2"/>
      </tp>
      <tp>
        <v>161.42599999999999</v>
        <stp/>
        <stp>21422436</stp>
        <stp>@bh,EURJPY,d1,close,7</stp>
        <tr r="L9" s="2"/>
      </tp>
      <tp>
        <v>162.22399999999999</v>
        <stp/>
        <stp>21422436</stp>
        <stp>@bh,EURJPY,d1,close,6</stp>
        <tr r="L8" s="2"/>
      </tp>
      <tp>
        <v>163.78200000000001</v>
        <stp/>
        <stp>21422436</stp>
        <stp>@bh,EURJPY,d1,close,5</stp>
        <tr r="L7" s="2"/>
      </tp>
      <tp>
        <v>162.77500000000001</v>
        <stp/>
        <stp>21422436</stp>
        <stp>@bh,EURJPY,d1,close,4</stp>
        <tr r="L6" s="2"/>
      </tp>
      <tp>
        <v>162.50800000000001</v>
        <stp/>
        <stp>21422436</stp>
        <stp>@bh,EURJPY,d1,close,3</stp>
        <tr r="L5" s="2"/>
      </tp>
      <tp>
        <v>161.67699999999999</v>
        <stp/>
        <stp>21422436</stp>
        <stp>@bh,EURJPY,d1,close,2</stp>
        <tr r="L4" s="2"/>
      </tp>
      <tp>
        <v>161.98099999999999</v>
        <stp/>
        <stp>21422436</stp>
        <stp>@bh,EURJPY,d1,close,1</stp>
        <tr r="L3" s="2"/>
      </tp>
      <tp>
        <v>162.654</v>
        <stp/>
        <stp>21422436</stp>
        <stp>@bh,EURJPY,d1,close,0</stp>
        <tr r="L2" s="2"/>
      </tp>
      <tp>
        <v>0.85355999999999999</v>
        <stp/>
        <stp>21422436</stp>
        <stp>@bh,EURGBP,h4,close,8</stp>
        <tr r="J10" s="1"/>
      </tp>
      <tp>
        <v>0.85368999999999995</v>
        <stp/>
        <stp>21422436</stp>
        <stp>@bh,EURGBP,h4,close,9</stp>
        <tr r="J11" s="1"/>
      </tp>
      <tp>
        <v>0.85165000000000002</v>
        <stp/>
        <stp>21422436</stp>
        <stp>@bh,EURGBP,h1,close,9</stp>
        <tr r="J11" s="3"/>
      </tp>
      <tp>
        <v>0.85172000000000003</v>
        <stp/>
        <stp>21422436</stp>
        <stp>@bh,EURGBP,h1,close,8</stp>
        <tr r="J10" s="3"/>
      </tp>
      <tp>
        <v>0.85035000000000005</v>
        <stp/>
        <stp>21422436</stp>
        <stp>@bh,EURGBP,h1,close,5</stp>
        <tr r="J7" s="3"/>
      </tp>
      <tp>
        <v>0.84967000000000004</v>
        <stp/>
        <stp>21422436</stp>
        <stp>@bh,EURGBP,h4,close,0</stp>
        <tr r="J2" s="1"/>
      </tp>
      <tp>
        <v>0.84972000000000003</v>
        <stp/>
        <stp>21422436</stp>
        <stp>@bh,EURGBP,h1,close,4</stp>
        <tr r="J6" s="3"/>
      </tp>
      <tp>
        <v>0.84972000000000003</v>
        <stp/>
        <stp>21422436</stp>
        <stp>@bh,EURGBP,h4,close,1</stp>
        <tr r="J3" s="1"/>
      </tp>
      <tp>
        <v>0.85172000000000003</v>
        <stp/>
        <stp>21422436</stp>
        <stp>@bh,EURGBP,h1,close,7</stp>
        <tr r="J9" s="3"/>
      </tp>
      <tp>
        <v>0.85172000000000003</v>
        <stp/>
        <stp>21422436</stp>
        <stp>@bh,EURGBP,h4,close,2</stp>
        <tr r="J4" s="1"/>
      </tp>
      <tp>
        <v>0.85162000000000004</v>
        <stp/>
        <stp>21422436</stp>
        <stp>@bh,EURGBP,h1,close,6</stp>
        <tr r="J8" s="3"/>
      </tp>
      <tp>
        <v>0.85163</v>
        <stp/>
        <stp>21422436</stp>
        <stp>@bh,EURGBP,h4,close,3</stp>
        <tr r="J5" s="1"/>
      </tp>
      <tp>
        <v>0.84941</v>
        <stp/>
        <stp>21422436</stp>
        <stp>@bh,EURGBP,h1,close,1</stp>
        <tr r="J3" s="3"/>
      </tp>
      <tp>
        <v>0.85175000000000001</v>
        <stp/>
        <stp>21422436</stp>
        <stp>@bh,EURGBP,h4,close,4</stp>
        <tr r="J6" s="1"/>
      </tp>
      <tp>
        <v>0.84967000000000004</v>
        <stp/>
        <stp>21422436</stp>
        <stp>@bh,EURGBP,h1,close,0</stp>
        <tr r="J2" s="3"/>
      </tp>
      <tp>
        <v>0.85157000000000005</v>
        <stp/>
        <stp>21422436</stp>
        <stp>@bh,EURGBP,h4,close,5</stp>
        <tr r="J7" s="1"/>
      </tp>
      <tp>
        <v>0.84877000000000002</v>
        <stp/>
        <stp>21422436</stp>
        <stp>@bh,EURGBP,h1,close,3</stp>
        <tr r="J5" s="3"/>
      </tp>
      <tp>
        <v>0.85279000000000005</v>
        <stp/>
        <stp>21422436</stp>
        <stp>@bh,EURGBP,h4,close,6</stp>
        <tr r="J8" s="1"/>
      </tp>
      <tp>
        <v>0.84945999999999999</v>
        <stp/>
        <stp>21422436</stp>
        <stp>@bh,EURGBP,h1,close,2</stp>
        <tr r="J4" s="3"/>
      </tp>
      <tp>
        <v>0.85440000000000005</v>
        <stp/>
        <stp>21422436</stp>
        <stp>@bh,EURGBP,h4,close,7</stp>
        <tr r="J9" s="1"/>
      </tp>
      <tp>
        <v>1.09321</v>
        <stp/>
        <stp>21422436</stp>
        <stp>@bh,EURUSD,d1,close,8</stp>
        <tr r="H10" s="2"/>
      </tp>
      <tp>
        <v>1.0915600000000001</v>
        <stp/>
        <stp>21422436</stp>
        <stp>@bh,EURUSD,d1,close,9</stp>
        <tr r="H11" s="2"/>
      </tp>
      <tp>
        <v>1.10286</v>
        <stp/>
        <stp>21422436</stp>
        <stp>@bh,EURUSD,d1,close,4</stp>
        <tr r="H6" s="2"/>
      </tp>
      <tp>
        <v>1.0971200000000001</v>
        <stp/>
        <stp>21422436</stp>
        <stp>@bh,EURUSD,d1,close,5</stp>
        <tr r="H7" s="2"/>
      </tp>
      <tp>
        <v>1.1012299999999999</v>
        <stp/>
        <stp>21422436</stp>
        <stp>@bh,EURUSD,d1,close,6</stp>
        <tr r="H8" s="2"/>
      </tp>
      <tp>
        <v>1.09928</v>
        <stp/>
        <stp>21422436</stp>
        <stp>@bh,EURUSD,d1,close,7</stp>
        <tr r="H9" s="2"/>
      </tp>
      <tp>
        <v>1.1132200000000001</v>
        <stp/>
        <stp>21422436</stp>
        <stp>@bh,EURUSD,d1,close,0</stp>
        <tr r="H2" s="2"/>
      </tp>
      <tp>
        <v>1.1149899999999999</v>
        <stp/>
        <stp>21422436</stp>
        <stp>@bh,EURUSD,d1,close,1</stp>
        <tr r="H3" s="2"/>
      </tp>
      <tp>
        <v>1.113</v>
        <stp/>
        <stp>21422436</stp>
        <stp>@bh,EURUSD,d1,close,2</stp>
        <tr r="H4" s="2"/>
      </tp>
      <tp>
        <v>1.1085100000000001</v>
        <stp/>
        <stp>21422436</stp>
        <stp>@bh,EURUSD,d1,close,3</stp>
        <tr r="H5" s="2"/>
      </tp>
      <tp>
        <v>1.1127899999999999</v>
        <stp/>
        <stp>21422436</stp>
        <stp>@bh,EURUSD,h4,close,9</stp>
        <tr r="H11" s="1"/>
      </tp>
      <tp>
        <v>1.11192</v>
        <stp/>
        <stp>21422436</stp>
        <stp>@bh,EURUSD,h4,close,8</stp>
        <tr r="H10" s="1"/>
      </tp>
      <tp>
        <v>1.1143400000000001</v>
        <stp/>
        <stp>21422436</stp>
        <stp>@bh,EURUSD,h1,close,8</stp>
        <tr r="H10" s="3"/>
      </tp>
      <tp>
        <v>1.1144799999999999</v>
        <stp/>
        <stp>21422436</stp>
        <stp>@bh,EURUSD,h1,close,9</stp>
        <tr r="H11" s="3"/>
      </tp>
      <tp>
        <v>1.11426</v>
        <stp/>
        <stp>21422436</stp>
        <stp>@bh,EURUSD,h1,close,4</stp>
        <tr r="H6" s="3"/>
      </tp>
      <tp>
        <v>1.11426</v>
        <stp/>
        <stp>21422436</stp>
        <stp>@bh,EURUSD,h4,close,1</stp>
        <tr r="H3" s="1"/>
      </tp>
      <tp>
        <v>1.11371</v>
        <stp/>
        <stp>21422436</stp>
        <stp>@bh,EURUSD,h1,close,5</stp>
        <tr r="H7" s="3"/>
      </tp>
      <tp>
        <v>1.1132200000000001</v>
        <stp/>
        <stp>21422436</stp>
        <stp>@bh,EURUSD,h4,close,0</stp>
        <tr r="H2" s="1"/>
      </tp>
      <tp>
        <v>1.1149500000000001</v>
        <stp/>
        <stp>21422436</stp>
        <stp>@bh,EURUSD,h1,close,6</stp>
        <tr r="H8" s="3"/>
      </tp>
      <tp>
        <v>1.11477</v>
        <stp/>
        <stp>21422436</stp>
        <stp>@bh,EURUSD,h4,close,3</stp>
        <tr r="H5" s="1"/>
      </tp>
      <tp>
        <v>1.11432</v>
        <stp/>
        <stp>21422436</stp>
        <stp>@bh,EURUSD,h1,close,7</stp>
        <tr r="H9" s="3"/>
      </tp>
      <tp>
        <v>1.1143400000000001</v>
        <stp/>
        <stp>21422436</stp>
        <stp>@bh,EURUSD,h4,close,2</stp>
        <tr r="H4" s="1"/>
      </tp>
      <tp>
        <v>1.1132200000000001</v>
        <stp/>
        <stp>21422436</stp>
        <stp>@bh,EURUSD,h1,close,0</stp>
        <tr r="H2" s="3"/>
      </tp>
      <tp>
        <v>1.1146499999999999</v>
        <stp/>
        <stp>21422436</stp>
        <stp>@bh,EURUSD,h4,close,5</stp>
        <tr r="H7" s="1"/>
      </tp>
      <tp>
        <v>1.11368</v>
        <stp/>
        <stp>21422436</stp>
        <stp>@bh,EURUSD,h1,close,1</stp>
        <tr r="H3" s="3"/>
      </tp>
      <tp>
        <v>1.1149899999999999</v>
        <stp/>
        <stp>21422436</stp>
        <stp>@bh,EURUSD,h4,close,4</stp>
        <tr r="H6" s="1"/>
      </tp>
      <tp>
        <v>1.1145400000000001</v>
        <stp/>
        <stp>21422436</stp>
        <stp>@bh,EURUSD,h1,close,2</stp>
        <tr r="H4" s="3"/>
      </tp>
      <tp>
        <v>1.1118600000000001</v>
        <stp/>
        <stp>21422436</stp>
        <stp>@bh,EURUSD,h4,close,7</stp>
        <tr r="H9" s="1"/>
      </tp>
      <tp>
        <v>1.11398</v>
        <stp/>
        <stp>21422436</stp>
        <stp>@bh,EURUSD,h1,close,3</stp>
        <tr r="H5" s="3"/>
      </tp>
      <tp>
        <v>1.1125</v>
        <stp/>
        <stp>21422436</stp>
        <stp>@bh,EURUSD,h4,close,6</stp>
        <tr r="H8" s="1"/>
      </tp>
      <tp>
        <v>145.67500000000001</v>
        <stp/>
        <stp>21422436</stp>
        <stp>@bh,USDJPY,h4,close,8</stp>
        <tr r="AD10" s="1"/>
      </tp>
      <tp>
        <v>145.45099999999999</v>
        <stp/>
        <stp>21422436</stp>
        <stp>@bh,USDJPY,h4,close,9</stp>
        <tr r="AD11" s="1"/>
      </tp>
      <tp>
        <v>145.26599999999999</v>
        <stp/>
        <stp>21422436</stp>
        <stp>@bh,USDJPY,h1,close,9</stp>
        <tr r="AD11" s="3"/>
      </tp>
      <tp>
        <v>145.13499999999999</v>
        <stp/>
        <stp>21422436</stp>
        <stp>@bh,USDJPY,h1,close,8</stp>
        <tr r="AD10" s="3"/>
      </tp>
      <tp>
        <v>145.27099999999999</v>
        <stp/>
        <stp>21422436</stp>
        <stp>@bh,USDJPY,h1,close,7</stp>
        <tr r="AD9" s="3"/>
      </tp>
      <tp>
        <v>145.13499999999999</v>
        <stp/>
        <stp>21422436</stp>
        <stp>@bh,USDJPY,h4,close,2</stp>
        <tr r="AD4" s="1"/>
      </tp>
      <tp>
        <v>145.381</v>
        <stp/>
        <stp>21422436</stp>
        <stp>@bh,USDJPY,h1,close,6</stp>
        <tr r="AD8" s="3"/>
      </tp>
      <tp>
        <v>145.334</v>
        <stp/>
        <stp>21422436</stp>
        <stp>@bh,USDJPY,h4,close,3</stp>
        <tr r="AD5" s="1"/>
      </tp>
      <tp>
        <v>145.24799999999999</v>
        <stp/>
        <stp>21422436</stp>
        <stp>@bh,USDJPY,h1,close,5</stp>
        <tr r="AD7" s="3"/>
      </tp>
      <tp>
        <v>146.113</v>
        <stp/>
        <stp>21422436</stp>
        <stp>@bh,USDJPY,h4,close,0</stp>
        <tr r="AD2" s="1"/>
      </tp>
      <tp>
        <v>145.63800000000001</v>
        <stp/>
        <stp>21422436</stp>
        <stp>@bh,USDJPY,h1,close,4</stp>
        <tr r="AD6" s="3"/>
      </tp>
      <tp>
        <v>145.63800000000001</v>
        <stp/>
        <stp>21422436</stp>
        <stp>@bh,USDJPY,h4,close,1</stp>
        <tr r="AD3" s="1"/>
      </tp>
      <tp>
        <v>145.60900000000001</v>
        <stp/>
        <stp>21422436</stp>
        <stp>@bh,USDJPY,h1,close,3</stp>
        <tr r="AD5" s="3"/>
      </tp>
      <tp>
        <v>145.77799999999999</v>
        <stp/>
        <stp>21422436</stp>
        <stp>@bh,USDJPY,h4,close,6</stp>
        <tr r="AD8" s="1"/>
      </tp>
      <tp>
        <v>145.76400000000001</v>
        <stp/>
        <stp>21422436</stp>
        <stp>@bh,USDJPY,h1,close,2</stp>
        <tr r="AD4" s="3"/>
      </tp>
      <tp>
        <v>146.03399999999999</v>
        <stp/>
        <stp>21422436</stp>
        <stp>@bh,USDJPY,h4,close,7</stp>
        <tr r="AD9" s="1"/>
      </tp>
      <tp>
        <v>145.99100000000001</v>
        <stp/>
        <stp>21422436</stp>
        <stp>@bh,USDJPY,h1,close,1</stp>
        <tr r="AD3" s="3"/>
      </tp>
      <tp>
        <v>145.27199999999999</v>
        <stp/>
        <stp>21422436</stp>
        <stp>@bh,USDJPY,h4,close,4</stp>
        <tr r="AD6" s="1"/>
      </tp>
      <tp>
        <v>146.113</v>
        <stp/>
        <stp>21422436</stp>
        <stp>@bh,USDJPY,h1,close,0</stp>
        <tr r="AD2" s="3"/>
      </tp>
      <tp>
        <v>145.19300000000001</v>
        <stp/>
        <stp>21422436</stp>
        <stp>@bh,USDJPY,h4,close,5</stp>
        <tr r="AD7" s="1"/>
      </tp>
      <tp>
        <v>89.727999999999994</v>
        <stp/>
        <stp>21422436</stp>
        <stp>@bh,NZDJPY,h1,close,4</stp>
        <tr r="U6" s="3"/>
      </tp>
      <tp>
        <v>89.727999999999994</v>
        <stp/>
        <stp>21422436</stp>
        <stp>@bh,NZDJPY,h4,close,1</stp>
        <tr r="U3" s="1"/>
      </tp>
      <tp>
        <v>106.919</v>
        <stp/>
        <stp>21422436</stp>
        <stp>@bh,CADJPY,h1,close,9</stp>
        <tr r="Y11" s="3"/>
      </tp>
      <tp>
        <v>89.552000000000007</v>
        <stp/>
        <stp>21422436</stp>
        <stp>@bh,NZDJPY,h1,close,5</stp>
        <tr r="U7" s="3"/>
      </tp>
      <tp>
        <v>89.816000000000003</v>
        <stp/>
        <stp>21422436</stp>
        <stp>@bh,NZDJPY,h4,close,0</stp>
        <tr r="U2" s="1"/>
      </tp>
      <tp>
        <v>106.82</v>
        <stp/>
        <stp>21422436</stp>
        <stp>@bh,CADJPY,h1,close,8</stp>
        <tr r="Y10" s="3"/>
      </tp>
      <tp>
        <v>97.801000000000002</v>
        <stp/>
        <stp>21422436</stp>
        <stp>@bh,AUDJPY,h1,close,9</stp>
        <tr r="E11" s="3"/>
      </tp>
      <tp>
        <v>89.528000000000006</v>
        <stp/>
        <stp>21422436</stp>
        <stp>@bh,NZDJPY,h1,close,6</stp>
        <tr r="U8" s="3"/>
      </tp>
      <tp>
        <v>89.444999999999993</v>
        <stp/>
        <stp>21422436</stp>
        <stp>@bh,NZDJPY,h4,close,3</stp>
        <tr r="U5" s="1"/>
      </tp>
      <tp>
        <v>97.753</v>
        <stp/>
        <stp>21422436</stp>
        <stp>@bh,AUDJPY,h1,close,8</stp>
        <tr r="E10" s="3"/>
      </tp>
      <tp>
        <v>89.391000000000005</v>
        <stp/>
        <stp>21422436</stp>
        <stp>@bh,NZDJPY,h1,close,7</stp>
        <tr r="U9" s="3"/>
      </tp>
      <tp>
        <v>89.275000000000006</v>
        <stp/>
        <stp>21422436</stp>
        <stp>@bh,NZDJPY,h4,close,2</stp>
        <tr r="U4" s="1"/>
      </tp>
      <tp>
        <v>89.816000000000003</v>
        <stp/>
        <stp>21422436</stp>
        <stp>@bh,NZDJPY,h1,close,0</stp>
        <tr r="U2" s="3"/>
      </tp>
      <tp>
        <v>89.376999999999995</v>
        <stp/>
        <stp>21422436</stp>
        <stp>@bh,NZDJPY,h4,close,5</stp>
        <tr r="U7" s="1"/>
      </tp>
      <tp>
        <v>107</v>
        <stp/>
        <stp>21422436</stp>
        <stp>@bh,CADJPY,h4,close,8</stp>
        <tr r="Y10" s="1"/>
      </tp>
      <tp>
        <v>89.8</v>
        <stp/>
        <stp>21422436</stp>
        <stp>@bh,NZDJPY,h1,close,1</stp>
        <tr r="U3" s="3"/>
      </tp>
      <tp>
        <v>89.406000000000006</v>
        <stp/>
        <stp>21422436</stp>
        <stp>@bh,NZDJPY,h4,close,4</stp>
        <tr r="U6" s="1"/>
      </tp>
      <tp>
        <v>106.819</v>
        <stp/>
        <stp>21422436</stp>
        <stp>@bh,CADJPY,h4,close,9</stp>
        <tr r="Y11" s="1"/>
      </tp>
      <tp>
        <v>98.25</v>
        <stp/>
        <stp>21422436</stp>
        <stp>@bh,AUDJPY,h4,close,8</stp>
        <tr r="E10" s="1"/>
      </tp>
      <tp>
        <v>89.724000000000004</v>
        <stp/>
        <stp>21422436</stp>
        <stp>@bh,NZDJPY,h1,close,2</stp>
        <tr r="U4" s="3"/>
      </tp>
      <tp>
        <v>89.64</v>
        <stp/>
        <stp>21422436</stp>
        <stp>@bh,NZDJPY,h4,close,7</stp>
        <tr r="U9" s="1"/>
      </tp>
      <tp>
        <v>98.182000000000002</v>
        <stp/>
        <stp>21422436</stp>
        <stp>@bh,AUDJPY,h4,close,9</stp>
        <tr r="E11" s="1"/>
      </tp>
      <tp>
        <v>89.688000000000002</v>
        <stp/>
        <stp>21422436</stp>
        <stp>@bh,NZDJPY,h1,close,3</stp>
        <tr r="U5" s="3"/>
      </tp>
      <tp>
        <v>89.591999999999999</v>
        <stp/>
        <stp>21422436</stp>
        <stp>@bh,NZDJPY,h4,close,6</stp>
        <tr r="U8" s="1"/>
      </tp>
      <tp>
        <v>98.138000000000005</v>
        <stp/>
        <stp>21422436</stp>
        <stp>@bh,AUDJPY,h1,close,3</stp>
        <tr r="E5" s="3"/>
      </tp>
      <tp>
        <v>98.298000000000002</v>
        <stp/>
        <stp>21422436</stp>
        <stp>@bh,AUDJPY,h4,close,6</stp>
        <tr r="E8" s="1"/>
      </tp>
      <tp>
        <v>89.638999999999996</v>
        <stp/>
        <stp>21422436</stp>
        <stp>@bh,NZDJPY,h4,close,9</stp>
        <tr r="U11" s="1"/>
      </tp>
      <tp>
        <v>107.47799999999999</v>
        <stp/>
        <stp>21422436</stp>
        <stp>@bh,CADJPY,h1,close,1</stp>
        <tr r="Y3" s="3"/>
      </tp>
      <tp>
        <v>106.866</v>
        <stp/>
        <stp>21422436</stp>
        <stp>@bh,CADJPY,h4,close,4</stp>
        <tr r="Y6" s="1"/>
      </tp>
      <tp>
        <v>98.194999999999993</v>
        <stp/>
        <stp>21422436</stp>
        <stp>@bh,AUDJPY,h1,close,2</stp>
        <tr r="E4" s="3"/>
      </tp>
      <tp>
        <v>98.364999999999995</v>
        <stp/>
        <stp>21422436</stp>
        <stp>@bh,AUDJPY,h4,close,7</stp>
        <tr r="E9" s="1"/>
      </tp>
      <tp>
        <v>89.48</v>
        <stp/>
        <stp>21422436</stp>
        <stp>@bh,NZDJPY,h4,close,8</stp>
        <tr r="U10" s="1"/>
      </tp>
      <tp>
        <v>107.508</v>
        <stp/>
        <stp>21422436</stp>
        <stp>@bh,CADJPY,h1,close,0</stp>
        <tr r="Y2" s="3"/>
      </tp>
      <tp>
        <v>106.839</v>
        <stp/>
        <stp>21422436</stp>
        <stp>@bh,CADJPY,h4,close,5</stp>
        <tr r="Y7" s="1"/>
      </tp>
      <tp>
        <v>98.263000000000005</v>
        <stp/>
        <stp>21422436</stp>
        <stp>@bh,AUDJPY,h1,close,1</stp>
        <tr r="E3" s="3"/>
      </tp>
      <tp>
        <v>97.972999999999999</v>
        <stp/>
        <stp>21422436</stp>
        <stp>@bh,AUDJPY,h4,close,4</stp>
        <tr r="E6" s="1"/>
      </tp>
      <tp>
        <v>107.241</v>
        <stp/>
        <stp>21422436</stp>
        <stp>@bh,CADJPY,h1,close,3</stp>
        <tr r="Y5" s="3"/>
      </tp>
      <tp>
        <v>107.203</v>
        <stp/>
        <stp>21422436</stp>
        <stp>@bh,CADJPY,h4,close,6</stp>
        <tr r="Y8" s="1"/>
      </tp>
      <tp>
        <v>98.289000000000001</v>
        <stp/>
        <stp>21422436</stp>
        <stp>@bh,AUDJPY,h1,close,0</stp>
        <tr r="E2" s="3"/>
      </tp>
      <tp>
        <v>97.882000000000005</v>
        <stp/>
        <stp>21422436</stp>
        <stp>@bh,AUDJPY,h4,close,5</stp>
        <tr r="E7" s="1"/>
      </tp>
      <tp>
        <v>107.321</v>
        <stp/>
        <stp>21422436</stp>
        <stp>@bh,CADJPY,h1,close,2</stp>
        <tr r="Y4" s="3"/>
      </tp>
      <tp>
        <v>107.285</v>
        <stp/>
        <stp>21422436</stp>
        <stp>@bh,CADJPY,h4,close,7</stp>
        <tr r="Y9" s="1"/>
      </tp>
      <tp>
        <v>97.894999999999996</v>
        <stp/>
        <stp>21422436</stp>
        <stp>@bh,AUDJPY,h1,close,7</stp>
        <tr r="E9" s="3"/>
      </tp>
      <tp>
        <v>97.753</v>
        <stp/>
        <stp>21422436</stp>
        <stp>@bh,AUDJPY,h4,close,2</stp>
        <tr r="E4" s="1"/>
      </tp>
      <tp>
        <v>89.275000000000006</v>
        <stp/>
        <stp>21422436</stp>
        <stp>@bh,NZDJPY,h1,close,8</stp>
        <tr r="U10" s="3"/>
      </tp>
      <tp>
        <v>106.996</v>
        <stp/>
        <stp>21422436</stp>
        <stp>@bh,CADJPY,h1,close,5</stp>
        <tr r="Y7" s="3"/>
      </tp>
      <tp>
        <v>107.508</v>
        <stp/>
        <stp>21422436</stp>
        <stp>@bh,CADJPY,h4,close,0</stp>
        <tr r="Y2" s="1"/>
      </tp>
      <tp>
        <v>97.998999999999995</v>
        <stp/>
        <stp>21422436</stp>
        <stp>@bh,AUDJPY,h1,close,6</stp>
        <tr r="E8" s="3"/>
      </tp>
      <tp>
        <v>98.006</v>
        <stp/>
        <stp>21422436</stp>
        <stp>@bh,AUDJPY,h4,close,3</stp>
        <tr r="E5" s="1"/>
      </tp>
      <tp>
        <v>89.332999999999998</v>
        <stp/>
        <stp>21422436</stp>
        <stp>@bh,NZDJPY,h1,close,9</stp>
        <tr r="U11" s="3"/>
      </tp>
      <tp>
        <v>107.27</v>
        <stp/>
        <stp>21422436</stp>
        <stp>@bh,CADJPY,h1,close,4</stp>
        <tr r="Y6" s="3"/>
      </tp>
      <tp>
        <v>107.27</v>
        <stp/>
        <stp>21422436</stp>
        <stp>@bh,CADJPY,h4,close,1</stp>
        <tr r="Y3" s="1"/>
      </tp>
      <tp>
        <v>98.02</v>
        <stp/>
        <stp>21422436</stp>
        <stp>@bh,AUDJPY,h1,close,5</stp>
        <tr r="E7" s="3"/>
      </tp>
      <tp>
        <v>98.289000000000001</v>
        <stp/>
        <stp>21422436</stp>
        <stp>@bh,AUDJPY,h4,close,0</stp>
        <tr r="E2" s="1"/>
      </tp>
      <tp>
        <v>106.941</v>
        <stp/>
        <stp>21422436</stp>
        <stp>@bh,CADJPY,h1,close,7</stp>
        <tr r="Y9" s="3"/>
      </tp>
      <tp>
        <v>106.82</v>
        <stp/>
        <stp>21422436</stp>
        <stp>@bh,CADJPY,h4,close,2</stp>
        <tr r="Y4" s="1"/>
      </tp>
      <tp>
        <v>98.247</v>
        <stp/>
        <stp>21422436</stp>
        <stp>@bh,AUDJPY,h1,close,4</stp>
        <tr r="E6" s="3"/>
      </tp>
      <tp>
        <v>98.247</v>
        <stp/>
        <stp>21422436</stp>
        <stp>@bh,AUDJPY,h4,close,1</stp>
        <tr r="E3" s="1"/>
      </tp>
      <tp>
        <v>107.044</v>
        <stp/>
        <stp>21422436</stp>
        <stp>@bh,CADJPY,h1,close,6</stp>
        <tr r="Y8" s="3"/>
      </tp>
      <tp>
        <v>106.973</v>
        <stp/>
        <stp>21422436</stp>
        <stp>@bh,CADJPY,h4,close,3</stp>
        <tr r="Y5" s="1"/>
      </tp>
      <tp>
        <v>1.09415</v>
        <stp/>
        <stp>21422436</stp>
        <stp>@bh,AUDNZD,h1,close,1</stp>
        <tr r="D3" s="3"/>
      </tp>
      <tp>
        <v>1.0953599999999999</v>
        <stp/>
        <stp>21422436</stp>
        <stp>@bh,AUDNZD,h4,close,4</stp>
        <tr r="D6" s="1"/>
      </tp>
      <tp>
        <v>1.09422</v>
        <stp/>
        <stp>21422436</stp>
        <stp>@bh,AUDNZD,h1,close,0</stp>
        <tr r="D2" s="3"/>
      </tp>
      <tp>
        <v>1.09507</v>
        <stp/>
        <stp>21422436</stp>
        <stp>@bh,AUDNZD,h4,close,5</stp>
        <tr r="D7" s="1"/>
      </tp>
      <tp>
        <v>1.09412</v>
        <stp/>
        <stp>21422436</stp>
        <stp>@bh,AUDNZD,h1,close,3</stp>
        <tr r="D5" s="3"/>
      </tp>
      <tp>
        <v>1.09714</v>
        <stp/>
        <stp>21422436</stp>
        <stp>@bh,AUDNZD,h4,close,6</stp>
        <tr r="D8" s="1"/>
      </tp>
      <tp>
        <v>1.09432</v>
        <stp/>
        <stp>21422436</stp>
        <stp>@bh,AUDNZD,h1,close,2</stp>
        <tr r="D4" s="3"/>
      </tp>
      <tp>
        <v>1.0973200000000001</v>
        <stp/>
        <stp>21422436</stp>
        <stp>@bh,AUDNZD,h4,close,7</stp>
        <tr r="D9" s="1"/>
      </tp>
      <tp>
        <v>1.09453</v>
        <stp/>
        <stp>21422436</stp>
        <stp>@bh,AUDNZD,h1,close,5</stp>
        <tr r="D7" s="3"/>
      </tp>
      <tp>
        <v>1.09422</v>
        <stp/>
        <stp>21422436</stp>
        <stp>@bh,AUDNZD,h4,close,0</stp>
        <tr r="D2" s="1"/>
      </tp>
      <tp>
        <v>1.0949199999999999</v>
        <stp/>
        <stp>21422436</stp>
        <stp>@bh,AUDNZD,h1,close,4</stp>
        <tr r="D6" s="3"/>
      </tp>
      <tp>
        <v>1.0949199999999999</v>
        <stp/>
        <stp>21422436</stp>
        <stp>@bh,AUDNZD,h4,close,1</stp>
        <tr r="D3" s="1"/>
      </tp>
      <tp>
        <v>1.09511</v>
        <stp/>
        <stp>21422436</stp>
        <stp>@bh,AUDNZD,h1,close,7</stp>
        <tr r="D9" s="3"/>
      </tp>
      <tp>
        <v>1.09493</v>
        <stp/>
        <stp>21422436</stp>
        <stp>@bh,AUDNZD,h4,close,2</stp>
        <tr r="D4" s="1"/>
      </tp>
      <tp>
        <v>1.09453</v>
        <stp/>
        <stp>21422436</stp>
        <stp>@bh,AUDNZD,h1,close,6</stp>
        <tr r="D8" s="3"/>
      </tp>
      <tp>
        <v>1.0956900000000001</v>
        <stp/>
        <stp>21422436</stp>
        <stp>@bh,AUDNZD,h4,close,3</stp>
        <tr r="D5" s="1"/>
      </tp>
      <tp>
        <v>1.0946899999999999</v>
        <stp/>
        <stp>21422436</stp>
        <stp>@bh,AUDNZD,h1,close,9</stp>
        <tr r="D11" s="3"/>
      </tp>
      <tp>
        <v>1.09493</v>
        <stp/>
        <stp>21422436</stp>
        <stp>@bh,AUDNZD,h1,close,8</stp>
        <tr r="D10" s="3"/>
      </tp>
      <tp>
        <v>1.09795</v>
        <stp/>
        <stp>21422436</stp>
        <stp>@bh,AUDNZD,h4,close,8</stp>
        <tr r="D10" s="1"/>
      </tp>
      <tp>
        <v>1.09528</v>
        <stp/>
        <stp>21422436</stp>
        <stp>@bh,AUDNZD,h4,close,9</stp>
        <tr r="D11" s="1"/>
      </tp>
      <tp>
        <v>0.62648999999999999</v>
        <stp/>
        <stp>21422436</stp>
        <stp>@bh,CADCHF,d1,close,1</stp>
        <tr r="Z3" s="2"/>
      </tp>
      <tp>
        <v>0.82145000000000001</v>
        <stp/>
        <stp>21422436</stp>
        <stp>@bh,NZDCAD,d1,close,5</stp>
        <tr r="X7" s="2"/>
      </tp>
      <tp>
        <v>0.58087</v>
        <stp/>
        <stp>21422436</stp>
        <stp>@bh,AUDCHF,d1,close,3</stp>
        <tr r="F5" s="2"/>
      </tp>
      <tp>
        <v>0.62709000000000004</v>
        <stp/>
        <stp>21422436</stp>
        <stp>@bh,CADCHF,d1,close,0</stp>
        <tr r="Z2" s="2"/>
      </tp>
      <tp>
        <v>0.82811000000000001</v>
        <stp/>
        <stp>21422436</stp>
        <stp>@bh,NZDCAD,d1,close,4</stp>
        <tr r="X6" s="2"/>
      </tp>
      <tp>
        <v>0.57616999999999996</v>
        <stp/>
        <stp>21422436</stp>
        <stp>@bh,AUDCHF,d1,close,2</stp>
        <tr r="F4" s="2"/>
      </tp>
      <tp>
        <v>0.63285999999999998</v>
        <stp/>
        <stp>21422436</stp>
        <stp>@bh,CADCHF,d1,close,3</stp>
        <tr r="Z5" s="2"/>
      </tp>
      <tp>
        <v>0.83287</v>
        <stp/>
        <stp>21422436</stp>
        <stp>@bh,NZDCAD,d1,close,7</stp>
        <tr r="X9" s="2"/>
      </tp>
      <tp>
        <v>0.90500000000000003</v>
        <stp/>
        <stp>21422436</stp>
        <stp>@bh,AUDCAD,d1,close,8</stp>
        <tr r="G10" s="2"/>
      </tp>
      <tp>
        <v>0.57435000000000003</v>
        <stp/>
        <stp>21422436</stp>
        <stp>@bh,AUDCHF,d1,close,1</stp>
        <tr r="F3" s="2"/>
      </tp>
      <tp>
        <v>0.62699000000000005</v>
        <stp/>
        <stp>21422436</stp>
        <stp>@bh,CADCHF,d1,close,2</stp>
        <tr r="Z4" s="2"/>
      </tp>
      <tp>
        <v>0.82230000000000003</v>
        <stp/>
        <stp>21422436</stp>
        <stp>@bh,NZDCAD,d1,close,6</stp>
        <tr r="X8" s="2"/>
      </tp>
      <tp>
        <v>0.90224000000000004</v>
        <stp/>
        <stp>21422436</stp>
        <stp>@bh,AUDCAD,d1,close,9</stp>
        <tr r="G11" s="2"/>
      </tp>
      <tp>
        <v>0.57330999999999999</v>
        <stp/>
        <stp>21422436</stp>
        <stp>@bh,AUDCHF,d1,close,0</stp>
        <tr r="F2" s="2"/>
      </tp>
      <tp>
        <v>0.63554999999999995</v>
        <stp/>
        <stp>21422436</stp>
        <stp>@bh,CADCHF,d1,close,5</stp>
        <tr r="Z7" s="2"/>
      </tp>
      <tp>
        <v>0.52056999999999998</v>
        <stp/>
        <stp>21422436</stp>
        <stp>@bh,NZDCHF,d1,close,8</stp>
        <tr r="V10" s="2"/>
      </tp>
      <tp>
        <v>0.83684000000000003</v>
        <stp/>
        <stp>21422436</stp>
        <stp>@bh,NZDCAD,d1,close,1</stp>
        <tr r="X3" s="2"/>
      </tp>
      <tp>
        <v>0.57362999999999997</v>
        <stp/>
        <stp>21422436</stp>
        <stp>@bh,AUDCHF,d1,close,7</stp>
        <tr r="F9" s="2"/>
      </tp>
      <tp>
        <v>0.63305</v>
        <stp/>
        <stp>21422436</stp>
        <stp>@bh,CADCHF,d1,close,4</stp>
        <tr r="Z6" s="2"/>
      </tp>
      <tp>
        <v>0.51902000000000004</v>
        <stp/>
        <stp>21422436</stp>
        <stp>@bh,NZDCHF,d1,close,9</stp>
        <tr r="V11" s="2"/>
      </tp>
      <tp>
        <v>0.83543000000000001</v>
        <stp/>
        <stp>21422436</stp>
        <stp>@bh,NZDCAD,d1,close,0</stp>
        <tr r="X2" s="2"/>
      </tp>
      <tp>
        <v>0.57062999999999997</v>
        <stp/>
        <stp>21422436</stp>
        <stp>@bh,AUDCHF,d1,close,6</stp>
        <tr r="F8" s="2"/>
      </tp>
      <tp>
        <v>0.63090000000000002</v>
        <stp/>
        <stp>21422436</stp>
        <stp>@bh,CADCHF,d1,close,7</stp>
        <tr r="Z9" s="2"/>
      </tp>
      <tp>
        <v>0.83350999999999997</v>
        <stp/>
        <stp>21422436</stp>
        <stp>@bh,NZDCAD,d1,close,3</stp>
        <tr r="X5" s="2"/>
      </tp>
      <tp>
        <v>0.57676000000000005</v>
        <stp/>
        <stp>21422436</stp>
        <stp>@bh,AUDCHF,d1,close,5</stp>
        <tr r="F7" s="2"/>
      </tp>
      <tp>
        <v>0.63080000000000003</v>
        <stp/>
        <stp>21422436</stp>
        <stp>@bh,CADCHF,d1,close,6</stp>
        <tr r="Z8" s="2"/>
      </tp>
      <tp>
        <v>0.83808000000000005</v>
        <stp/>
        <stp>21422436</stp>
        <stp>@bh,NZDCAD,d1,close,2</stp>
        <tr r="X4" s="2"/>
      </tp>
      <tp>
        <v>0.57755999999999996</v>
        <stp/>
        <stp>21422436</stp>
        <stp>@bh,AUDCHF,d1,close,4</stp>
        <tr r="F6" s="2"/>
      </tp>
      <tp>
        <v>0.63012000000000001</v>
        <stp/>
        <stp>21422436</stp>
        <stp>@bh,CADCHF,d1,close,9</stp>
        <tr r="Z11" s="2"/>
      </tp>
      <tp>
        <v>0.52427000000000001</v>
        <stp/>
        <stp>21422436</stp>
        <stp>@bh,NZDCHF,d1,close,4</stp>
        <tr r="V6" s="2"/>
      </tp>
      <tp>
        <v>0.91886999999999996</v>
        <stp/>
        <stp>21422436</stp>
        <stp>@bh,AUDCAD,d1,close,2</stp>
        <tr r="G4" s="2"/>
      </tp>
      <tp>
        <v>0.62953000000000003</v>
        <stp/>
        <stp>21422436</stp>
        <stp>@bh,CADCHF,d1,close,8</stp>
        <tr r="Z10" s="2"/>
      </tp>
      <tp>
        <v>0.52205999999999997</v>
        <stp/>
        <stp>21422436</stp>
        <stp>@bh,NZDCHF,d1,close,5</stp>
        <tr r="V7" s="2"/>
      </tp>
      <tp>
        <v>0.91774999999999995</v>
        <stp/>
        <stp>21422436</stp>
        <stp>@bh,AUDCAD,d1,close,3</stp>
        <tr r="G5" s="2"/>
      </tp>
      <tp>
        <v>0.51859</v>
        <stp/>
        <stp>21422436</stp>
        <stp>@bh,NZDCHF,d1,close,6</stp>
        <tr r="V8" s="2"/>
      </tp>
      <tp>
        <v>0.91422999999999999</v>
        <stp/>
        <stp>21422436</stp>
        <stp>@bh,AUDCAD,d1,close,0</stp>
        <tr r="G2" s="2"/>
      </tp>
      <tp>
        <v>0.56857000000000002</v>
        <stp/>
        <stp>21422436</stp>
        <stp>@bh,AUDCHF,d1,close,9</stp>
        <tr r="F11" s="2"/>
      </tp>
      <tp>
        <v>0.52544999999999997</v>
        <stp/>
        <stp>21422436</stp>
        <stp>@bh,NZDCHF,d1,close,7</stp>
        <tr r="V9" s="2"/>
      </tp>
      <tp>
        <v>0.91671000000000002</v>
        <stp/>
        <stp>21422436</stp>
        <stp>@bh,AUDCAD,d1,close,1</stp>
        <tr r="G3" s="2"/>
      </tp>
      <tp>
        <v>0.56977</v>
        <stp/>
        <stp>21422436</stp>
        <stp>@bh,AUDCHF,d1,close,8</stp>
        <tr r="F10" s="2"/>
      </tp>
      <tp>
        <v>0.52388999999999997</v>
        <stp/>
        <stp>21422436</stp>
        <stp>@bh,NZDCHF,d1,close,0</stp>
        <tr r="V2" s="2"/>
      </tp>
      <tp>
        <v>0.8236</v>
        <stp/>
        <stp>21422436</stp>
        <stp>@bh,NZDCAD,d1,close,9</stp>
        <tr r="X11" s="2"/>
      </tp>
      <tp>
        <v>0.90458000000000005</v>
        <stp/>
        <stp>21422436</stp>
        <stp>@bh,AUDCAD,d1,close,6</stp>
        <tr r="G8" s="2"/>
      </tp>
      <tp>
        <v>0.52417000000000002</v>
        <stp/>
        <stp>21422436</stp>
        <stp>@bh,NZDCHF,d1,close,1</stp>
        <tr r="V3" s="2"/>
      </tp>
      <tp>
        <v>0.82691999999999999</v>
        <stp/>
        <stp>21422436</stp>
        <stp>@bh,NZDCAD,d1,close,8</stp>
        <tr r="X10" s="2"/>
      </tp>
      <tp>
        <v>0.90917000000000003</v>
        <stp/>
        <stp>21422436</stp>
        <stp>@bh,AUDCAD,d1,close,7</stp>
        <tr r="G9" s="2"/>
      </tp>
      <tp>
        <v>0.52546000000000004</v>
        <stp/>
        <stp>21422436</stp>
        <stp>@bh,NZDCHF,d1,close,2</stp>
        <tr r="V4" s="2"/>
      </tp>
      <tp>
        <v>0.91229000000000005</v>
        <stp/>
        <stp>21422436</stp>
        <stp>@bh,AUDCAD,d1,close,4</stp>
        <tr r="G6" s="2"/>
      </tp>
      <tp>
        <v>0.52749999999999997</v>
        <stp/>
        <stp>21422436</stp>
        <stp>@bh,NZDCHF,d1,close,3</stp>
        <tr r="V5" s="2"/>
      </tp>
      <tp>
        <v>0.90742999999999996</v>
        <stp/>
        <stp>21422436</stp>
        <stp>@bh,AUDCAD,d1,close,5</stp>
        <tr r="G7" s="2"/>
      </tp>
      <tp>
        <v>0.86477000000000004</v>
        <stp/>
        <stp>21422436</stp>
        <stp>@bh,USDCHF,d1,close,7</stp>
        <tr r="AC9" s="2"/>
      </tp>
      <tp>
        <v>0.86509000000000003</v>
        <stp/>
        <stp>21422436</stp>
        <stp>@bh,USDCHF,d1,close,6</stp>
        <tr r="AC8" s="2"/>
      </tp>
      <tp>
        <v>0.87253999999999998</v>
        <stp/>
        <stp>21422436</stp>
        <stp>@bh,USDCHF,d1,close,5</stp>
        <tr r="AC7" s="2"/>
      </tp>
      <tp>
        <v>0.86599000000000004</v>
        <stp/>
        <stp>21422436</stp>
        <stp>@bh,USDCHF,d1,close,4</stp>
        <tr r="AC6" s="2"/>
      </tp>
      <tp>
        <v>0.86287999999999998</v>
        <stp/>
        <stp>21422436</stp>
        <stp>@bh,USDCHF,d1,close,3</stp>
        <tr r="AC5" s="2"/>
      </tp>
      <tp>
        <v>0.85402999999999996</v>
        <stp/>
        <stp>21422436</stp>
        <stp>@bh,USDCHF,d1,close,2</stp>
        <tr r="AC4" s="2"/>
      </tp>
      <tp>
        <v>0.85167000000000004</v>
        <stp/>
        <stp>21422436</stp>
        <stp>@bh,USDCHF,d1,close,1</stp>
        <tr r="AC3" s="2"/>
      </tp>
      <tp>
        <v>1.3742300000000001</v>
        <stp/>
        <stp>21422436</stp>
        <stp>@bh,USDCAD,d1,close,8</stp>
        <tr r="AB10" s="2"/>
      </tp>
      <tp>
        <v>0.85228000000000004</v>
        <stp/>
        <stp>21422436</stp>
        <stp>@bh,USDCHF,d1,close,0</stp>
        <tr r="AC2" s="2"/>
      </tp>
      <tp>
        <v>1.37293</v>
        <stp/>
        <stp>21422436</stp>
        <stp>@bh,USDCAD,d1,close,9</stp>
        <tr r="AB11" s="2"/>
      </tp>
      <tp>
        <v>1.3713900000000001</v>
        <stp/>
        <stp>21422436</stp>
        <stp>@bh,USDCAD,d1,close,6</stp>
        <tr r="AB8" s="2"/>
      </tp>
      <tp>
        <v>1.37063</v>
        <stp/>
        <stp>21422436</stp>
        <stp>@bh,USDCAD,d1,close,7</stp>
        <tr r="AB9" s="2"/>
      </tp>
      <tp>
        <v>1.3678999999999999</v>
        <stp/>
        <stp>21422436</stp>
        <stp>@bh,USDCAD,d1,close,4</stp>
        <tr r="AB6" s="2"/>
      </tp>
      <tp>
        <v>1.3729</v>
        <stp/>
        <stp>21422436</stp>
        <stp>@bh,USDCAD,d1,close,5</stp>
        <tr r="AB7" s="2"/>
      </tp>
      <tp>
        <v>1.3620300000000001</v>
        <stp/>
        <stp>21422436</stp>
        <stp>@bh,USDCAD,d1,close,2</stp>
        <tr r="AB4" s="2"/>
      </tp>
      <tp>
        <v>1.36334</v>
        <stp/>
        <stp>21422436</stp>
        <stp>@bh,USDCAD,d1,close,3</stp>
        <tr r="AB5" s="2"/>
      </tp>
      <tp>
        <v>0.86516000000000004</v>
        <stp/>
        <stp>21422436</stp>
        <stp>@bh,USDCHF,d1,close,9</stp>
        <tr r="AC11" s="2"/>
      </tp>
      <tp>
        <v>1.35917</v>
        <stp/>
        <stp>21422436</stp>
        <stp>@bh,USDCAD,d1,close,0</stp>
        <tr r="AB2" s="2"/>
      </tp>
      <tp>
        <v>0.86516999999999999</v>
        <stp/>
        <stp>21422436</stp>
        <stp>@bh,USDCHF,d1,close,8</stp>
        <tr r="AC10" s="2"/>
      </tp>
      <tp>
        <v>1.35934</v>
        <stp/>
        <stp>21422436</stp>
        <stp>@bh,USDCAD,d1,close,1</stp>
        <tr r="AB3" s="2"/>
      </tp>
      <tp>
        <v>1.0953599999999999</v>
        <stp/>
        <stp>21422436</stp>
        <stp>@bh,AUDNZD,d1,close,1</stp>
        <tr r="D3" s="2"/>
      </tp>
      <tp>
        <v>1.09422</v>
        <stp/>
        <stp>21422436</stp>
        <stp>@bh,AUDNZD,d1,close,0</stp>
        <tr r="D2" s="2"/>
      </tp>
      <tp>
        <v>1.1009</v>
        <stp/>
        <stp>21422436</stp>
        <stp>@bh,AUDNZD,d1,close,3</stp>
        <tr r="D5" s="2"/>
      </tp>
      <tp>
        <v>1.0962700000000001</v>
        <stp/>
        <stp>21422436</stp>
        <stp>@bh,AUDNZD,d1,close,2</stp>
        <tr r="D4" s="2"/>
      </tp>
      <tp>
        <v>1.10453</v>
        <stp/>
        <stp>21422436</stp>
        <stp>@bh,AUDNZD,d1,close,5</stp>
        <tr r="D7" s="2"/>
      </tp>
      <tp>
        <v>1.1014600000000001</v>
        <stp/>
        <stp>21422436</stp>
        <stp>@bh,AUDNZD,d1,close,4</stp>
        <tr r="D6" s="2"/>
      </tp>
      <tp>
        <v>1.0914900000000001</v>
        <stp/>
        <stp>21422436</stp>
        <stp>@bh,AUDNZD,d1,close,7</stp>
        <tr r="D9" s="2"/>
      </tp>
      <tp>
        <v>1.0999399999999999</v>
        <stp/>
        <stp>21422436</stp>
        <stp>@bh,AUDNZD,d1,close,6</stp>
        <tr r="D8" s="2"/>
      </tp>
      <tp>
        <v>1.09524</v>
        <stp/>
        <stp>21422436</stp>
        <stp>@bh,AUDNZD,d1,close,9</stp>
        <tr r="D11" s="2"/>
      </tp>
      <tp>
        <v>1.09426</v>
        <stp/>
        <stp>21422436</stp>
        <stp>@bh,AUDNZD,d1,close,8</stp>
        <tr r="D10" s="2"/>
      </tp>
      <tp>
        <v>0.62721000000000005</v>
        <stp/>
        <stp>21422436</stp>
        <stp>@bh,CADCHF,h1,close,1</stp>
        <tr r="Z3" s="3"/>
      </tp>
      <tp>
        <v>0.62648999999999999</v>
        <stp/>
        <stp>21422436</stp>
        <stp>@bh,CADCHF,h4,close,4</stp>
        <tr r="Z6" s="1"/>
      </tp>
      <tp>
        <v>0.52600999999999998</v>
        <stp/>
        <stp>21422436</stp>
        <stp>@bh,NZDCHF,h4,close,9</stp>
        <tr r="V11" s="1"/>
      </tp>
      <tp>
        <v>0.83696999999999999</v>
        <stp/>
        <stp>21422436</stp>
        <stp>@bh,NZDCAD,h1,close,5</stp>
        <tr r="X7" s="3"/>
      </tp>
      <tp>
        <v>0.83543000000000001</v>
        <stp/>
        <stp>21422436</stp>
        <stp>@bh,NZDCAD,h4,close,0</stp>
        <tr r="X2" s="1"/>
      </tp>
      <tp>
        <v>0.57357000000000002</v>
        <stp/>
        <stp>21422436</stp>
        <stp>@bh,AUDCHF,h1,close,3</stp>
        <tr r="F5" s="3"/>
      </tp>
      <tp>
        <v>0.57584999999999997</v>
        <stp/>
        <stp>21422436</stp>
        <stp>@bh,AUDCHF,h4,close,6</stp>
        <tr r="F8" s="1"/>
      </tp>
      <tp>
        <v>0.62709000000000004</v>
        <stp/>
        <stp>21422436</stp>
        <stp>@bh,CADCHF,h1,close,0</stp>
        <tr r="Z2" s="3"/>
      </tp>
      <tp>
        <v>0.62644</v>
        <stp/>
        <stp>21422436</stp>
        <stp>@bh,CADCHF,h4,close,5</stp>
        <tr r="Z7" s="1"/>
      </tp>
      <tp>
        <v>0.52468000000000004</v>
        <stp/>
        <stp>21422436</stp>
        <stp>@bh,NZDCHF,h4,close,8</stp>
        <tr r="V10" s="1"/>
      </tp>
      <tp>
        <v>0.83645000000000003</v>
        <stp/>
        <stp>21422436</stp>
        <stp>@bh,NZDCAD,h1,close,4</stp>
        <tr r="X6" s="3"/>
      </tp>
      <tp>
        <v>0.83645000000000003</v>
        <stp/>
        <stp>21422436</stp>
        <stp>@bh,NZDCAD,h4,close,1</stp>
        <tr r="X3" s="1"/>
      </tp>
      <tp>
        <v>0.57357000000000002</v>
        <stp/>
        <stp>21422436</stp>
        <stp>@bh,AUDCHF,h1,close,2</stp>
        <tr r="F4" s="3"/>
      </tp>
      <tp>
        <v>0.57606000000000002</v>
        <stp/>
        <stp>21422436</stp>
        <stp>@bh,AUDCHF,h4,close,7</stp>
        <tr r="F9" s="1"/>
      </tp>
      <tp>
        <v>0.62677000000000005</v>
        <stp/>
        <stp>21422436</stp>
        <stp>@bh,CADCHF,h1,close,3</stp>
        <tr r="Z5" s="3"/>
      </tp>
      <tp>
        <v>0.62802000000000002</v>
        <stp/>
        <stp>21422436</stp>
        <stp>@bh,CADCHF,h4,close,6</stp>
        <tr r="Z8" s="1"/>
      </tp>
      <tp>
        <v>0.83586000000000005</v>
        <stp/>
        <stp>21422436</stp>
        <stp>@bh,NZDCAD,h1,close,7</stp>
        <tr r="X9" s="3"/>
      </tp>
      <tp>
        <v>0.83572000000000002</v>
        <stp/>
        <stp>21422436</stp>
        <stp>@bh,NZDCAD,h4,close,2</stp>
        <tr r="X4" s="1"/>
      </tp>
      <tp>
        <v>0.91510000000000002</v>
        <stp/>
        <stp>21422436</stp>
        <stp>@bh,AUDCAD,h1,close,8</stp>
        <tr r="G10" s="3"/>
      </tp>
      <tp>
        <v>0.57343999999999995</v>
        <stp/>
        <stp>21422436</stp>
        <stp>@bh,AUDCHF,h1,close,1</stp>
        <tr r="F3" s="3"/>
      </tp>
      <tp>
        <v>0.57435000000000003</v>
        <stp/>
        <stp>21422436</stp>
        <stp>@bh,AUDCHF,h4,close,4</stp>
        <tr r="F6" s="1"/>
      </tp>
      <tp>
        <v>0.62687999999999999</v>
        <stp/>
        <stp>21422436</stp>
        <stp>@bh,CADCHF,h1,close,2</stp>
        <tr r="Z4" s="3"/>
      </tp>
      <tp>
        <v>0.62829999999999997</v>
        <stp/>
        <stp>21422436</stp>
        <stp>@bh,CADCHF,h4,close,7</stp>
        <tr r="Z9" s="1"/>
      </tp>
      <tp>
        <v>0.83635000000000004</v>
        <stp/>
        <stp>21422436</stp>
        <stp>@bh,NZDCAD,h1,close,6</stp>
        <tr r="X8" s="3"/>
      </tp>
      <tp>
        <v>0.83611999999999997</v>
        <stp/>
        <stp>21422436</stp>
        <stp>@bh,NZDCAD,h4,close,3</stp>
        <tr r="X5" s="1"/>
      </tp>
      <tp>
        <v>0.91471999999999998</v>
        <stp/>
        <stp>21422436</stp>
        <stp>@bh,AUDCAD,h1,close,9</stp>
        <tr r="G11" s="3"/>
      </tp>
      <tp>
        <v>0.57330999999999999</v>
        <stp/>
        <stp>21422436</stp>
        <stp>@bh,AUDCHF,h1,close,0</stp>
        <tr r="F2" s="3"/>
      </tp>
      <tp>
        <v>0.57391999999999999</v>
        <stp/>
        <stp>21422436</stp>
        <stp>@bh,AUDCHF,h4,close,5</stp>
        <tr r="F7" s="1"/>
      </tp>
      <tp>
        <v>0.62629000000000001</v>
        <stp/>
        <stp>21422436</stp>
        <stp>@bh,CADCHF,h1,close,5</stp>
        <tr r="Z7" s="3"/>
      </tp>
      <tp>
        <v>0.62709000000000004</v>
        <stp/>
        <stp>21422436</stp>
        <stp>@bh,CADCHF,h4,close,0</stp>
        <tr r="Z2" s="1"/>
      </tp>
      <tp>
        <v>0.52371999999999996</v>
        <stp/>
        <stp>21422436</stp>
        <stp>@bh,NZDCHF,h1,close,8</stp>
        <tr r="V10" s="3"/>
      </tp>
      <tp>
        <v>0.83550999999999997</v>
        <stp/>
        <stp>21422436</stp>
        <stp>@bh,NZDCAD,h1,close,1</stp>
        <tr r="X3" s="3"/>
      </tp>
      <tp>
        <v>0.83684000000000003</v>
        <stp/>
        <stp>21422436</stp>
        <stp>@bh,NZDCAD,h4,close,4</stp>
        <tr r="X6" s="1"/>
      </tp>
      <tp>
        <v>0.57376000000000005</v>
        <stp/>
        <stp>21422436</stp>
        <stp>@bh,AUDCHF,h1,close,7</stp>
        <tr r="F9" s="3"/>
      </tp>
      <tp>
        <v>0.57345000000000002</v>
        <stp/>
        <stp>21422436</stp>
        <stp>@bh,AUDCHF,h4,close,2</stp>
        <tr r="F4" s="1"/>
      </tp>
      <tp>
        <v>0.62697999999999998</v>
        <stp/>
        <stp>21422436</stp>
        <stp>@bh,CADCHF,h1,close,4</stp>
        <tr r="Z6" s="3"/>
      </tp>
      <tp>
        <v>0.62697999999999998</v>
        <stp/>
        <stp>21422436</stp>
        <stp>@bh,CADCHF,h4,close,1</stp>
        <tr r="Z3" s="1"/>
      </tp>
      <tp>
        <v>0.52353000000000005</v>
        <stp/>
        <stp>21422436</stp>
        <stp>@bh,NZDCHF,h1,close,9</stp>
        <tr r="V11" s="3"/>
      </tp>
      <tp>
        <v>0.83543000000000001</v>
        <stp/>
        <stp>21422436</stp>
        <stp>@bh,NZDCAD,h1,close,0</stp>
        <tr r="X2" s="3"/>
      </tp>
      <tp>
        <v>0.83655000000000002</v>
        <stp/>
        <stp>21422436</stp>
        <stp>@bh,NZDCAD,h4,close,5</stp>
        <tr r="X7" s="1"/>
      </tp>
      <tp>
        <v>0.57355999999999996</v>
        <stp/>
        <stp>21422436</stp>
        <stp>@bh,AUDCHF,h1,close,6</stp>
        <tr r="F8" s="3"/>
      </tp>
      <tp>
        <v>0.57440000000000002</v>
        <stp/>
        <stp>21422436</stp>
        <stp>@bh,AUDCHF,h4,close,3</stp>
        <tr r="F5" s="1"/>
      </tp>
      <tp>
        <v>0.62678999999999996</v>
        <stp/>
        <stp>21422436</stp>
        <stp>@bh,CADCHF,h1,close,7</stp>
        <tr r="Z9" s="3"/>
      </tp>
      <tp>
        <v>0.62663999999999997</v>
        <stp/>
        <stp>21422436</stp>
        <stp>@bh,CADCHF,h4,close,2</stp>
        <tr r="Z4" s="1"/>
      </tp>
      <tp>
        <v>0.83630000000000004</v>
        <stp/>
        <stp>21422436</stp>
        <stp>@bh,NZDCAD,h1,close,3</stp>
        <tr r="X5" s="3"/>
      </tp>
      <tp>
        <v>0.83570999999999995</v>
        <stp/>
        <stp>21422436</stp>
        <stp>@bh,NZDCAD,h4,close,6</stp>
        <tr r="X8" s="1"/>
      </tp>
      <tp>
        <v>0.91913999999999996</v>
        <stp/>
        <stp>21422436</stp>
        <stp>@bh,AUDCAD,h4,close,9</stp>
        <tr r="G11" s="1"/>
      </tp>
      <tp>
        <v>0.57376000000000005</v>
        <stp/>
        <stp>21422436</stp>
        <stp>@bh,AUDCHF,h1,close,5</stp>
        <tr r="F7" s="3"/>
      </tp>
      <tp>
        <v>0.57330999999999999</v>
        <stp/>
        <stp>21422436</stp>
        <stp>@bh,AUDCHF,h4,close,0</stp>
        <tr r="F2" s="1"/>
      </tp>
      <tp>
        <v>0.62649999999999995</v>
        <stp/>
        <stp>21422436</stp>
        <stp>@bh,CADCHF,h1,close,6</stp>
        <tr r="Z8" s="3"/>
      </tp>
      <tp>
        <v>0.62695999999999996</v>
        <stp/>
        <stp>21422436</stp>
        <stp>@bh,CADCHF,h4,close,3</stp>
        <tr r="Z5" s="1"/>
      </tp>
      <tp>
        <v>0.83601000000000003</v>
        <stp/>
        <stp>21422436</stp>
        <stp>@bh,NZDCAD,h1,close,2</stp>
        <tr r="X4" s="3"/>
      </tp>
      <tp>
        <v>0.83548999999999995</v>
        <stp/>
        <stp>21422436</stp>
        <stp>@bh,NZDCAD,h4,close,7</stp>
        <tr r="X9" s="1"/>
      </tp>
      <tp>
        <v>0.91822000000000004</v>
        <stp/>
        <stp>21422436</stp>
        <stp>@bh,AUDCAD,h4,close,8</stp>
        <tr r="G10" s="1"/>
      </tp>
      <tp>
        <v>0.57423999999999997</v>
        <stp/>
        <stp>21422436</stp>
        <stp>@bh,AUDCHF,h1,close,4</stp>
        <tr r="F6" s="3"/>
      </tp>
      <tp>
        <v>0.57423999999999997</v>
        <stp/>
        <stp>21422436</stp>
        <stp>@bh,AUDCHF,h4,close,1</stp>
        <tr r="F3" s="1"/>
      </tp>
      <tp>
        <v>0.62658999999999998</v>
        <stp/>
        <stp>21422436</stp>
        <stp>@bh,CADCHF,h1,close,9</stp>
        <tr r="Z11" s="3"/>
      </tp>
      <tp>
        <v>0.52444999999999997</v>
        <stp/>
        <stp>21422436</stp>
        <stp>@bh,NZDCHF,h1,close,4</stp>
        <tr r="V6" s="3"/>
      </tp>
      <tp>
        <v>0.52444999999999997</v>
        <stp/>
        <stp>21422436</stp>
        <stp>@bh,NZDCHF,h4,close,1</stp>
        <tr r="V3" s="1"/>
      </tp>
      <tp>
        <v>0.83625000000000005</v>
        <stp/>
        <stp>21422436</stp>
        <stp>@bh,NZDCAD,h4,close,8</stp>
        <tr r="X10" s="1"/>
      </tp>
      <tp>
        <v>0.91496</v>
        <stp/>
        <stp>21422436</stp>
        <stp>@bh,AUDCAD,h1,close,2</stp>
        <tr r="G4" s="3"/>
      </tp>
      <tp>
        <v>0.91683999999999999</v>
        <stp/>
        <stp>21422436</stp>
        <stp>@bh,AUDCAD,h4,close,7</stp>
        <tr r="G9" s="1"/>
      </tp>
      <tp>
        <v>0.62663999999999997</v>
        <stp/>
        <stp>21422436</stp>
        <stp>@bh,CADCHF,h1,close,8</stp>
        <tr r="Z10" s="3"/>
      </tp>
      <tp>
        <v>0.52419000000000004</v>
        <stp/>
        <stp>21422436</stp>
        <stp>@bh,NZDCHF,h1,close,5</stp>
        <tr r="V7" s="3"/>
      </tp>
      <tp>
        <v>0.52388999999999997</v>
        <stp/>
        <stp>21422436</stp>
        <stp>@bh,NZDCHF,h4,close,0</stp>
        <tr r="V2" s="1"/>
      </tp>
      <tp>
        <v>0.83914999999999995</v>
        <stp/>
        <stp>21422436</stp>
        <stp>@bh,NZDCAD,h4,close,9</stp>
        <tr r="X11" s="1"/>
      </tp>
      <tp>
        <v>0.91512000000000004</v>
        <stp/>
        <stp>21422436</stp>
        <stp>@bh,AUDCAD,h1,close,3</stp>
        <tr r="G5" s="3"/>
      </tp>
      <tp>
        <v>0.91691999999999996</v>
        <stp/>
        <stp>21422436</stp>
        <stp>@bh,AUDCAD,h4,close,6</stp>
        <tr r="G8" s="1"/>
      </tp>
      <tp>
        <v>0.52398</v>
        <stp/>
        <stp>21422436</stp>
        <stp>@bh,NZDCHF,h1,close,6</stp>
        <tr r="V8" s="3"/>
      </tp>
      <tp>
        <v>0.52422000000000002</v>
        <stp/>
        <stp>21422436</stp>
        <stp>@bh,NZDCHF,h4,close,3</stp>
        <tr r="V5" s="1"/>
      </tp>
      <tp>
        <v>0.91422999999999999</v>
        <stp/>
        <stp>21422436</stp>
        <stp>@bh,AUDCAD,h1,close,0</stp>
        <tr r="G2" s="3"/>
      </tp>
      <tp>
        <v>0.91615000000000002</v>
        <stp/>
        <stp>21422436</stp>
        <stp>@bh,AUDCAD,h4,close,5</stp>
        <tr r="G7" s="1"/>
      </tp>
      <tp>
        <v>0.57315000000000005</v>
        <stp/>
        <stp>21422436</stp>
        <stp>@bh,AUDCHF,h1,close,9</stp>
        <tr r="F11" s="3"/>
      </tp>
      <tp>
        <v>0.52392000000000005</v>
        <stp/>
        <stp>21422436</stp>
        <stp>@bh,NZDCHF,h1,close,7</stp>
        <tr r="V9" s="3"/>
      </tp>
      <tp>
        <v>0.52371999999999996</v>
        <stp/>
        <stp>21422436</stp>
        <stp>@bh,NZDCHF,h4,close,2</stp>
        <tr r="V4" s="1"/>
      </tp>
      <tp>
        <v>0.91425999999999996</v>
        <stp/>
        <stp>21422436</stp>
        <stp>@bh,AUDCAD,h1,close,1</stp>
        <tr r="G3" s="3"/>
      </tp>
      <tp>
        <v>0.91671000000000002</v>
        <stp/>
        <stp>21422436</stp>
        <stp>@bh,AUDCAD,h4,close,4</stp>
        <tr r="G6" s="1"/>
      </tp>
      <tp>
        <v>0.57345000000000002</v>
        <stp/>
        <stp>21422436</stp>
        <stp>@bh,AUDCHF,h1,close,8</stp>
        <tr r="F10" s="3"/>
      </tp>
      <tp>
        <v>0.62741000000000002</v>
        <stp/>
        <stp>21422436</stp>
        <stp>@bh,CADCHF,h4,close,8</stp>
        <tr r="Z10" s="1"/>
      </tp>
      <tp>
        <v>0.52388999999999997</v>
        <stp/>
        <stp>21422436</stp>
        <stp>@bh,NZDCHF,h1,close,0</stp>
        <tr r="V2" s="3"/>
      </tp>
      <tp>
        <v>0.52405000000000002</v>
        <stp/>
        <stp>21422436</stp>
        <stp>@bh,NZDCHF,h4,close,5</stp>
        <tr r="V7" s="1"/>
      </tp>
      <tp>
        <v>0.83550999999999997</v>
        <stp/>
        <stp>21422436</stp>
        <stp>@bh,NZDCAD,h1,close,9</stp>
        <tr r="X11" s="3"/>
      </tp>
      <tp>
        <v>0.91549999999999998</v>
        <stp/>
        <stp>21422436</stp>
        <stp>@bh,AUDCAD,h1,close,6</stp>
        <tr r="G8" s="3"/>
      </tp>
      <tp>
        <v>0.91617000000000004</v>
        <stp/>
        <stp>21422436</stp>
        <stp>@bh,AUDCAD,h4,close,3</stp>
        <tr r="G5" s="1"/>
      </tp>
      <tp>
        <v>0.62683</v>
        <stp/>
        <stp>21422436</stp>
        <stp>@bh,CADCHF,h4,close,9</stp>
        <tr r="Z11" s="1"/>
      </tp>
      <tp>
        <v>0.52405000000000002</v>
        <stp/>
        <stp>21422436</stp>
        <stp>@bh,NZDCHF,h1,close,1</stp>
        <tr r="V3" s="3"/>
      </tp>
      <tp>
        <v>0.52417000000000002</v>
        <stp/>
        <stp>21422436</stp>
        <stp>@bh,NZDCHF,h4,close,4</stp>
        <tr r="V6" s="1"/>
      </tp>
      <tp>
        <v>0.83572000000000002</v>
        <stp/>
        <stp>21422436</stp>
        <stp>@bh,NZDCAD,h1,close,8</stp>
        <tr r="X10" s="3"/>
      </tp>
      <tp>
        <v>0.91539999999999999</v>
        <stp/>
        <stp>21422436</stp>
        <stp>@bh,AUDCAD,h1,close,7</stp>
        <tr r="G9" s="3"/>
      </tp>
      <tp>
        <v>0.91510000000000002</v>
        <stp/>
        <stp>21422436</stp>
        <stp>@bh,AUDCAD,h4,close,2</stp>
        <tr r="G4" s="1"/>
      </tp>
      <tp>
        <v>0.52408999999999994</v>
        <stp/>
        <stp>21422436</stp>
        <stp>@bh,NZDCHF,h1,close,2</stp>
        <tr r="V4" s="3"/>
      </tp>
      <tp>
        <v>0.52495999999999998</v>
        <stp/>
        <stp>21422436</stp>
        <stp>@bh,NZDCHF,h4,close,7</stp>
        <tr r="V9" s="1"/>
      </tp>
      <tp>
        <v>0.91588000000000003</v>
        <stp/>
        <stp>21422436</stp>
        <stp>@bh,AUDCAD,h1,close,4</stp>
        <tr r="G6" s="3"/>
      </tp>
      <tp>
        <v>0.91588000000000003</v>
        <stp/>
        <stp>21422436</stp>
        <stp>@bh,AUDCAD,h4,close,1</stp>
        <tr r="G3" s="1"/>
      </tp>
      <tp>
        <v>0.57611000000000001</v>
        <stp/>
        <stp>21422436</stp>
        <stp>@bh,AUDCHF,h4,close,8</stp>
        <tr r="F10" s="1"/>
      </tp>
      <tp>
        <v>0.52417999999999998</v>
        <stp/>
        <stp>21422436</stp>
        <stp>@bh,NZDCHF,h1,close,3</stp>
        <tr r="V5" s="3"/>
      </tp>
      <tp>
        <v>0.52485000000000004</v>
        <stp/>
        <stp>21422436</stp>
        <stp>@bh,NZDCHF,h4,close,6</stp>
        <tr r="V8" s="1"/>
      </tp>
      <tp>
        <v>0.91610999999999998</v>
        <stp/>
        <stp>21422436</stp>
        <stp>@bh,AUDCAD,h1,close,5</stp>
        <tr r="G7" s="3"/>
      </tp>
      <tp>
        <v>0.91422999999999999</v>
        <stp/>
        <stp>21422436</stp>
        <stp>@bh,AUDCAD,h4,close,0</stp>
        <tr r="G2" s="1"/>
      </tp>
      <tp>
        <v>0.57613999999999999</v>
        <stp/>
        <stp>21422436</stp>
        <stp>@bh,AUDCHF,h4,close,9</stp>
        <tr r="F11" s="1"/>
      </tp>
      <tp>
        <v>0.85143000000000002</v>
        <stp/>
        <stp>21422436</stp>
        <stp>@bh,USDCHF,h1,close,7</stp>
        <tr r="AC9" s="3"/>
      </tp>
      <tp>
        <v>0.85141</v>
        <stp/>
        <stp>21422436</stp>
        <stp>@bh,USDCHF,h4,close,2</stp>
        <tr r="AC4" s="1"/>
      </tp>
      <tp>
        <v>0.85087999999999997</v>
        <stp/>
        <stp>21422436</stp>
        <stp>@bh,USDCHF,h1,close,6</stp>
        <tr r="AC8" s="3"/>
      </tp>
      <tp>
        <v>0.85179000000000005</v>
        <stp/>
        <stp>21422436</stp>
        <stp>@bh,USDCHF,h4,close,3</stp>
        <tr r="AC5" s="1"/>
      </tp>
      <tp>
        <v>0.85021999999999998</v>
        <stp/>
        <stp>21422436</stp>
        <stp>@bh,USDCHF,h1,close,5</stp>
        <tr r="AC7" s="3"/>
      </tp>
      <tp>
        <v>0.85228000000000004</v>
        <stp/>
        <stp>21422436</stp>
        <stp>@bh,USDCHF,h4,close,0</stp>
        <tr r="AC2" s="1"/>
      </tp>
      <tp>
        <v>1.3616900000000001</v>
        <stp/>
        <stp>21422436</stp>
        <stp>@bh,USDCAD,h4,close,9</stp>
        <tr r="AB11" s="1"/>
      </tp>
      <tp>
        <v>0.85124</v>
        <stp/>
        <stp>21422436</stp>
        <stp>@bh,USDCHF,h1,close,4</stp>
        <tr r="AC6" s="3"/>
      </tp>
      <tp>
        <v>0.85124</v>
        <stp/>
        <stp>21422436</stp>
        <stp>@bh,USDCHF,h4,close,1</stp>
        <tr r="AC3" s="1"/>
      </tp>
      <tp>
        <v>1.3614900000000001</v>
        <stp/>
        <stp>21422436</stp>
        <stp>@bh,USDCAD,h4,close,8</stp>
        <tr r="AB10" s="1"/>
      </tp>
      <tp>
        <v>0.85099999999999998</v>
        <stp/>
        <stp>21422436</stp>
        <stp>@bh,USDCHF,h1,close,3</stp>
        <tr r="AC5" s="3"/>
      </tp>
      <tp>
        <v>0.85401000000000005</v>
        <stp/>
        <stp>21422436</stp>
        <stp>@bh,USDCHF,h4,close,6</stp>
        <tr r="AC8" s="1"/>
      </tp>
      <tp>
        <v>0.85143000000000002</v>
        <stp/>
        <stp>21422436</stp>
        <stp>@bh,USDCHF,h1,close,2</stp>
        <tr r="AC4" s="3"/>
      </tp>
      <tp>
        <v>0.85523000000000005</v>
        <stp/>
        <stp>21422436</stp>
        <stp>@bh,USDCHF,h4,close,7</stp>
        <tr r="AC9" s="1"/>
      </tp>
      <tp>
        <v>0.85197000000000001</v>
        <stp/>
        <stp>21422436</stp>
        <stp>@bh,USDCHF,h1,close,1</stp>
        <tr r="AC3" s="3"/>
      </tp>
      <tp>
        <v>0.85167000000000004</v>
        <stp/>
        <stp>21422436</stp>
        <stp>@bh,USDCHF,h4,close,4</stp>
        <tr r="AC6" s="1"/>
      </tp>
      <tp>
        <v>1.35877</v>
        <stp/>
        <stp>21422436</stp>
        <stp>@bh,USDCAD,h1,close,8</stp>
        <tr r="AB10" s="3"/>
      </tp>
      <tp>
        <v>0.85228000000000004</v>
        <stp/>
        <stp>21422436</stp>
        <stp>@bh,USDCHF,h1,close,0</stp>
        <tr r="AC2" s="3"/>
      </tp>
      <tp>
        <v>0.85133999999999999</v>
        <stp/>
        <stp>21422436</stp>
        <stp>@bh,USDCHF,h4,close,5</stp>
        <tr r="AC7" s="1"/>
      </tp>
      <tp>
        <v>1.35877</v>
        <stp/>
        <stp>21422436</stp>
        <stp>@bh,USDCAD,h1,close,9</stp>
        <tr r="AB11" s="3"/>
      </tp>
      <tp>
        <v>1.35825</v>
        <stp/>
        <stp>21422436</stp>
        <stp>@bh,USDCAD,h1,close,6</stp>
        <tr r="AB8" s="3"/>
      </tp>
      <tp>
        <v>1.3587100000000001</v>
        <stp/>
        <stp>21422436</stp>
        <stp>@bh,USDCAD,h4,close,3</stp>
        <tr r="AB5" s="1"/>
      </tp>
      <tp>
        <v>1.3585199999999999</v>
        <stp/>
        <stp>21422436</stp>
        <stp>@bh,USDCAD,h1,close,7</stp>
        <tr r="AB9" s="3"/>
      </tp>
      <tp>
        <v>1.35877</v>
        <stp/>
        <stp>21422436</stp>
        <stp>@bh,USDCAD,h4,close,2</stp>
        <tr r="AB4" s="1"/>
      </tp>
      <tp>
        <v>0.85419999999999996</v>
        <stp/>
        <stp>21422436</stp>
        <stp>@bh,USDCHF,h4,close,8</stp>
        <tr r="AC10" s="1"/>
      </tp>
      <tp>
        <v>1.3577900000000001</v>
        <stp/>
        <stp>21422436</stp>
        <stp>@bh,USDCAD,h1,close,4</stp>
        <tr r="AB6" s="3"/>
      </tp>
      <tp>
        <v>1.3577900000000001</v>
        <stp/>
        <stp>21422436</stp>
        <stp>@bh,USDCAD,h4,close,1</stp>
        <tr r="AB3" s="1"/>
      </tp>
      <tp>
        <v>0.85353000000000001</v>
        <stp/>
        <stp>21422436</stp>
        <stp>@bh,USDCHF,h4,close,9</stp>
        <tr r="AC11" s="1"/>
      </tp>
      <tp>
        <v>1.3576299999999999</v>
        <stp/>
        <stp>21422436</stp>
        <stp>@bh,USDCAD,h1,close,5</stp>
        <tr r="AB7" s="3"/>
      </tp>
      <tp>
        <v>1.35917</v>
        <stp/>
        <stp>21422436</stp>
        <stp>@bh,USDCAD,h4,close,0</stp>
        <tr r="AB2" s="1"/>
      </tp>
      <tp>
        <v>1.3583000000000001</v>
        <stp/>
        <stp>21422436</stp>
        <stp>@bh,USDCAD,h1,close,2</stp>
        <tr r="AB4" s="3"/>
      </tp>
      <tp>
        <v>1.3611899999999999</v>
        <stp/>
        <stp>21422436</stp>
        <stp>@bh,USDCAD,h4,close,7</stp>
        <tr r="AB9" s="1"/>
      </tp>
      <tp>
        <v>1.3578699999999999</v>
        <stp/>
        <stp>21422436</stp>
        <stp>@bh,USDCAD,h1,close,3</stp>
        <tr r="AB5" s="3"/>
      </tp>
      <tp>
        <v>1.3598600000000001</v>
        <stp/>
        <stp>21422436</stp>
        <stp>@bh,USDCAD,h4,close,6</stp>
        <tr r="AB8" s="1"/>
      </tp>
      <tp>
        <v>0.85131999999999997</v>
        <stp/>
        <stp>21422436</stp>
        <stp>@bh,USDCHF,h1,close,9</stp>
        <tr r="AC11" s="3"/>
      </tp>
      <tp>
        <v>1.35917</v>
        <stp/>
        <stp>21422436</stp>
        <stp>@bh,USDCAD,h1,close,0</stp>
        <tr r="AB2" s="3"/>
      </tp>
      <tp>
        <v>1.3590199999999999</v>
        <stp/>
        <stp>21422436</stp>
        <stp>@bh,USDCAD,h4,close,5</stp>
        <tr r="AB7" s="1"/>
      </tp>
      <tp>
        <v>0.85141</v>
        <stp/>
        <stp>21422436</stp>
        <stp>@bh,USDCHF,h1,close,8</stp>
        <tr r="AC10" s="3"/>
      </tp>
      <tp>
        <v>1.35846</v>
        <stp/>
        <stp>21422436</stp>
        <stp>@bh,USDCAD,h1,close,1</stp>
        <tr r="AB3" s="3"/>
      </tp>
      <tp>
        <v>1.35934</v>
        <stp/>
        <stp>21422436</stp>
        <stp>@bh,USDCAD,h4,close,4</stp>
        <tr r="AB6" s="1"/>
      </tp>
      <tp>
        <v>146.62200000000001</v>
        <stp/>
        <stp>21422436</stp>
        <stp>@bh,USDJPY,d1,close,9</stp>
        <tr r="AD11" s="2"/>
      </tp>
      <tp>
        <v>147.19</v>
        <stp/>
        <stp>21422436</stp>
        <stp>@bh,USDJPY,d1,close,8</stp>
        <tr r="AD10" s="2"/>
      </tp>
      <tp>
        <v>146.846</v>
        <stp/>
        <stp>21422436</stp>
        <stp>@bh,USDJPY,d1,close,7</stp>
        <tr r="AD9" s="2"/>
      </tp>
      <tp>
        <v>147.31399999999999</v>
        <stp/>
        <stp>21422436</stp>
        <stp>@bh,USDJPY,d1,close,6</stp>
        <tr r="AD8" s="2"/>
      </tp>
      <tp>
        <v>149.28299999999999</v>
        <stp/>
        <stp>21422436</stp>
        <stp>@bh,USDJPY,d1,close,5</stp>
        <tr r="AD7" s="2"/>
      </tp>
      <tp>
        <v>147.59800000000001</v>
        <stp/>
        <stp>21422436</stp>
        <stp>@bh,USDJPY,d1,close,4</stp>
        <tr r="AD6" s="2"/>
      </tp>
      <tp>
        <v>146.602</v>
        <stp/>
        <stp>21422436</stp>
        <stp>@bh,USDJPY,d1,close,3</stp>
        <tr r="AD5" s="2"/>
      </tp>
      <tp>
        <v>145.262</v>
        <stp/>
        <stp>21422436</stp>
        <stp>@bh,USDJPY,d1,close,2</stp>
        <tr r="AD4" s="2"/>
      </tp>
      <tp>
        <v>145.27199999999999</v>
        <stp/>
        <stp>21422436</stp>
        <stp>@bh,USDJPY,d1,close,1</stp>
        <tr r="AD3" s="2"/>
      </tp>
      <tp>
        <v>146.113</v>
        <stp/>
        <stp>21422436</stp>
        <stp>@bh,USDJPY,d1,close,0</stp>
        <tr r="AD2" s="2"/>
      </tp>
      <tp>
        <v>89.352999999999994</v>
        <stp/>
        <stp>21422436</stp>
        <stp>@bh,NZDJPY,d1,close,4</stp>
        <tr r="U6" s="2"/>
      </tp>
      <tp>
        <v>106.773</v>
        <stp/>
        <stp>21422436</stp>
        <stp>@bh,CADJPY,d1,close,9</stp>
        <tr r="Y11" s="2"/>
      </tp>
      <tp>
        <v>89.317999999999998</v>
        <stp/>
        <stp>21422436</stp>
        <stp>@bh,NZDJPY,d1,close,5</stp>
        <tr r="U7" s="2"/>
      </tp>
      <tp>
        <v>107.102</v>
        <stp/>
        <stp>21422436</stp>
        <stp>@bh,CADJPY,d1,close,8</stp>
        <tr r="Y10" s="2"/>
      </tp>
      <tp>
        <v>96.343999999999994</v>
        <stp/>
        <stp>21422436</stp>
        <stp>@bh,AUDJPY,d1,close,9</stp>
        <tr r="E11" s="2"/>
      </tp>
      <tp>
        <v>88.301000000000002</v>
        <stp/>
        <stp>21422436</stp>
        <stp>@bh,NZDJPY,d1,close,6</stp>
        <tr r="U8" s="2"/>
      </tp>
      <tp>
        <v>96.935000000000002</v>
        <stp/>
        <stp>21422436</stp>
        <stp>@bh,AUDJPY,d1,close,8</stp>
        <tr r="E10" s="2"/>
      </tp>
      <tp>
        <v>89.222999999999999</v>
        <stp/>
        <stp>21422436</stp>
        <stp>@bh,NZDJPY,d1,close,7</stp>
        <tr r="U9" s="2"/>
      </tp>
      <tp>
        <v>89.816000000000003</v>
        <stp/>
        <stp>21422436</stp>
        <stp>@bh,NZDJPY,d1,close,0</stp>
        <tr r="U2" s="2"/>
      </tp>
      <tp>
        <v>89.406000000000006</v>
        <stp/>
        <stp>21422436</stp>
        <stp>@bh,NZDJPY,d1,close,1</stp>
        <tr r="U3" s="2"/>
      </tp>
      <tp>
        <v>89.375</v>
        <stp/>
        <stp>21422436</stp>
        <stp>@bh,NZDJPY,d1,close,2</stp>
        <tr r="U4" s="2"/>
      </tp>
      <tp>
        <v>89.62</v>
        <stp/>
        <stp>21422436</stp>
        <stp>@bh,NZDJPY,d1,close,3</stp>
        <tr r="U5" s="2"/>
      </tp>
      <tp>
        <v>98.691000000000003</v>
        <stp/>
        <stp>21422436</stp>
        <stp>@bh,AUDJPY,d1,close,3</stp>
        <tr r="E5" s="2"/>
      </tp>
      <tp>
        <v>106.866</v>
        <stp/>
        <stp>21422436</stp>
        <stp>@bh,CADJPY,d1,close,1</stp>
        <tr r="Y3" s="2"/>
      </tp>
      <tp>
        <v>98.001999999999995</v>
        <stp/>
        <stp>21422436</stp>
        <stp>@bh,AUDJPY,d1,close,2</stp>
        <tr r="E4" s="2"/>
      </tp>
      <tp>
        <v>107.508</v>
        <stp/>
        <stp>21422436</stp>
        <stp>@bh,CADJPY,d1,close,0</stp>
        <tr r="Y2" s="2"/>
      </tp>
      <tp>
        <v>97.972999999999999</v>
        <stp/>
        <stp>21422436</stp>
        <stp>@bh,AUDJPY,d1,close,1</stp>
        <tr r="E3" s="2"/>
      </tp>
      <tp>
        <v>107.524</v>
        <stp/>
        <stp>21422436</stp>
        <stp>@bh,CADJPY,d1,close,3</stp>
        <tr r="Y5" s="2"/>
      </tp>
      <tp>
        <v>98.289000000000001</v>
        <stp/>
        <stp>21422436</stp>
        <stp>@bh,AUDJPY,d1,close,0</stp>
        <tr r="E2" s="2"/>
      </tp>
      <tp>
        <v>106.64700000000001</v>
        <stp/>
        <stp>21422436</stp>
        <stp>@bh,CADJPY,d1,close,2</stp>
        <tr r="Y4" s="2"/>
      </tp>
      <tp>
        <v>97.409000000000006</v>
        <stp/>
        <stp>21422436</stp>
        <stp>@bh,AUDJPY,d1,close,7</stp>
        <tr r="E9" s="2"/>
      </tp>
      <tp>
        <v>88.561000000000007</v>
        <stp/>
        <stp>21422436</stp>
        <stp>@bh,NZDJPY,d1,close,8</stp>
        <tr r="U10" s="2"/>
      </tp>
      <tp>
        <v>108.73699999999999</v>
        <stp/>
        <stp>21422436</stp>
        <stp>@bh,CADJPY,d1,close,5</stp>
        <tr r="Y7" s="2"/>
      </tp>
      <tp>
        <v>97.171000000000006</v>
        <stp/>
        <stp>21422436</stp>
        <stp>@bh,AUDJPY,d1,close,6</stp>
        <tr r="E8" s="2"/>
      </tp>
      <tp>
        <v>87.944000000000003</v>
        <stp/>
        <stp>21422436</stp>
        <stp>@bh,NZDJPY,d1,close,9</stp>
        <tr r="U11" s="2"/>
      </tp>
      <tp>
        <v>107.89400000000001</v>
        <stp/>
        <stp>21422436</stp>
        <stp>@bh,CADJPY,d1,close,4</stp>
        <tr r="Y6" s="2"/>
      </tp>
      <tp>
        <v>98.677999999999997</v>
        <stp/>
        <stp>21422436</stp>
        <stp>@bh,AUDJPY,d1,close,5</stp>
        <tr r="E7" s="2"/>
      </tp>
      <tp>
        <v>107.133</v>
        <stp/>
        <stp>21422436</stp>
        <stp>@bh,CADJPY,d1,close,7</stp>
        <tr r="Y9" s="2"/>
      </tp>
      <tp>
        <v>98.436000000000007</v>
        <stp/>
        <stp>21422436</stp>
        <stp>@bh,AUDJPY,d1,close,4</stp>
        <tr r="E6" s="2"/>
      </tp>
      <tp>
        <v>107.41800000000001</v>
        <stp/>
        <stp>21422436</stp>
        <stp>@bh,CADJPY,d1,close,6</stp>
        <tr r="Y8" s="2"/>
      </tp>
      <tp>
        <v>0.60770000000000002</v>
        <stp/>
        <stp>21422436</stp>
        <stp>@bh,NZDUSD,d1,close,7</stp>
        <tr r="W9" s="2"/>
      </tp>
      <tp>
        <v>0.65859000000000001</v>
        <stp/>
        <stp>21422436</stp>
        <stp>@bh,AUDUSD,d1,close,8</stp>
        <tr r="C10" s="2"/>
      </tp>
      <tp>
        <v>0.59968999999999995</v>
        <stp/>
        <stp>21422436</stp>
        <stp>@bh,NZDUSD,d1,close,6</stp>
        <tr r="W8" s="2"/>
      </tp>
      <tp>
        <v>0.65722000000000003</v>
        <stp/>
        <stp>21422436</stp>
        <stp>@bh,AUDUSD,d1,close,9</stp>
        <tr r="C11" s="2"/>
      </tp>
      <tp>
        <v>0.59841</v>
        <stp/>
        <stp>21422436</stp>
        <stp>@bh,NZDUSD,d1,close,5</stp>
        <tr r="W7" s="2"/>
      </tp>
      <tp>
        <v>0.60541</v>
        <stp/>
        <stp>21422436</stp>
        <stp>@bh,NZDUSD,d1,close,4</stp>
        <tr r="W6" s="2"/>
      </tp>
      <tp>
        <v>0.61141000000000001</v>
        <stp/>
        <stp>21422436</stp>
        <stp>@bh,NZDUSD,d1,close,3</stp>
        <tr r="W5" s="2"/>
      </tp>
      <tp>
        <v>0.61536000000000002</v>
        <stp/>
        <stp>21422436</stp>
        <stp>@bh,NZDUSD,d1,close,2</stp>
        <tr r="W4" s="2"/>
      </tp>
      <tp>
        <v>0.61570000000000003</v>
        <stp/>
        <stp>21422436</stp>
        <stp>@bh,NZDUSD,d1,close,1</stp>
        <tr r="W3" s="2"/>
      </tp>
      <tp>
        <v>0.61473</v>
        <stp/>
        <stp>21422436</stp>
        <stp>@bh,NZDUSD,d1,close,0</stp>
        <tr r="W2" s="2"/>
      </tp>
      <tp>
        <v>0.67267999999999994</v>
        <stp/>
        <stp>21422436</stp>
        <stp>@bh,AUDUSD,d1,close,0</stp>
        <tr r="C2" s="2"/>
      </tp>
      <tp>
        <v>0.67440999999999995</v>
        <stp/>
        <stp>21422436</stp>
        <stp>@bh,AUDUSD,d1,close,1</stp>
        <tr r="C3" s="2"/>
      </tp>
      <tp>
        <v>0.67466999999999999</v>
        <stp/>
        <stp>21422436</stp>
        <stp>@bh,AUDUSD,d1,close,2</stp>
        <tr r="C4" s="2"/>
      </tp>
      <tp>
        <v>0.67320000000000002</v>
        <stp/>
        <stp>21422436</stp>
        <stp>@bh,AUDUSD,d1,close,3</stp>
        <tr r="C5" s="2"/>
      </tp>
      <tp>
        <v>0.66700999999999999</v>
        <stp/>
        <stp>21422436</stp>
        <stp>@bh,AUDUSD,d1,close,4</stp>
        <tr r="C6" s="2"/>
      </tp>
      <tp>
        <v>0.66103999999999996</v>
        <stp/>
        <stp>21422436</stp>
        <stp>@bh,AUDUSD,d1,close,5</stp>
        <tr r="C7" s="2"/>
      </tp>
      <tp>
        <v>0.59992999999999996</v>
        <stp/>
        <stp>21422436</stp>
        <stp>@bh,NZDUSD,d1,close,9</stp>
        <tr r="W11" s="2"/>
      </tp>
      <tp>
        <v>0.65964999999999996</v>
        <stp/>
        <stp>21422436</stp>
        <stp>@bh,AUDUSD,d1,close,6</stp>
        <tr r="C8" s="2"/>
      </tp>
      <tp>
        <v>0.60177999999999998</v>
        <stp/>
        <stp>21422436</stp>
        <stp>@bh,NZDUSD,d1,close,8</stp>
        <tr r="W10" s="2"/>
      </tp>
      <tp>
        <v>0.66337000000000002</v>
        <stp/>
        <stp>21422436</stp>
        <stp>@bh,AUDUSD,d1,close,7</stp>
        <tr r="C9" s="2"/>
      </tp>
      <tp>
        <v>0.61534</v>
        <stp/>
        <stp>21422436</stp>
        <stp>@bh,NZDUSD,h1,close,7</stp>
        <tr r="W9" s="3"/>
      </tp>
      <tp>
        <v>0.61512</v>
        <stp/>
        <stp>21422436</stp>
        <stp>@bh,NZDUSD,h4,close,2</stp>
        <tr r="W4" s="1"/>
      </tp>
      <tp>
        <v>0.67352999999999996</v>
        <stp/>
        <stp>21422436</stp>
        <stp>@bh,AUDUSD,h1,close,8</stp>
        <tr r="C10" s="3"/>
      </tp>
      <tp>
        <v>0.61582000000000003</v>
        <stp/>
        <stp>21422436</stp>
        <stp>@bh,NZDUSD,h1,close,6</stp>
        <tr r="W8" s="3"/>
      </tp>
      <tp>
        <v>0.61543999999999999</v>
        <stp/>
        <stp>21422436</stp>
        <stp>@bh,NZDUSD,h4,close,3</stp>
        <tr r="W5" s="1"/>
      </tp>
      <tp>
        <v>0.67325000000000002</v>
        <stp/>
        <stp>21422436</stp>
        <stp>@bh,AUDUSD,h1,close,9</stp>
        <tr r="C11" s="3"/>
      </tp>
      <tp>
        <v>0.61655000000000004</v>
        <stp/>
        <stp>21422436</stp>
        <stp>@bh,NZDUSD,h1,close,5</stp>
        <tr r="W7" s="3"/>
      </tp>
      <tp>
        <v>0.61473</v>
        <stp/>
        <stp>21422436</stp>
        <stp>@bh,NZDUSD,h4,close,0</stp>
        <tr r="W2" s="1"/>
      </tp>
      <tp>
        <v>0.61609999999999998</v>
        <stp/>
        <stp>21422436</stp>
        <stp>@bh,NZDUSD,h1,close,4</stp>
        <tr r="W6" s="3"/>
      </tp>
      <tp>
        <v>0.61609999999999998</v>
        <stp/>
        <stp>21422436</stp>
        <stp>@bh,NZDUSD,h4,close,1</stp>
        <tr r="W3" s="1"/>
      </tp>
      <tp>
        <v>0.61595999999999995</v>
        <stp/>
        <stp>21422436</stp>
        <stp>@bh,NZDUSD,h1,close,3</stp>
        <tr r="W5" s="3"/>
      </tp>
      <tp>
        <v>0.61458000000000002</v>
        <stp/>
        <stp>21422436</stp>
        <stp>@bh,NZDUSD,h4,close,6</stp>
        <tr r="W8" s="1"/>
      </tp>
      <tp>
        <v>0.67501999999999995</v>
        <stp/>
        <stp>21422436</stp>
        <stp>@bh,AUDUSD,h4,close,9</stp>
        <tr r="C11" s="1"/>
      </tp>
      <tp>
        <v>0.61553999999999998</v>
        <stp/>
        <stp>21422436</stp>
        <stp>@bh,NZDUSD,h1,close,2</stp>
        <tr r="W4" s="3"/>
      </tp>
      <tp>
        <v>0.61382999999999999</v>
        <stp/>
        <stp>21422436</stp>
        <stp>@bh,NZDUSD,h4,close,7</stp>
        <tr r="W9" s="1"/>
      </tp>
      <tp>
        <v>0.67444000000000004</v>
        <stp/>
        <stp>21422436</stp>
        <stp>@bh,AUDUSD,h4,close,8</stp>
        <tr r="C10" s="1"/>
      </tp>
      <tp>
        <v>0.61511000000000005</v>
        <stp/>
        <stp>21422436</stp>
        <stp>@bh,NZDUSD,h1,close,1</stp>
        <tr r="W3" s="3"/>
      </tp>
      <tp>
        <v>0.61570000000000003</v>
        <stp/>
        <stp>21422436</stp>
        <stp>@bh,NZDUSD,h4,close,4</stp>
        <tr r="W6" s="1"/>
      </tp>
      <tp>
        <v>0.61473</v>
        <stp/>
        <stp>21422436</stp>
        <stp>@bh,NZDUSD,h1,close,0</stp>
        <tr r="W2" s="3"/>
      </tp>
      <tp>
        <v>0.61556999999999995</v>
        <stp/>
        <stp>21422436</stp>
        <stp>@bh,NZDUSD,h4,close,5</stp>
        <tr r="W7" s="1"/>
      </tp>
      <tp>
        <v>0.67267999999999994</v>
        <stp/>
        <stp>21422436</stp>
        <stp>@bh,AUDUSD,h1,close,0</stp>
        <tr r="C2" s="3"/>
      </tp>
      <tp>
        <v>0.67415000000000003</v>
        <stp/>
        <stp>21422436</stp>
        <stp>@bh,AUDUSD,h4,close,5</stp>
        <tr r="C7" s="1"/>
      </tp>
      <tp>
        <v>0.67308000000000001</v>
        <stp/>
        <stp>21422436</stp>
        <stp>@bh,AUDUSD,h1,close,1</stp>
        <tr r="C3" s="3"/>
      </tp>
      <tp>
        <v>0.67440999999999995</v>
        <stp/>
        <stp>21422436</stp>
        <stp>@bh,AUDUSD,h4,close,4</stp>
        <tr r="C6" s="1"/>
      </tp>
      <tp>
        <v>0.61424000000000001</v>
        <stp/>
        <stp>21422436</stp>
        <stp>@bh,NZDUSD,h4,close,8</stp>
        <tr r="W10" s="1"/>
      </tp>
      <tp>
        <v>0.67366000000000004</v>
        <stp/>
        <stp>21422436</stp>
        <stp>@bh,AUDUSD,h1,close,2</stp>
        <tr r="C4" s="3"/>
      </tp>
      <tp>
        <v>0.67357999999999996</v>
        <stp/>
        <stp>21422436</stp>
        <stp>@bh,AUDUSD,h4,close,7</stp>
        <tr r="C9" s="1"/>
      </tp>
      <tp>
        <v>0.61628000000000005</v>
        <stp/>
        <stp>21422436</stp>
        <stp>@bh,NZDUSD,h4,close,9</stp>
        <tr r="W11" s="1"/>
      </tp>
      <tp>
        <v>0.67400000000000004</v>
        <stp/>
        <stp>21422436</stp>
        <stp>@bh,AUDUSD,h1,close,3</stp>
        <tr r="C5" s="3"/>
      </tp>
      <tp>
        <v>0.67430999999999996</v>
        <stp/>
        <stp>21422436</stp>
        <stp>@bh,AUDUSD,h4,close,6</stp>
        <tr r="C8" s="1"/>
      </tp>
      <tp>
        <v>0.67459999999999998</v>
        <stp/>
        <stp>21422436</stp>
        <stp>@bh,AUDUSD,h1,close,4</stp>
        <tr r="C6" s="3"/>
      </tp>
      <tp>
        <v>0.67459999999999998</v>
        <stp/>
        <stp>21422436</stp>
        <stp>@bh,AUDUSD,h4,close,1</stp>
        <tr r="C3" s="1"/>
      </tp>
      <tp>
        <v>0.67484999999999995</v>
        <stp/>
        <stp>21422436</stp>
        <stp>@bh,AUDUSD,h1,close,5</stp>
        <tr r="C7" s="3"/>
      </tp>
      <tp>
        <v>0.67267999999999994</v>
        <stp/>
        <stp>21422436</stp>
        <stp>@bh,AUDUSD,h4,close,0</stp>
        <tr r="C2" s="1"/>
      </tp>
      <tp>
        <v>0.61495999999999995</v>
        <stp/>
        <stp>21422436</stp>
        <stp>@bh,NZDUSD,h1,close,9</stp>
        <tr r="W11" s="3"/>
      </tp>
      <tp>
        <v>0.67408999999999997</v>
        <stp/>
        <stp>21422436</stp>
        <stp>@bh,AUDUSD,h1,close,6</stp>
        <tr r="C8" s="3"/>
      </tp>
      <tp>
        <v>0.67435</v>
        <stp/>
        <stp>21422436</stp>
        <stp>@bh,AUDUSD,h4,close,3</stp>
        <tr r="C5" s="1"/>
      </tp>
      <tp>
        <v>0.61512</v>
        <stp/>
        <stp>21422436</stp>
        <stp>@bh,NZDUSD,h1,close,8</stp>
        <tr r="W10" s="3"/>
      </tp>
      <tp>
        <v>0.67388000000000003</v>
        <stp/>
        <stp>21422436</stp>
        <stp>@bh,AUDUSD,h1,close,7</stp>
        <tr r="C9" s="3"/>
      </tp>
      <tp>
        <v>0.67352999999999996</v>
        <stp/>
        <stp>21422436</stp>
        <stp>@bh,AUDUSD,h4,close,2</stp>
        <tr r="C4" s="1"/>
      </tp>
      <tp>
        <v>170.636</v>
        <stp/>
        <stp>21422436</stp>
        <stp>@bh,CHFJPY,h1,close,9</stp>
        <tr r="AA11" s="3"/>
      </tp>
      <tp>
        <v>170.46199999999999</v>
        <stp/>
        <stp>21422436</stp>
        <stp>@bh,CHFJPY,h1,close,8</stp>
        <tr r="AA10" s="3"/>
      </tp>
      <tp>
        <v>170.53899999999999</v>
        <stp/>
        <stp>21422436</stp>
        <stp>@bh,CHFJPY,h4,close,8</stp>
        <tr r="AA10" s="1"/>
      </tp>
      <tp>
        <v>170.41</v>
        <stp/>
        <stp>21422436</stp>
        <stp>@bh,CHFJPY,h4,close,9</stp>
        <tr r="AA11" s="1"/>
      </tp>
      <tp>
        <v>171.357</v>
        <stp/>
        <stp>21422436</stp>
        <stp>@bh,CHFJPY,h1,close,1</stp>
        <tr r="AA3" s="3"/>
      </tp>
      <tp>
        <v>170.56399999999999</v>
        <stp/>
        <stp>21422436</stp>
        <stp>@bh,CHFJPY,h4,close,4</stp>
        <tr r="AA6" s="1"/>
      </tp>
      <tp>
        <v>171.43299999999999</v>
        <stp/>
        <stp>21422436</stp>
        <stp>@bh,CHFJPY,h1,close,0</stp>
        <tr r="AA2" s="3"/>
      </tp>
      <tp>
        <v>170.54599999999999</v>
        <stp/>
        <stp>21422436</stp>
        <stp>@bh,CHFJPY,h4,close,5</stp>
        <tr r="AA7" s="1"/>
      </tp>
      <tp>
        <v>171.1</v>
        <stp/>
        <stp>21422436</stp>
        <stp>@bh,CHFJPY,h1,close,3</stp>
        <tr r="AA5" s="3"/>
      </tp>
      <tp>
        <v>170.68799999999999</v>
        <stp/>
        <stp>21422436</stp>
        <stp>@bh,CHFJPY,h4,close,6</stp>
        <tr r="AA8" s="1"/>
      </tp>
      <tp>
        <v>171.196</v>
        <stp/>
        <stp>21422436</stp>
        <stp>@bh,CHFJPY,h1,close,2</stp>
        <tr r="AA4" s="3"/>
      </tp>
      <tp>
        <v>170.74799999999999</v>
        <stp/>
        <stp>21422436</stp>
        <stp>@bh,CHFJPY,h4,close,7</stp>
        <tr r="AA9" s="1"/>
      </tp>
      <tp>
        <v>170.83699999999999</v>
        <stp/>
        <stp>21422436</stp>
        <stp>@bh,CHFJPY,h1,close,5</stp>
        <tr r="AA7" s="3"/>
      </tp>
      <tp>
        <v>171.43299999999999</v>
        <stp/>
        <stp>21422436</stp>
        <stp>@bh,CHFJPY,h4,close,0</stp>
        <tr r="AA2" s="1"/>
      </tp>
      <tp>
        <v>171.083</v>
        <stp/>
        <stp>21422436</stp>
        <stp>@bh,CHFJPY,h1,close,4</stp>
        <tr r="AA6" s="3"/>
      </tp>
      <tp>
        <v>171.083</v>
        <stp/>
        <stp>21422436</stp>
        <stp>@bh,CHFJPY,h4,close,1</stp>
        <tr r="AA3" s="1"/>
      </tp>
      <tp>
        <v>170.61699999999999</v>
        <stp/>
        <stp>21422436</stp>
        <stp>@bh,CHFJPY,h1,close,7</stp>
        <tr r="AA9" s="3"/>
      </tp>
      <tp>
        <v>170.46199999999999</v>
        <stp/>
        <stp>21422436</stp>
        <stp>@bh,CHFJPY,h4,close,2</stp>
        <tr r="AA4" s="1"/>
      </tp>
      <tp>
        <v>170.85300000000001</v>
        <stp/>
        <stp>21422436</stp>
        <stp>@bh,CHFJPY,h1,close,6</stp>
        <tr r="AA8" s="3"/>
      </tp>
      <tp>
        <v>170.61600000000001</v>
        <stp/>
        <stp>21422436</stp>
        <stp>@bh,CHFJPY,h4,close,3</stp>
        <tr r="AA5" s="1"/>
      </tp>
      <tp>
        <v>169.422</v>
        <stp/>
        <stp>21422436</stp>
        <stp>@bh,CHFJPY,d1,close,9</stp>
        <tr r="AA11" s="2"/>
      </tp>
      <tp>
        <v>170.113</v>
        <stp/>
        <stp>21422436</stp>
        <stp>@bh,CHFJPY,d1,close,8</stp>
        <tr r="AA10" s="2"/>
      </tp>
      <tp>
        <v>170.56399999999999</v>
        <stp/>
        <stp>21422436</stp>
        <stp>@bh,CHFJPY,d1,close,1</stp>
        <tr r="AA3" s="2"/>
      </tp>
      <tp>
        <v>171.43299999999999</v>
        <stp/>
        <stp>21422436</stp>
        <stp>@bh,CHFJPY,d1,close,0</stp>
        <tr r="AA2" s="2"/>
      </tp>
      <tp>
        <v>169.88800000000001</v>
        <stp/>
        <stp>21422436</stp>
        <stp>@bh,CHFJPY,d1,close,3</stp>
        <tr r="AA5" s="2"/>
      </tp>
      <tp>
        <v>170.077</v>
        <stp/>
        <stp>21422436</stp>
        <stp>@bh,CHFJPY,d1,close,2</stp>
        <tr r="AA4" s="2"/>
      </tp>
      <tp>
        <v>171.06700000000001</v>
        <stp/>
        <stp>21422436</stp>
        <stp>@bh,CHFJPY,d1,close,5</stp>
        <tr r="AA7" s="2"/>
      </tp>
      <tp>
        <v>170.41900000000001</v>
        <stp/>
        <stp>21422436</stp>
        <stp>@bh,CHFJPY,d1,close,4</stp>
        <tr r="AA6" s="2"/>
      </tp>
      <tp>
        <v>169.79499999999999</v>
        <stp/>
        <stp>21422436</stp>
        <stp>@bh,CHFJPY,d1,close,7</stp>
        <tr r="AA9" s="2"/>
      </tp>
      <tp>
        <v>170.26400000000001</v>
        <stp/>
        <stp>21422436</stp>
        <stp>@bh,CHFJPY,d1,close,6</stp>
        <tr r="AA8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Market-H1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'SATORI H1'!$CW$1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H1'!$CU$2:$CU$37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H1'!$CW$2:$CW$37</c:f>
              <c:numCache>
                <c:formatCode>0.00000</c:formatCode>
                <c:ptCount val="36"/>
                <c:pt idx="0">
                  <c:v>-1.1409315419964381</c:v>
                </c:pt>
                <c:pt idx="1">
                  <c:v>-1.5473500866892522</c:v>
                </c:pt>
                <c:pt idx="2">
                  <c:v>-2.0784685758661889</c:v>
                </c:pt>
                <c:pt idx="3">
                  <c:v>-2.3705217713938085</c:v>
                </c:pt>
                <c:pt idx="4">
                  <c:v>-2.3774079022609413</c:v>
                </c:pt>
                <c:pt idx="5">
                  <c:v>-2.7161589477177706</c:v>
                </c:pt>
                <c:pt idx="6">
                  <c:v>-2.3401465054639639</c:v>
                </c:pt>
                <c:pt idx="7">
                  <c:v>-2.0976659920051479</c:v>
                </c:pt>
                <c:pt idx="8">
                  <c:v>-2.0916791828317653</c:v>
                </c:pt>
                <c:pt idx="9">
                  <c:v>-1.9791859934333365</c:v>
                </c:pt>
                <c:pt idx="10">
                  <c:v>-1.6997902991178806</c:v>
                </c:pt>
                <c:pt idx="11">
                  <c:v>-1.6731736368130188</c:v>
                </c:pt>
                <c:pt idx="12">
                  <c:v>-2.1743641167760464</c:v>
                </c:pt>
                <c:pt idx="13">
                  <c:v>-2.7084107217081295</c:v>
                </c:pt>
                <c:pt idx="14">
                  <c:v>-2.9321043948010144</c:v>
                </c:pt>
                <c:pt idx="15">
                  <c:v>-2.2955323949630833</c:v>
                </c:pt>
                <c:pt idx="16">
                  <c:v>-2.2619060481412339</c:v>
                </c:pt>
                <c:pt idx="17">
                  <c:v>-2.4529482949218466</c:v>
                </c:pt>
                <c:pt idx="18">
                  <c:v>-3.3631005873344471</c:v>
                </c:pt>
                <c:pt idx="19">
                  <c:v>-2.7568425758193036</c:v>
                </c:pt>
                <c:pt idx="20">
                  <c:v>-2.2763749721647688</c:v>
                </c:pt>
                <c:pt idx="21">
                  <c:v>-2.3545040035053617</c:v>
                </c:pt>
                <c:pt idx="22">
                  <c:v>-1.0669818228666677</c:v>
                </c:pt>
                <c:pt idx="23">
                  <c:v>-0.81419132503574854</c:v>
                </c:pt>
                <c:pt idx="24">
                  <c:v>-0.83074894745486716</c:v>
                </c:pt>
                <c:pt idx="25">
                  <c:v>-0.14904069827052829</c:v>
                </c:pt>
                <c:pt idx="26">
                  <c:v>-0.27320372422325223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73A1-4B9E-8E09-92F4E1FFFED8}"/>
            </c:ext>
          </c:extLst>
        </c:ser>
        <c:ser>
          <c:idx val="6"/>
          <c:order val="6"/>
          <c:tx>
            <c:strRef>
              <c:f>'SATORI H1'!$DB$1</c:f>
              <c:strCache>
                <c:ptCount val="1"/>
                <c:pt idx="0">
                  <c:v>NZD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'SATORI H1'!$CU$2:$CU$37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H1'!$DB$2:$DB$37</c:f>
              <c:numCache>
                <c:formatCode>0.00000</c:formatCode>
                <c:ptCount val="36"/>
                <c:pt idx="0">
                  <c:v>-0.12070079471873724</c:v>
                </c:pt>
                <c:pt idx="1">
                  <c:v>-2.3291458154346356E-2</c:v>
                </c:pt>
                <c:pt idx="2">
                  <c:v>1.1444897789063824E-2</c:v>
                </c:pt>
                <c:pt idx="3">
                  <c:v>0.26025785663986772</c:v>
                </c:pt>
                <c:pt idx="4">
                  <c:v>0.42038978432872964</c:v>
                </c:pt>
                <c:pt idx="5">
                  <c:v>0.66224209130550848</c:v>
                </c:pt>
                <c:pt idx="6">
                  <c:v>0.10691691401463516</c:v>
                </c:pt>
                <c:pt idx="7">
                  <c:v>-0.28924965726881174</c:v>
                </c:pt>
                <c:pt idx="8">
                  <c:v>-0.56915390288892675</c:v>
                </c:pt>
                <c:pt idx="9">
                  <c:v>-0.64217305076459485</c:v>
                </c:pt>
                <c:pt idx="10">
                  <c:v>-0.5510597347406293</c:v>
                </c:pt>
                <c:pt idx="11">
                  <c:v>-0.34469846541282201</c:v>
                </c:pt>
                <c:pt idx="12">
                  <c:v>-0.23258903310834844</c:v>
                </c:pt>
                <c:pt idx="13">
                  <c:v>0.20601567307050722</c:v>
                </c:pt>
                <c:pt idx="14">
                  <c:v>1.8556815790907094E-2</c:v>
                </c:pt>
                <c:pt idx="15">
                  <c:v>-0.23962990985522925</c:v>
                </c:pt>
                <c:pt idx="16">
                  <c:v>-8.3474878776568145E-2</c:v>
                </c:pt>
                <c:pt idx="17">
                  <c:v>-1.3771611454988536E-2</c:v>
                </c:pt>
                <c:pt idx="18">
                  <c:v>0.38133996264228387</c:v>
                </c:pt>
                <c:pt idx="19">
                  <c:v>0.44554344237478422</c:v>
                </c:pt>
                <c:pt idx="20">
                  <c:v>-0.14548583056863784</c:v>
                </c:pt>
                <c:pt idx="21">
                  <c:v>0.39260520657084064</c:v>
                </c:pt>
                <c:pt idx="22">
                  <c:v>-2.3338602842181061E-2</c:v>
                </c:pt>
                <c:pt idx="23">
                  <c:v>3.4273096222611238E-2</c:v>
                </c:pt>
                <c:pt idx="24">
                  <c:v>-4.2689265544782681E-3</c:v>
                </c:pt>
                <c:pt idx="25">
                  <c:v>-1.3220503144900888E-2</c:v>
                </c:pt>
                <c:pt idx="26">
                  <c:v>9.2918364535424472E-2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73A1-4B9E-8E09-92F4E1FFFE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'SATORI H1'!$CV$1</c15:sqref>
                        </c15:formulaRef>
                      </c:ext>
                    </c:extLst>
                    <c:strCache>
                      <c:ptCount val="1"/>
                      <c:pt idx="0">
                        <c:v>EUR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H1'!$CV$2:$CV$37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-4.5986362492051444E-2</c:v>
                      </c:pt>
                      <c:pt idx="1">
                        <c:v>-0.1235069381849446</c:v>
                      </c:pt>
                      <c:pt idx="2">
                        <c:v>-4.619407657831355E-2</c:v>
                      </c:pt>
                      <c:pt idx="3">
                        <c:v>-0.74074331541198624</c:v>
                      </c:pt>
                      <c:pt idx="4">
                        <c:v>-0.53726502246672181</c:v>
                      </c:pt>
                      <c:pt idx="5">
                        <c:v>-1.2763201156059985</c:v>
                      </c:pt>
                      <c:pt idx="6">
                        <c:v>-1.1031024681078718E-2</c:v>
                      </c:pt>
                      <c:pt idx="7">
                        <c:v>-0.22576793064552161</c:v>
                      </c:pt>
                      <c:pt idx="8">
                        <c:v>-0.1981351361900438</c:v>
                      </c:pt>
                      <c:pt idx="9">
                        <c:v>5.3931130951377637E-3</c:v>
                      </c:pt>
                      <c:pt idx="10">
                        <c:v>0.1752802490533622</c:v>
                      </c:pt>
                      <c:pt idx="11">
                        <c:v>0.21408959608854011</c:v>
                      </c:pt>
                      <c:pt idx="12">
                        <c:v>2.7591596171813317E-2</c:v>
                      </c:pt>
                      <c:pt idx="13">
                        <c:v>2.3549846887030532E-2</c:v>
                      </c:pt>
                      <c:pt idx="14">
                        <c:v>-0.1109882628280752</c:v>
                      </c:pt>
                      <c:pt idx="15">
                        <c:v>-0.13670317824908063</c:v>
                      </c:pt>
                      <c:pt idx="16">
                        <c:v>0.11697793652541819</c:v>
                      </c:pt>
                      <c:pt idx="17">
                        <c:v>4.29132794938588E-2</c:v>
                      </c:pt>
                      <c:pt idx="18">
                        <c:v>-0.15326162770631382</c:v>
                      </c:pt>
                      <c:pt idx="19">
                        <c:v>3.0170734140625016E-3</c:v>
                      </c:pt>
                      <c:pt idx="20">
                        <c:v>-0.16961608952038204</c:v>
                      </c:pt>
                      <c:pt idx="21">
                        <c:v>-0.54921289557949038</c:v>
                      </c:pt>
                      <c:pt idx="22">
                        <c:v>-0.52008237444685401</c:v>
                      </c:pt>
                      <c:pt idx="23">
                        <c:v>-1.003278866986469</c:v>
                      </c:pt>
                      <c:pt idx="24">
                        <c:v>-0.26098439291423231</c:v>
                      </c:pt>
                      <c:pt idx="25">
                        <c:v>-0.31185624935367645</c:v>
                      </c:pt>
                      <c:pt idx="26">
                        <c:v>0.2908225926750152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3A1-4B9E-8E09-92F4E1FFFED8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-0.11049284975107865</c:v>
                      </c:pt>
                      <c:pt idx="1">
                        <c:v>-8.5534901800777274E-2</c:v>
                      </c:pt>
                      <c:pt idx="2">
                        <c:v>-0.53108076862282494</c:v>
                      </c:pt>
                      <c:pt idx="3">
                        <c:v>-0.56342222417843191</c:v>
                      </c:pt>
                      <c:pt idx="4">
                        <c:v>-0.52450639274192512</c:v>
                      </c:pt>
                      <c:pt idx="5">
                        <c:v>-0.77083971200910484</c:v>
                      </c:pt>
                      <c:pt idx="6">
                        <c:v>-0.75960008156294878</c:v>
                      </c:pt>
                      <c:pt idx="7">
                        <c:v>-0.67204347029447797</c:v>
                      </c:pt>
                      <c:pt idx="8">
                        <c:v>-0.82007041037776252</c:v>
                      </c:pt>
                      <c:pt idx="9">
                        <c:v>-0.70270067620364074</c:v>
                      </c:pt>
                      <c:pt idx="10">
                        <c:v>-0.42856844001050953</c:v>
                      </c:pt>
                      <c:pt idx="11">
                        <c:v>-0.55951822751873959</c:v>
                      </c:pt>
                      <c:pt idx="12">
                        <c:v>-0.86253266273718809</c:v>
                      </c:pt>
                      <c:pt idx="13">
                        <c:v>-1.2238076495512757</c:v>
                      </c:pt>
                      <c:pt idx="14">
                        <c:v>-1.5634521021795031</c:v>
                      </c:pt>
                      <c:pt idx="15">
                        <c:v>-1.3856816798598133</c:v>
                      </c:pt>
                      <c:pt idx="16">
                        <c:v>-1.3657259827961552</c:v>
                      </c:pt>
                      <c:pt idx="17">
                        <c:v>-1.7359962845694545</c:v>
                      </c:pt>
                      <c:pt idx="18">
                        <c:v>-1.9003938655444861</c:v>
                      </c:pt>
                      <c:pt idx="19">
                        <c:v>-1.6573408007075625</c:v>
                      </c:pt>
                      <c:pt idx="20">
                        <c:v>-1.1878610514357857</c:v>
                      </c:pt>
                      <c:pt idx="21">
                        <c:v>-0.84829812558565498</c:v>
                      </c:pt>
                      <c:pt idx="22">
                        <c:v>-0.51199809518380712</c:v>
                      </c:pt>
                      <c:pt idx="23">
                        <c:v>-0.17984098187636299</c:v>
                      </c:pt>
                      <c:pt idx="24">
                        <c:v>-0.2326598580067506</c:v>
                      </c:pt>
                      <c:pt idx="25">
                        <c:v>0.3613052793708581</c:v>
                      </c:pt>
                      <c:pt idx="26">
                        <c:v>0.23288189832547868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3A1-4B9E-8E09-92F4E1FFFED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1.3474399492597906</c:v>
                      </c:pt>
                      <c:pt idx="1">
                        <c:v>1.2423469445331206</c:v>
                      </c:pt>
                      <c:pt idx="2">
                        <c:v>1.1641475470931626</c:v>
                      </c:pt>
                      <c:pt idx="3">
                        <c:v>1.2587842718805424</c:v>
                      </c:pt>
                      <c:pt idx="4">
                        <c:v>1.0598068005114718</c:v>
                      </c:pt>
                      <c:pt idx="5">
                        <c:v>1.586693411303209</c:v>
                      </c:pt>
                      <c:pt idx="6">
                        <c:v>1.3598272869431756</c:v>
                      </c:pt>
                      <c:pt idx="7">
                        <c:v>1.1288181819413194</c:v>
                      </c:pt>
                      <c:pt idx="8">
                        <c:v>1.1324849818064899</c:v>
                      </c:pt>
                      <c:pt idx="9">
                        <c:v>1.3248419200946362</c:v>
                      </c:pt>
                      <c:pt idx="10">
                        <c:v>1.0469445314833705</c:v>
                      </c:pt>
                      <c:pt idx="11">
                        <c:v>0.81547519178556627</c:v>
                      </c:pt>
                      <c:pt idx="12">
                        <c:v>0.74614022352065335</c:v>
                      </c:pt>
                      <c:pt idx="13">
                        <c:v>0.75413320566112896</c:v>
                      </c:pt>
                      <c:pt idx="14">
                        <c:v>0.78271783737999823</c:v>
                      </c:pt>
                      <c:pt idx="15">
                        <c:v>0.93405070958445935</c:v>
                      </c:pt>
                      <c:pt idx="16">
                        <c:v>0.73532528512498807</c:v>
                      </c:pt>
                      <c:pt idx="17">
                        <c:v>0.6738901268879367</c:v>
                      </c:pt>
                      <c:pt idx="18">
                        <c:v>0.68769868422561697</c:v>
                      </c:pt>
                      <c:pt idx="19">
                        <c:v>0.9427480278691871</c:v>
                      </c:pt>
                      <c:pt idx="20">
                        <c:v>0.98520919569113552</c:v>
                      </c:pt>
                      <c:pt idx="21">
                        <c:v>0.75917440744462927</c:v>
                      </c:pt>
                      <c:pt idx="22">
                        <c:v>0.50126773875949238</c:v>
                      </c:pt>
                      <c:pt idx="23">
                        <c:v>0.47580073953428514</c:v>
                      </c:pt>
                      <c:pt idx="24">
                        <c:v>0.17149037744536885</c:v>
                      </c:pt>
                      <c:pt idx="25">
                        <c:v>-5.95922991316504E-2</c:v>
                      </c:pt>
                      <c:pt idx="26">
                        <c:v>-0.48586567487321514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3A1-4B9E-8E09-92F4E1FFFED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3.4208267662469538</c:v>
                      </c:pt>
                      <c:pt idx="1">
                        <c:v>3.6052872282746993</c:v>
                      </c:pt>
                      <c:pt idx="2">
                        <c:v>3.6150779005834908</c:v>
                      </c:pt>
                      <c:pt idx="3">
                        <c:v>3.5934049520915745</c:v>
                      </c:pt>
                      <c:pt idx="4">
                        <c:v>2.8939402838538903</c:v>
                      </c:pt>
                      <c:pt idx="5">
                        <c:v>1.5762597756893006</c:v>
                      </c:pt>
                      <c:pt idx="6">
                        <c:v>1.6230577885682635</c:v>
                      </c:pt>
                      <c:pt idx="7">
                        <c:v>1.3273666624755127</c:v>
                      </c:pt>
                      <c:pt idx="8">
                        <c:v>1.3494545630419652</c:v>
                      </c:pt>
                      <c:pt idx="9">
                        <c:v>1.6258110013250895</c:v>
                      </c:pt>
                      <c:pt idx="10">
                        <c:v>1.8162439301936544</c:v>
                      </c:pt>
                      <c:pt idx="11">
                        <c:v>1.9005753088820134</c:v>
                      </c:pt>
                      <c:pt idx="12">
                        <c:v>1.6326779850395745</c:v>
                      </c:pt>
                      <c:pt idx="13">
                        <c:v>1.2563294953588353</c:v>
                      </c:pt>
                      <c:pt idx="14">
                        <c:v>1.086339707938321</c:v>
                      </c:pt>
                      <c:pt idx="15">
                        <c:v>1.5372845195929323</c:v>
                      </c:pt>
                      <c:pt idx="16">
                        <c:v>1.6432457776222171</c:v>
                      </c:pt>
                      <c:pt idx="17">
                        <c:v>1.4014371991713863</c:v>
                      </c:pt>
                      <c:pt idx="18">
                        <c:v>1.4874221947648323</c:v>
                      </c:pt>
                      <c:pt idx="19">
                        <c:v>1.5052161703143891</c:v>
                      </c:pt>
                      <c:pt idx="20">
                        <c:v>1.5318285442476383</c:v>
                      </c:pt>
                      <c:pt idx="21">
                        <c:v>0.65724684231908059</c:v>
                      </c:pt>
                      <c:pt idx="22">
                        <c:v>0.95931792992874987</c:v>
                      </c:pt>
                      <c:pt idx="23">
                        <c:v>0.53862887064911058</c:v>
                      </c:pt>
                      <c:pt idx="24">
                        <c:v>0.2728533390896915</c:v>
                      </c:pt>
                      <c:pt idx="25">
                        <c:v>0.14428856864369558</c:v>
                      </c:pt>
                      <c:pt idx="26">
                        <c:v>0.58160435170748492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3A1-4B9E-8E09-92F4E1FFFED8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-2.4396126944829195</c:v>
                      </c:pt>
                      <c:pt idx="1">
                        <c:v>-2.3898569351443988</c:v>
                      </c:pt>
                      <c:pt idx="2">
                        <c:v>-2.2290311640709488</c:v>
                      </c:pt>
                      <c:pt idx="3">
                        <c:v>-2.1183540026350149</c:v>
                      </c:pt>
                      <c:pt idx="4">
                        <c:v>-1.407964096711503</c:v>
                      </c:pt>
                      <c:pt idx="5">
                        <c:v>-1.4502162113400465</c:v>
                      </c:pt>
                      <c:pt idx="6">
                        <c:v>-1.9828830399302915</c:v>
                      </c:pt>
                      <c:pt idx="7">
                        <c:v>-1.9790861536889079</c:v>
                      </c:pt>
                      <c:pt idx="8">
                        <c:v>-2.386930625341245</c:v>
                      </c:pt>
                      <c:pt idx="9">
                        <c:v>-2.6112675784679</c:v>
                      </c:pt>
                      <c:pt idx="10">
                        <c:v>-2.549855280915327</c:v>
                      </c:pt>
                      <c:pt idx="11">
                        <c:v>-1.6183484608179663</c:v>
                      </c:pt>
                      <c:pt idx="12">
                        <c:v>-1.497253118595357</c:v>
                      </c:pt>
                      <c:pt idx="13">
                        <c:v>-1.3346302413240061</c:v>
                      </c:pt>
                      <c:pt idx="14">
                        <c:v>-1.424911444099302</c:v>
                      </c:pt>
                      <c:pt idx="15">
                        <c:v>-1.8092285002653605</c:v>
                      </c:pt>
                      <c:pt idx="16">
                        <c:v>-1.5091023574785207</c:v>
                      </c:pt>
                      <c:pt idx="17">
                        <c:v>-1.9133174862331555</c:v>
                      </c:pt>
                      <c:pt idx="18">
                        <c:v>-1.6901594566107314</c:v>
                      </c:pt>
                      <c:pt idx="19">
                        <c:v>-1.8584253400423245</c:v>
                      </c:pt>
                      <c:pt idx="20">
                        <c:v>-1.843780207833464</c:v>
                      </c:pt>
                      <c:pt idx="21">
                        <c:v>-0.96535657596874058</c:v>
                      </c:pt>
                      <c:pt idx="22">
                        <c:v>-0.99463686955890562</c:v>
                      </c:pt>
                      <c:pt idx="23">
                        <c:v>-0.38331644679105314</c:v>
                      </c:pt>
                      <c:pt idx="24">
                        <c:v>-0.21147739272703681</c:v>
                      </c:pt>
                      <c:pt idx="25">
                        <c:v>-5.6367034006499783E-2</c:v>
                      </c:pt>
                      <c:pt idx="26">
                        <c:v>0.25245102190427382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3A1-4B9E-8E09-92F4E1FFFED8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-1.1171885055733699</c:v>
                      </c:pt>
                      <c:pt idx="1">
                        <c:v>-0.86560753832453918</c:v>
                      </c:pt>
                      <c:pt idx="2">
                        <c:v>-0.14605109972294172</c:v>
                      </c:pt>
                      <c:pt idx="3">
                        <c:v>0.42288859605444795</c:v>
                      </c:pt>
                      <c:pt idx="4">
                        <c:v>0.24879479988637571</c:v>
                      </c:pt>
                      <c:pt idx="5">
                        <c:v>2.0539553590284148</c:v>
                      </c:pt>
                      <c:pt idx="6">
                        <c:v>1.7029938658383366</c:v>
                      </c:pt>
                      <c:pt idx="7">
                        <c:v>2.5530310531210665</c:v>
                      </c:pt>
                      <c:pt idx="8">
                        <c:v>3.305495217599776</c:v>
                      </c:pt>
                      <c:pt idx="9">
                        <c:v>2.6927670695289923</c:v>
                      </c:pt>
                      <c:pt idx="10">
                        <c:v>1.9824307994739243</c:v>
                      </c:pt>
                      <c:pt idx="11">
                        <c:v>1.0715746254146716</c:v>
                      </c:pt>
                      <c:pt idx="12">
                        <c:v>2.1328100982870875</c:v>
                      </c:pt>
                      <c:pt idx="13">
                        <c:v>2.7466387076144172</c:v>
                      </c:pt>
                      <c:pt idx="14">
                        <c:v>3.8093722091352986</c:v>
                      </c:pt>
                      <c:pt idx="15">
                        <c:v>3.0306242103502044</c:v>
                      </c:pt>
                      <c:pt idx="16">
                        <c:v>2.4220956364590696</c:v>
                      </c:pt>
                      <c:pt idx="17">
                        <c:v>3.6585024797017813</c:v>
                      </c:pt>
                      <c:pt idx="18">
                        <c:v>4.1792182837492806</c:v>
                      </c:pt>
                      <c:pt idx="19">
                        <c:v>3.0032502742745444</c:v>
                      </c:pt>
                      <c:pt idx="20">
                        <c:v>2.7955032441457659</c:v>
                      </c:pt>
                      <c:pt idx="21">
                        <c:v>2.6791141767226478</c:v>
                      </c:pt>
                      <c:pt idx="22">
                        <c:v>1.5132782769492101</c:v>
                      </c:pt>
                      <c:pt idx="23">
                        <c:v>1.2365377752819806</c:v>
                      </c:pt>
                      <c:pt idx="24">
                        <c:v>1.0370316996035513</c:v>
                      </c:pt>
                      <c:pt idx="25">
                        <c:v>0.14499933439780938</c:v>
                      </c:pt>
                      <c:pt idx="26">
                        <c:v>-0.58816988290054861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3A1-4B9E-8E09-92F4E1FFFED8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H1'!$BO$2:$BO$37</c:f>
              <c:numCache>
                <c:formatCode>0.00000</c:formatCode>
                <c:ptCount val="36"/>
                <c:pt idx="0">
                  <c:v>-0.1639925986425862</c:v>
                </c:pt>
                <c:pt idx="1">
                  <c:v>-0.10456429888623231</c:v>
                </c:pt>
                <c:pt idx="2">
                  <c:v>-1.846745478089358E-2</c:v>
                </c:pt>
                <c:pt idx="3">
                  <c:v>3.1977649076674233E-2</c:v>
                </c:pt>
                <c:pt idx="4">
                  <c:v>0.1209192440959351</c:v>
                </c:pt>
                <c:pt idx="5">
                  <c:v>0.15796451341503898</c:v>
                </c:pt>
                <c:pt idx="6">
                  <c:v>4.5219924413572893E-2</c:v>
                </c:pt>
                <c:pt idx="7">
                  <c:v>1.4057106107653067E-2</c:v>
                </c:pt>
                <c:pt idx="8">
                  <c:v>-3.7907914010244036E-2</c:v>
                </c:pt>
                <c:pt idx="9">
                  <c:v>-7.949721961736575E-2</c:v>
                </c:pt>
                <c:pt idx="10">
                  <c:v>-0.107726500810725</c:v>
                </c:pt>
                <c:pt idx="11">
                  <c:v>6.545644982731566E-3</c:v>
                </c:pt>
                <c:pt idx="12">
                  <c:v>8.3656937338328075E-2</c:v>
                </c:pt>
                <c:pt idx="13">
                  <c:v>0.17107211498374539</c:v>
                </c:pt>
                <c:pt idx="14">
                  <c:v>0.18884831265506483</c:v>
                </c:pt>
                <c:pt idx="15">
                  <c:v>5.9804571276516089E-2</c:v>
                </c:pt>
                <c:pt idx="16">
                  <c:v>9.2425677132004308E-2</c:v>
                </c:pt>
                <c:pt idx="17">
                  <c:v>6.5728555971575647E-2</c:v>
                </c:pt>
                <c:pt idx="18">
                  <c:v>0.20938969341233787</c:v>
                </c:pt>
                <c:pt idx="19">
                  <c:v>0.11302915675826636</c:v>
                </c:pt>
                <c:pt idx="20">
                  <c:v>5.3695180640198292E-2</c:v>
                </c:pt>
                <c:pt idx="21">
                  <c:v>0.1737022921727302</c:v>
                </c:pt>
                <c:pt idx="22">
                  <c:v>7.4907285968056556E-3</c:v>
                </c:pt>
                <c:pt idx="23">
                  <c:v>5.3474560088318294E-2</c:v>
                </c:pt>
                <c:pt idx="24">
                  <c:v>7.7202519038940112E-2</c:v>
                </c:pt>
                <c:pt idx="25">
                  <c:v>1.0423069301613311E-2</c:v>
                </c:pt>
                <c:pt idx="26">
                  <c:v>6.3818103563430956E-2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24-4870-8EA0-B332C6937AF0}"/>
            </c:ext>
          </c:extLst>
        </c:ser>
        <c:ser>
          <c:idx val="1"/>
          <c:order val="1"/>
          <c:tx>
            <c:strRef>
              <c:f>'SATORI H1'!$BP$1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H1'!$BP$2:$BP$37</c:f>
              <c:numCache>
                <c:formatCode>0.00000</c:formatCode>
                <c:ptCount val="36"/>
                <c:pt idx="0">
                  <c:v>-0.28905934359967117</c:v>
                </c:pt>
                <c:pt idx="1">
                  <c:v>-0.29545700388391138</c:v>
                </c:pt>
                <c:pt idx="2">
                  <c:v>-0.27992224257094955</c:v>
                </c:pt>
                <c:pt idx="3">
                  <c:v>-0.29820177315260227</c:v>
                </c:pt>
                <c:pt idx="4">
                  <c:v>-0.22513707436183109</c:v>
                </c:pt>
                <c:pt idx="5">
                  <c:v>-0.26076880670355679</c:v>
                </c:pt>
                <c:pt idx="6">
                  <c:v>-0.26076880670355679</c:v>
                </c:pt>
                <c:pt idx="7">
                  <c:v>-0.20780609062937017</c:v>
                </c:pt>
                <c:pt idx="8">
                  <c:v>-0.22424549771476093</c:v>
                </c:pt>
                <c:pt idx="9">
                  <c:v>-0.24616951273271287</c:v>
                </c:pt>
                <c:pt idx="10">
                  <c:v>-0.24708302170335664</c:v>
                </c:pt>
                <c:pt idx="11">
                  <c:v>-0.1567273489186839</c:v>
                </c:pt>
                <c:pt idx="12">
                  <c:v>-0.1549020151107518</c:v>
                </c:pt>
                <c:pt idx="13">
                  <c:v>-0.19050869821128244</c:v>
                </c:pt>
                <c:pt idx="14">
                  <c:v>-0.17772844552742673</c:v>
                </c:pt>
                <c:pt idx="15">
                  <c:v>-0.22156566332534045</c:v>
                </c:pt>
                <c:pt idx="16">
                  <c:v>-0.18504798877086012</c:v>
                </c:pt>
                <c:pt idx="17">
                  <c:v>-0.2425964253716574</c:v>
                </c:pt>
                <c:pt idx="18">
                  <c:v>-0.25721403776738705</c:v>
                </c:pt>
                <c:pt idx="19">
                  <c:v>-0.28737195559162498</c:v>
                </c:pt>
                <c:pt idx="20">
                  <c:v>-0.21157771412761939</c:v>
                </c:pt>
                <c:pt idx="21">
                  <c:v>-0.16958890505804533</c:v>
                </c:pt>
                <c:pt idx="22">
                  <c:v>-0.12032197867558736</c:v>
                </c:pt>
                <c:pt idx="23">
                  <c:v>-5.1031386696896774E-2</c:v>
                </c:pt>
                <c:pt idx="24">
                  <c:v>-2.2776104782097163E-2</c:v>
                </c:pt>
                <c:pt idx="25">
                  <c:v>-1.8169023253184584E-3</c:v>
                </c:pt>
                <c:pt idx="26">
                  <c:v>2.2781326602198074E-2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24-4870-8EA0-B332C6937AF0}"/>
            </c:ext>
          </c:extLst>
        </c:ser>
        <c:ser>
          <c:idx val="2"/>
          <c:order val="2"/>
          <c:tx>
            <c:strRef>
              <c:f>'SATORI H1'!$BQ$1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H1'!$BQ$2:$BQ$37</c:f>
              <c:numCache>
                <c:formatCode>0.00000</c:formatCode>
                <c:ptCount val="36"/>
                <c:pt idx="0">
                  <c:v>-0.16278829933822603</c:v>
                </c:pt>
                <c:pt idx="1">
                  <c:v>-0.18924790264770797</c:v>
                </c:pt>
                <c:pt idx="2">
                  <c:v>-0.25849786445840306</c:v>
                </c:pt>
                <c:pt idx="3">
                  <c:v>-0.31657934156206124</c:v>
                </c:pt>
                <c:pt idx="4">
                  <c:v>-0.20563447810567606</c:v>
                </c:pt>
                <c:pt idx="5">
                  <c:v>-0.43721986884226444</c:v>
                </c:pt>
                <c:pt idx="6">
                  <c:v>-0.45864865893195994</c:v>
                </c:pt>
                <c:pt idx="7">
                  <c:v>-0.56488493249036353</c:v>
                </c:pt>
                <c:pt idx="8">
                  <c:v>-0.71014901645709194</c:v>
                </c:pt>
                <c:pt idx="9">
                  <c:v>-0.6610697636887134</c:v>
                </c:pt>
                <c:pt idx="10">
                  <c:v>-0.56504851643400777</c:v>
                </c:pt>
                <c:pt idx="11">
                  <c:v>-0.33573746873730115</c:v>
                </c:pt>
                <c:pt idx="12">
                  <c:v>-0.45205687775308007</c:v>
                </c:pt>
                <c:pt idx="13">
                  <c:v>-0.50820740199479975</c:v>
                </c:pt>
                <c:pt idx="14">
                  <c:v>-0.65236444115234105</c:v>
                </c:pt>
                <c:pt idx="15">
                  <c:v>-0.59003750058772764</c:v>
                </c:pt>
                <c:pt idx="16">
                  <c:v>-0.48592718448022465</c:v>
                </c:pt>
                <c:pt idx="17">
                  <c:v>-0.69150751422697565</c:v>
                </c:pt>
                <c:pt idx="18">
                  <c:v>-0.73345940257357101</c:v>
                </c:pt>
                <c:pt idx="19">
                  <c:v>-0.60674129925743026</c:v>
                </c:pt>
                <c:pt idx="20">
                  <c:v>-0.57915706517966203</c:v>
                </c:pt>
                <c:pt idx="21">
                  <c:v>-0.45569145698399965</c:v>
                </c:pt>
                <c:pt idx="22">
                  <c:v>-0.31304246520669454</c:v>
                </c:pt>
                <c:pt idx="23">
                  <c:v>-0.20210324768441038</c:v>
                </c:pt>
                <c:pt idx="24">
                  <c:v>-0.15530677166251117</c:v>
                </c:pt>
                <c:pt idx="25">
                  <c:v>-2.5259832845531793E-2</c:v>
                </c:pt>
                <c:pt idx="26">
                  <c:v>0.10360483895542338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24-4870-8EA0-B332C6937AF0}"/>
            </c:ext>
          </c:extLst>
        </c:ser>
        <c:ser>
          <c:idx val="3"/>
          <c:order val="3"/>
          <c:tx>
            <c:strRef>
              <c:f>'SATORI H1'!$BR$1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H1'!$BR$2:$BR$37</c:f>
              <c:numCache>
                <c:formatCode>0.00000</c:formatCode>
                <c:ptCount val="36"/>
                <c:pt idx="0">
                  <c:v>-0.49868356628692839</c:v>
                </c:pt>
                <c:pt idx="1">
                  <c:v>-0.47601336539407768</c:v>
                </c:pt>
                <c:pt idx="2">
                  <c:v>-0.45334830271644905</c:v>
                </c:pt>
                <c:pt idx="3">
                  <c:v>-0.45334830271644894</c:v>
                </c:pt>
                <c:pt idx="4">
                  <c:v>-0.33667234841163773</c:v>
                </c:pt>
                <c:pt idx="5">
                  <c:v>-0.42033102102735248</c:v>
                </c:pt>
                <c:pt idx="6">
                  <c:v>-0.45520095616928868</c:v>
                </c:pt>
                <c:pt idx="7">
                  <c:v>-0.42034317591271991</c:v>
                </c:pt>
                <c:pt idx="8">
                  <c:v>-0.47440194302406902</c:v>
                </c:pt>
                <c:pt idx="9">
                  <c:v>-0.52674426178878464</c:v>
                </c:pt>
                <c:pt idx="10">
                  <c:v>-0.47442932587458686</c:v>
                </c:pt>
                <c:pt idx="11">
                  <c:v>-0.32816176070717107</c:v>
                </c:pt>
                <c:pt idx="12">
                  <c:v>-0.30901134287986354</c:v>
                </c:pt>
                <c:pt idx="13">
                  <c:v>-0.29508570578197169</c:v>
                </c:pt>
                <c:pt idx="14">
                  <c:v>-0.31771998801405388</c:v>
                </c:pt>
                <c:pt idx="15">
                  <c:v>-0.4031066676920223</c:v>
                </c:pt>
                <c:pt idx="16">
                  <c:v>-0.31779283466338293</c:v>
                </c:pt>
                <c:pt idx="17">
                  <c:v>-0.36308190083768277</c:v>
                </c:pt>
                <c:pt idx="18">
                  <c:v>-0.34392481271506797</c:v>
                </c:pt>
                <c:pt idx="19">
                  <c:v>-0.39794213310748333</c:v>
                </c:pt>
                <c:pt idx="20">
                  <c:v>-0.39271492374032857</c:v>
                </c:pt>
                <c:pt idx="21">
                  <c:v>-0.24482968268738262</c:v>
                </c:pt>
                <c:pt idx="22">
                  <c:v>-0.20482968268739088</c:v>
                </c:pt>
                <c:pt idx="23">
                  <c:v>-0.12142104989389052</c:v>
                </c:pt>
                <c:pt idx="24">
                  <c:v>-5.7168206271422592E-2</c:v>
                </c:pt>
                <c:pt idx="25">
                  <c:v>7.0433795811999239E-3</c:v>
                </c:pt>
                <c:pt idx="26">
                  <c:v>0.10413412475266998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24-4870-8EA0-B332C6937AF0}"/>
            </c:ext>
          </c:extLst>
        </c:ser>
        <c:ser>
          <c:idx val="4"/>
          <c:order val="4"/>
          <c:tx>
            <c:strRef>
              <c:f>'SATORI H1'!$BS$1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H1'!$BS$2:$BS$37</c:f>
              <c:numCache>
                <c:formatCode>0.00000</c:formatCode>
                <c:ptCount val="36"/>
                <c:pt idx="0">
                  <c:v>-0.29232313066429971</c:v>
                </c:pt>
                <c:pt idx="1">
                  <c:v>-0.28904178837655059</c:v>
                </c:pt>
                <c:pt idx="2">
                  <c:v>-0.21253571160816359</c:v>
                </c:pt>
                <c:pt idx="3">
                  <c:v>-0.19505166579995828</c:v>
                </c:pt>
                <c:pt idx="4">
                  <c:v>-0.11207136270348461</c:v>
                </c:pt>
                <c:pt idx="5">
                  <c:v>-8.6965207329135152E-2</c:v>
                </c:pt>
                <c:pt idx="6">
                  <c:v>-0.15359546401946822</c:v>
                </c:pt>
                <c:pt idx="7">
                  <c:v>-0.16451965016759898</c:v>
                </c:pt>
                <c:pt idx="8">
                  <c:v>-0.19730295253892094</c:v>
                </c:pt>
                <c:pt idx="9">
                  <c:v>-0.23884571972451296</c:v>
                </c:pt>
                <c:pt idx="10">
                  <c:v>-0.26618395936058326</c:v>
                </c:pt>
                <c:pt idx="11">
                  <c:v>-0.1340417262660476</c:v>
                </c:pt>
                <c:pt idx="12">
                  <c:v>-8.0558202465880566E-2</c:v>
                </c:pt>
                <c:pt idx="13">
                  <c:v>-1.5111034692073182E-2</c:v>
                </c:pt>
                <c:pt idx="14">
                  <c:v>1.5421651639103737E-2</c:v>
                </c:pt>
                <c:pt idx="15">
                  <c:v>-6.3152661108493088E-2</c:v>
                </c:pt>
                <c:pt idx="16">
                  <c:v>-2.1700075230729463E-2</c:v>
                </c:pt>
                <c:pt idx="17">
                  <c:v>-2.2790944653666687E-2</c:v>
                </c:pt>
                <c:pt idx="18">
                  <c:v>2.5184282683489691E-2</c:v>
                </c:pt>
                <c:pt idx="19">
                  <c:v>-2.608825814363136E-2</c:v>
                </c:pt>
                <c:pt idx="20">
                  <c:v>-8.2847522456240094E-2</c:v>
                </c:pt>
                <c:pt idx="21">
                  <c:v>-1.4128745868616066E-2</c:v>
                </c:pt>
                <c:pt idx="22">
                  <c:v>-5.9962261080987518E-2</c:v>
                </c:pt>
                <c:pt idx="23">
                  <c:v>-2.6144202237561587E-2</c:v>
                </c:pt>
                <c:pt idx="24">
                  <c:v>1.120989927509794E-3</c:v>
                </c:pt>
                <c:pt idx="25">
                  <c:v>-5.3439146254584104E-2</c:v>
                </c:pt>
                <c:pt idx="26">
                  <c:v>2.1812391619700955E-3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24-4870-8EA0-B332C6937AF0}"/>
            </c:ext>
          </c:extLst>
        </c:ser>
        <c:ser>
          <c:idx val="5"/>
          <c:order val="5"/>
          <c:tx>
            <c:strRef>
              <c:f>'SATORI H1'!$BT$1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H1'!$BT$2:$BT$37</c:f>
              <c:numCache>
                <c:formatCode>0.00000</c:formatCode>
                <c:ptCount val="36"/>
                <c:pt idx="0">
                  <c:v>0.1363588922317302</c:v>
                </c:pt>
                <c:pt idx="1">
                  <c:v>0.17766339621850424</c:v>
                </c:pt>
                <c:pt idx="2">
                  <c:v>0.25482527466163618</c:v>
                </c:pt>
                <c:pt idx="3">
                  <c:v>0.20455507232406134</c:v>
                </c:pt>
                <c:pt idx="4">
                  <c:v>0.22968385734731067</c:v>
                </c:pt>
                <c:pt idx="5">
                  <c:v>0.1802993676686645</c:v>
                </c:pt>
                <c:pt idx="6">
                  <c:v>0.29151511725385931</c:v>
                </c:pt>
                <c:pt idx="7">
                  <c:v>0.23497839530683057</c:v>
                </c:pt>
                <c:pt idx="8">
                  <c:v>0.23677317966350189</c:v>
                </c:pt>
                <c:pt idx="9">
                  <c:v>0.24933509194544567</c:v>
                </c:pt>
                <c:pt idx="10">
                  <c:v>0.23587408847251823</c:v>
                </c:pt>
                <c:pt idx="11">
                  <c:v>0.23587408847251823</c:v>
                </c:pt>
                <c:pt idx="12">
                  <c:v>0.27534411367951117</c:v>
                </c:pt>
                <c:pt idx="13">
                  <c:v>0.34257733226815407</c:v>
                </c:pt>
                <c:pt idx="14">
                  <c:v>0.35333349016854287</c:v>
                </c:pt>
                <c:pt idx="15">
                  <c:v>0.27529048578199439</c:v>
                </c:pt>
                <c:pt idx="16">
                  <c:v>0.29502160444672565</c:v>
                </c:pt>
                <c:pt idx="17">
                  <c:v>0.31205921272522197</c:v>
                </c:pt>
                <c:pt idx="18">
                  <c:v>0.40165049728505003</c:v>
                </c:pt>
                <c:pt idx="19">
                  <c:v>0.34696993039995994</c:v>
                </c:pt>
                <c:pt idx="20">
                  <c:v>0.26443281112484834</c:v>
                </c:pt>
                <c:pt idx="21">
                  <c:v>0.22673861872293266</c:v>
                </c:pt>
                <c:pt idx="22">
                  <c:v>6.9432419959796224E-2</c:v>
                </c:pt>
                <c:pt idx="23">
                  <c:v>-2.2338763888477303E-2</c:v>
                </c:pt>
                <c:pt idx="24">
                  <c:v>7.1144382178952081E-2</c:v>
                </c:pt>
                <c:pt idx="25">
                  <c:v>-2.0625150336254755E-2</c:v>
                </c:pt>
                <c:pt idx="26">
                  <c:v>7.0162182583587709E-2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824-4870-8EA0-B332C6937AF0}"/>
            </c:ext>
          </c:extLst>
        </c:ser>
        <c:ser>
          <c:idx val="6"/>
          <c:order val="6"/>
          <c:tx>
            <c:strRef>
              <c:f>'SATORI H1'!$BU$1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H1'!$BU$2:$BU$37</c:f>
              <c:numCache>
                <c:formatCode>0.00000</c:formatCode>
                <c:ptCount val="36"/>
                <c:pt idx="0">
                  <c:v>8.4329009036486074E-3</c:v>
                </c:pt>
                <c:pt idx="1">
                  <c:v>-6.1102459689209715E-3</c:v>
                </c:pt>
                <c:pt idx="2">
                  <c:v>5.9291113586617122E-2</c:v>
                </c:pt>
                <c:pt idx="3">
                  <c:v>-2.2692899530833602E-2</c:v>
                </c:pt>
                <c:pt idx="4">
                  <c:v>-2.8619910769048379E-3</c:v>
                </c:pt>
                <c:pt idx="5">
                  <c:v>-6.4375623291534345E-2</c:v>
                </c:pt>
                <c:pt idx="6">
                  <c:v>9.2798932921486624E-2</c:v>
                </c:pt>
                <c:pt idx="7">
                  <c:v>5.3820305101310903E-2</c:v>
                </c:pt>
                <c:pt idx="8">
                  <c:v>7.4956787330159383E-2</c:v>
                </c:pt>
                <c:pt idx="9">
                  <c:v>8.7504998879791698E-2</c:v>
                </c:pt>
                <c:pt idx="10">
                  <c:v>7.4955212556422485E-2</c:v>
                </c:pt>
                <c:pt idx="11">
                  <c:v>9.5426987921614678E-2</c:v>
                </c:pt>
                <c:pt idx="12">
                  <c:v>0.11061341785604584</c:v>
                </c:pt>
                <c:pt idx="13">
                  <c:v>0.15483258653567128</c:v>
                </c:pt>
                <c:pt idx="14">
                  <c:v>0.17924616576433292</c:v>
                </c:pt>
                <c:pt idx="15">
                  <c:v>0.15416647173659689</c:v>
                </c:pt>
                <c:pt idx="16">
                  <c:v>0.18253807374241326</c:v>
                </c:pt>
                <c:pt idx="17">
                  <c:v>0.22211068949231003</c:v>
                </c:pt>
                <c:pt idx="18">
                  <c:v>0.21749367116274623</c:v>
                </c:pt>
                <c:pt idx="19">
                  <c:v>0.20891847327356655</c:v>
                </c:pt>
                <c:pt idx="20">
                  <c:v>0.12705732035165762</c:v>
                </c:pt>
                <c:pt idx="21">
                  <c:v>3.6532075702222042E-2</c:v>
                </c:pt>
                <c:pt idx="22">
                  <c:v>-1.1459031716664209E-3</c:v>
                </c:pt>
                <c:pt idx="23">
                  <c:v>-0.10304627901202008</c:v>
                </c:pt>
                <c:pt idx="24">
                  <c:v>-3.8910812965520791E-3</c:v>
                </c:pt>
                <c:pt idx="25">
                  <c:v>-8.4602399404996254E-2</c:v>
                </c:pt>
                <c:pt idx="26">
                  <c:v>7.2710927791474643E-3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824-4870-8EA0-B332C6937AF0}"/>
            </c:ext>
          </c:extLst>
        </c:ser>
        <c:ser>
          <c:idx val="7"/>
          <c:order val="7"/>
          <c:tx>
            <c:strRef>
              <c:f>'SATORI H1'!$BV$1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H1'!$BV$2:$BV$37</c:f>
              <c:numCache>
                <c:formatCode>0.00000</c:formatCode>
                <c:ptCount val="36"/>
                <c:pt idx="0">
                  <c:v>-0.43528549618106704</c:v>
                </c:pt>
                <c:pt idx="1">
                  <c:v>-0.46589497805672636</c:v>
                </c:pt>
                <c:pt idx="2">
                  <c:v>-0.46000888571571036</c:v>
                </c:pt>
                <c:pt idx="3">
                  <c:v>-0.54130299366014389</c:v>
                </c:pt>
                <c:pt idx="4">
                  <c:v>-0.42950145903697312</c:v>
                </c:pt>
                <c:pt idx="5">
                  <c:v>-0.35541431844780169</c:v>
                </c:pt>
                <c:pt idx="6">
                  <c:v>-0.20628677329855752</c:v>
                </c:pt>
                <c:pt idx="7">
                  <c:v>-0.19454582556925809</c:v>
                </c:pt>
                <c:pt idx="8">
                  <c:v>-0.19454582556925809</c:v>
                </c:pt>
                <c:pt idx="9">
                  <c:v>-0.20276516449957155</c:v>
                </c:pt>
                <c:pt idx="10">
                  <c:v>-0.20628786241647984</c:v>
                </c:pt>
                <c:pt idx="11">
                  <c:v>-0.20981068443177889</c:v>
                </c:pt>
                <c:pt idx="12">
                  <c:v>-0.20511380902813647</c:v>
                </c:pt>
                <c:pt idx="13">
                  <c:v>-0.15816710527357902</c:v>
                </c:pt>
                <c:pt idx="14">
                  <c:v>-0.15229911165795673</c:v>
                </c:pt>
                <c:pt idx="15">
                  <c:v>-0.2227646540077399</c:v>
                </c:pt>
                <c:pt idx="16">
                  <c:v>-0.19106521168311505</c:v>
                </c:pt>
                <c:pt idx="17">
                  <c:v>-0.17228388501715997</c:v>
                </c:pt>
                <c:pt idx="18">
                  <c:v>-0.2075112778378134</c:v>
                </c:pt>
                <c:pt idx="19">
                  <c:v>-0.1922484041909171</c:v>
                </c:pt>
                <c:pt idx="20">
                  <c:v>-0.21221153112117577</c:v>
                </c:pt>
                <c:pt idx="21">
                  <c:v>-0.1511851137239566</c:v>
                </c:pt>
                <c:pt idx="22">
                  <c:v>-0.1840562939167294</c:v>
                </c:pt>
                <c:pt idx="23">
                  <c:v>-0.19344894182157821</c:v>
                </c:pt>
                <c:pt idx="24">
                  <c:v>-6.9151049022640507E-2</c:v>
                </c:pt>
                <c:pt idx="25">
                  <c:v>-5.7426207601122027E-2</c:v>
                </c:pt>
                <c:pt idx="26">
                  <c:v>-3.7497949330894439E-2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824-4870-8EA0-B332C6937AF0}"/>
            </c:ext>
          </c:extLst>
        </c:ser>
        <c:ser>
          <c:idx val="8"/>
          <c:order val="8"/>
          <c:tx>
            <c:strRef>
              <c:f>'SATORI H1'!$BW$1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H1'!$BW$2:$BW$37</c:f>
              <c:numCache>
                <c:formatCode>0.00000</c:formatCode>
                <c:ptCount val="36"/>
                <c:pt idx="0">
                  <c:v>-0.20038623760410493</c:v>
                </c:pt>
                <c:pt idx="1">
                  <c:v>-0.19406252685062847</c:v>
                </c:pt>
                <c:pt idx="2">
                  <c:v>-0.18036303057057246</c:v>
                </c:pt>
                <c:pt idx="3">
                  <c:v>-0.28163098981021473</c:v>
                </c:pt>
                <c:pt idx="4">
                  <c:v>-0.22891506538376985</c:v>
                </c:pt>
                <c:pt idx="5">
                  <c:v>-0.40318077306097061</c:v>
                </c:pt>
                <c:pt idx="6">
                  <c:v>-0.20817297274895616</c:v>
                </c:pt>
                <c:pt idx="7">
                  <c:v>-0.20079484363169509</c:v>
                </c:pt>
                <c:pt idx="8">
                  <c:v>-0.20079484363169511</c:v>
                </c:pt>
                <c:pt idx="9">
                  <c:v>-0.20184887318667905</c:v>
                </c:pt>
                <c:pt idx="10">
                  <c:v>-0.13759438327252729</c:v>
                </c:pt>
                <c:pt idx="11">
                  <c:v>-0.10179322710577741</c:v>
                </c:pt>
                <c:pt idx="12">
                  <c:v>-0.11759034992313987</c:v>
                </c:pt>
                <c:pt idx="13">
                  <c:v>-0.1270695220754422</c:v>
                </c:pt>
                <c:pt idx="14">
                  <c:v>-0.15235370576503862</c:v>
                </c:pt>
                <c:pt idx="15">
                  <c:v>-0.15867515126890511</c:v>
                </c:pt>
                <c:pt idx="16">
                  <c:v>-0.11023421235715135</c:v>
                </c:pt>
                <c:pt idx="17">
                  <c:v>-0.11971268569103832</c:v>
                </c:pt>
                <c:pt idx="18">
                  <c:v>-0.15131758234303447</c:v>
                </c:pt>
                <c:pt idx="19">
                  <c:v>-0.16606870975062055</c:v>
                </c:pt>
                <c:pt idx="20">
                  <c:v>-0.18398400203334531</c:v>
                </c:pt>
                <c:pt idx="21">
                  <c:v>-0.19241543864475941</c:v>
                </c:pt>
                <c:pt idx="22">
                  <c:v>-0.14711699564705152</c:v>
                </c:pt>
                <c:pt idx="23">
                  <c:v>-0.19665377407009249</c:v>
                </c:pt>
                <c:pt idx="24">
                  <c:v>-6.1926859211192842E-2</c:v>
                </c:pt>
                <c:pt idx="25">
                  <c:v>-2.510103483880248E-2</c:v>
                </c:pt>
                <c:pt idx="26">
                  <c:v>0.10834578082596159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824-4870-8EA0-B332C6937AF0}"/>
            </c:ext>
          </c:extLst>
        </c:ser>
        <c:ser>
          <c:idx val="9"/>
          <c:order val="9"/>
          <c:tx>
            <c:strRef>
              <c:f>'SATORI H1'!$BX$1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H1'!$BX$2:$BX$37</c:f>
              <c:numCache>
                <c:formatCode>0.00000</c:formatCode>
                <c:ptCount val="36"/>
                <c:pt idx="0">
                  <c:v>0.13461793973079683</c:v>
                </c:pt>
                <c:pt idx="1">
                  <c:v>9.4639835430999394E-2</c:v>
                </c:pt>
                <c:pt idx="2">
                  <c:v>1.4003609452592436E-2</c:v>
                </c:pt>
                <c:pt idx="3">
                  <c:v>-0.14629429804317862</c:v>
                </c:pt>
                <c:pt idx="4">
                  <c:v>-9.8228040555932872E-2</c:v>
                </c:pt>
                <c:pt idx="5">
                  <c:v>-0.41659897050815553</c:v>
                </c:pt>
                <c:pt idx="6">
                  <c:v>-0.21300962871865908</c:v>
                </c:pt>
                <c:pt idx="7">
                  <c:v>-0.34953894236541494</c:v>
                </c:pt>
                <c:pt idx="8">
                  <c:v>-0.43672182236837742</c:v>
                </c:pt>
                <c:pt idx="9">
                  <c:v>-0.33480328307724128</c:v>
                </c:pt>
                <c:pt idx="10">
                  <c:v>-0.22682458264718786</c:v>
                </c:pt>
                <c:pt idx="11">
                  <c:v>-0.1072655950776146</c:v>
                </c:pt>
                <c:pt idx="12">
                  <c:v>-0.26342879488010484</c:v>
                </c:pt>
                <c:pt idx="13">
                  <c:v>-0.34002590642773411</c:v>
                </c:pt>
                <c:pt idx="14">
                  <c:v>-0.48973761858530901</c:v>
                </c:pt>
                <c:pt idx="15">
                  <c:v>-0.36863035214932405</c:v>
                </c:pt>
                <c:pt idx="16">
                  <c:v>-0.28158310586735813</c:v>
                </c:pt>
                <c:pt idx="17">
                  <c:v>-0.44978648353959116</c:v>
                </c:pt>
                <c:pt idx="18">
                  <c:v>-0.54139274990337716</c:v>
                </c:pt>
                <c:pt idx="19">
                  <c:v>-0.37393513954202301</c:v>
                </c:pt>
                <c:pt idx="20">
                  <c:v>-0.37146350158753882</c:v>
                </c:pt>
                <c:pt idx="21">
                  <c:v>-0.40236852427183245</c:v>
                </c:pt>
                <c:pt idx="22">
                  <c:v>-0.25547670577580744</c:v>
                </c:pt>
                <c:pt idx="23">
                  <c:v>-0.28202302911002963</c:v>
                </c:pt>
                <c:pt idx="24">
                  <c:v>-0.16301505002582861</c:v>
                </c:pt>
                <c:pt idx="25">
                  <c:v>-5.8914472852816716E-2</c:v>
                </c:pt>
                <c:pt idx="26">
                  <c:v>0.1095795960329707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824-4870-8EA0-B332C6937AF0}"/>
            </c:ext>
          </c:extLst>
        </c:ser>
        <c:ser>
          <c:idx val="10"/>
          <c:order val="10"/>
          <c:tx>
            <c:strRef>
              <c:f>'SATORI H1'!$BY$1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H1'!$BY$2:$BY$37</c:f>
              <c:numCache>
                <c:formatCode>0.00000</c:formatCode>
                <c:ptCount val="36"/>
                <c:pt idx="0">
                  <c:v>0.29911936742534823</c:v>
                </c:pt>
                <c:pt idx="1">
                  <c:v>0.28340559974736401</c:v>
                </c:pt>
                <c:pt idx="2">
                  <c:v>0.27313015745001668</c:v>
                </c:pt>
                <c:pt idx="3">
                  <c:v>0.17148139024383757</c:v>
                </c:pt>
                <c:pt idx="4">
                  <c:v>0.10912215260066167</c:v>
                </c:pt>
                <c:pt idx="5">
                  <c:v>2.1864232732511563E-2</c:v>
                </c:pt>
                <c:pt idx="6">
                  <c:v>0.24677354349429786</c:v>
                </c:pt>
                <c:pt idx="7">
                  <c:v>0.21955936793263728</c:v>
                </c:pt>
                <c:pt idx="8">
                  <c:v>0.27335400539303689</c:v>
                </c:pt>
                <c:pt idx="9">
                  <c:v>0.32711971978231619</c:v>
                </c:pt>
                <c:pt idx="10">
                  <c:v>0.34161623759793364</c:v>
                </c:pt>
                <c:pt idx="11">
                  <c:v>0.22853647706095362</c:v>
                </c:pt>
                <c:pt idx="12">
                  <c:v>0.19163588483669489</c:v>
                </c:pt>
                <c:pt idx="13">
                  <c:v>0.17106411052115972</c:v>
                </c:pt>
                <c:pt idx="14">
                  <c:v>0.16440809348176622</c:v>
                </c:pt>
                <c:pt idx="15">
                  <c:v>0.18921073103052757</c:v>
                </c:pt>
                <c:pt idx="16">
                  <c:v>0.19888887234349811</c:v>
                </c:pt>
                <c:pt idx="17">
                  <c:v>0.24423458808027701</c:v>
                </c:pt>
                <c:pt idx="18">
                  <c:v>0.19281635214921272</c:v>
                </c:pt>
                <c:pt idx="19">
                  <c:v>0.23332960058612379</c:v>
                </c:pt>
                <c:pt idx="20">
                  <c:v>0.20913673506216945</c:v>
                </c:pt>
                <c:pt idx="21">
                  <c:v>5.1635432647543791E-2</c:v>
                </c:pt>
                <c:pt idx="22">
                  <c:v>5.9509877650613968E-2</c:v>
                </c:pt>
                <c:pt idx="23">
                  <c:v>-7.8179369243795635E-2</c:v>
                </c:pt>
                <c:pt idx="24">
                  <c:v>-5.4450434910033735E-3</c:v>
                </c:pt>
                <c:pt idx="25">
                  <c:v>-3.151497152587223E-2</c:v>
                </c:pt>
                <c:pt idx="26">
                  <c:v>4.2426042316955565E-3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824-4870-8EA0-B332C6937AF0}"/>
            </c:ext>
          </c:extLst>
        </c:ser>
        <c:ser>
          <c:idx val="11"/>
          <c:order val="11"/>
          <c:tx>
            <c:strRef>
              <c:f>'SATORI H1'!$BZ$1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H1'!$BZ$2:$BZ$37</c:f>
              <c:numCache>
                <c:formatCode>0.00000</c:formatCode>
                <c:ptCount val="36"/>
                <c:pt idx="0">
                  <c:v>1.1156271001596618E-2</c:v>
                </c:pt>
                <c:pt idx="1">
                  <c:v>-1.314801870553647E-2</c:v>
                </c:pt>
                <c:pt idx="2">
                  <c:v>-7.0723154428931206E-3</c:v>
                </c:pt>
                <c:pt idx="3">
                  <c:v>-0.12485859693551431</c:v>
                </c:pt>
                <c:pt idx="4">
                  <c:v>-0.11656447636111347</c:v>
                </c:pt>
                <c:pt idx="5">
                  <c:v>-0.23891403069871228</c:v>
                </c:pt>
                <c:pt idx="6">
                  <c:v>-1.4649243584549745E-2</c:v>
                </c:pt>
                <c:pt idx="7">
                  <c:v>1.0753612580067747E-2</c:v>
                </c:pt>
                <c:pt idx="8">
                  <c:v>4.8843382992588683E-2</c:v>
                </c:pt>
                <c:pt idx="9">
                  <c:v>8.0850623251076087E-2</c:v>
                </c:pt>
                <c:pt idx="10">
                  <c:v>9.3541538762682883E-2</c:v>
                </c:pt>
                <c:pt idx="11">
                  <c:v>7.3121549248624476E-2</c:v>
                </c:pt>
                <c:pt idx="12">
                  <c:v>3.613113363094262E-2</c:v>
                </c:pt>
                <c:pt idx="13">
                  <c:v>-1.9661648661199196E-2</c:v>
                </c:pt>
                <c:pt idx="14">
                  <c:v>-1.3585576234412845E-2</c:v>
                </c:pt>
                <c:pt idx="15">
                  <c:v>-5.3007093722303861E-3</c:v>
                </c:pt>
                <c:pt idx="16">
                  <c:v>2.3411915900405728E-2</c:v>
                </c:pt>
                <c:pt idx="17">
                  <c:v>6.2918434438392207E-3</c:v>
                </c:pt>
                <c:pt idx="18">
                  <c:v>-6.5000538219097764E-2</c:v>
                </c:pt>
                <c:pt idx="19">
                  <c:v>-5.3948677362027173E-2</c:v>
                </c:pt>
                <c:pt idx="20">
                  <c:v>-2.5839213169975422E-3</c:v>
                </c:pt>
                <c:pt idx="21">
                  <c:v>-0.11814994601164046</c:v>
                </c:pt>
                <c:pt idx="22">
                  <c:v>-6.1228773546009446E-2</c:v>
                </c:pt>
                <c:pt idx="23">
                  <c:v>-0.12758870984047557</c:v>
                </c:pt>
                <c:pt idx="24">
                  <c:v>-2.8699692045966931E-2</c:v>
                </c:pt>
                <c:pt idx="25">
                  <c:v>-3.367201279381201E-2</c:v>
                </c:pt>
                <c:pt idx="26">
                  <c:v>2.8719285552546679E-2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824-4870-8EA0-B332C6937AF0}"/>
            </c:ext>
          </c:extLst>
        </c:ser>
        <c:ser>
          <c:idx val="12"/>
          <c:order val="12"/>
          <c:tx>
            <c:strRef>
              <c:f>'SATORI H1'!$CA$1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H1'!$CA$2:$CA$37</c:f>
              <c:numCache>
                <c:formatCode>0.00000</c:formatCode>
                <c:ptCount val="36"/>
                <c:pt idx="0">
                  <c:v>0.57774933384432836</c:v>
                </c:pt>
                <c:pt idx="1">
                  <c:v>0.64943938875585538</c:v>
                </c:pt>
                <c:pt idx="2">
                  <c:v>0.71650846990944284</c:v>
                </c:pt>
                <c:pt idx="3">
                  <c:v>0.75155502087170889</c:v>
                </c:pt>
                <c:pt idx="4">
                  <c:v>0.66386180985134235</c:v>
                </c:pt>
                <c:pt idx="5">
                  <c:v>0.54170482285342314</c:v>
                </c:pt>
                <c:pt idx="6">
                  <c:v>0.5004598352651104</c:v>
                </c:pt>
                <c:pt idx="7">
                  <c:v>0.43243574403639218</c:v>
                </c:pt>
                <c:pt idx="8">
                  <c:v>0.43472863835689091</c:v>
                </c:pt>
                <c:pt idx="9">
                  <c:v>0.45688837182879577</c:v>
                </c:pt>
                <c:pt idx="10">
                  <c:v>0.4438964955725957</c:v>
                </c:pt>
                <c:pt idx="11">
                  <c:v>0.45230229710396713</c:v>
                </c:pt>
                <c:pt idx="12">
                  <c:v>0.48209580517496059</c:v>
                </c:pt>
                <c:pt idx="13">
                  <c:v>0.49966324888275693</c:v>
                </c:pt>
                <c:pt idx="14">
                  <c:v>0.50577329073654975</c:v>
                </c:pt>
                <c:pt idx="15">
                  <c:v>0.49125983523555794</c:v>
                </c:pt>
                <c:pt idx="16">
                  <c:v>0.4882042775581012</c:v>
                </c:pt>
                <c:pt idx="17">
                  <c:v>0.48056479979280209</c:v>
                </c:pt>
                <c:pt idx="18">
                  <c:v>0.60493341922481125</c:v>
                </c:pt>
                <c:pt idx="19">
                  <c:v>0.53163195166835775</c:v>
                </c:pt>
                <c:pt idx="20">
                  <c:v>0.47586120762550438</c:v>
                </c:pt>
                <c:pt idx="21">
                  <c:v>0.37567919756142443</c:v>
                </c:pt>
                <c:pt idx="22">
                  <c:v>0.25240295924777356</c:v>
                </c:pt>
                <c:pt idx="23">
                  <c:v>0.16887293441867959</c:v>
                </c:pt>
                <c:pt idx="24">
                  <c:v>0.13744350881059522</c:v>
                </c:pt>
                <c:pt idx="25">
                  <c:v>3.5385466176419328E-2</c:v>
                </c:pt>
                <c:pt idx="26">
                  <c:v>0.10593220338982565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E824-4870-8EA0-B332C6937AF0}"/>
            </c:ext>
          </c:extLst>
        </c:ser>
        <c:ser>
          <c:idx val="13"/>
          <c:order val="13"/>
          <c:tx>
            <c:strRef>
              <c:f>'SATORI H1'!$CB$1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H1'!$CB$2:$CB$37</c:f>
              <c:numCache>
                <c:formatCode>0.00000</c:formatCode>
                <c:ptCount val="36"/>
                <c:pt idx="0">
                  <c:v>0.73364638852585951</c:v>
                </c:pt>
                <c:pt idx="1">
                  <c:v>0.75212697620855495</c:v>
                </c:pt>
                <c:pt idx="2">
                  <c:v>0.73312943048607293</c:v>
                </c:pt>
                <c:pt idx="3">
                  <c:v>0.71566917823678122</c:v>
                </c:pt>
                <c:pt idx="4">
                  <c:v>0.54024592462414689</c:v>
                </c:pt>
                <c:pt idx="5">
                  <c:v>0.38103158812026511</c:v>
                </c:pt>
                <c:pt idx="6">
                  <c:v>0.45311553502529289</c:v>
                </c:pt>
                <c:pt idx="7">
                  <c:v>0.41603004266387134</c:v>
                </c:pt>
                <c:pt idx="8">
                  <c:v>0.46956929620312132</c:v>
                </c:pt>
                <c:pt idx="9">
                  <c:v>0.53182138113349442</c:v>
                </c:pt>
                <c:pt idx="10">
                  <c:v>0.54776771913413391</c:v>
                </c:pt>
                <c:pt idx="11">
                  <c:v>0.44168932411054057</c:v>
                </c:pt>
                <c:pt idx="12">
                  <c:v>0.39274573288741421</c:v>
                </c:pt>
                <c:pt idx="13">
                  <c:v>0.32572540510646464</c:v>
                </c:pt>
                <c:pt idx="14">
                  <c:v>0.31696044021788261</c:v>
                </c:pt>
                <c:pt idx="15">
                  <c:v>0.4019598477977655</c:v>
                </c:pt>
                <c:pt idx="16">
                  <c:v>0.3921710791218298</c:v>
                </c:pt>
                <c:pt idx="17">
                  <c:v>0.41483466903447175</c:v>
                </c:pt>
                <c:pt idx="18">
                  <c:v>0.39731882750132003</c:v>
                </c:pt>
                <c:pt idx="19">
                  <c:v>0.41998125011429721</c:v>
                </c:pt>
                <c:pt idx="20">
                  <c:v>0.42204142790764282</c:v>
                </c:pt>
                <c:pt idx="21">
                  <c:v>0.20318464489588334</c:v>
                </c:pt>
                <c:pt idx="22">
                  <c:v>0.244461332854437</c:v>
                </c:pt>
                <c:pt idx="23">
                  <c:v>0.11427048961040781</c:v>
                </c:pt>
                <c:pt idx="24">
                  <c:v>5.9994862468459191E-2</c:v>
                </c:pt>
                <c:pt idx="25">
                  <c:v>2.4832572989750896E-2</c:v>
                </c:pt>
                <c:pt idx="26">
                  <c:v>3.9826006899723154E-2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E824-4870-8EA0-B332C6937AF0}"/>
            </c:ext>
          </c:extLst>
        </c:ser>
        <c:ser>
          <c:idx val="14"/>
          <c:order val="14"/>
          <c:tx>
            <c:strRef>
              <c:f>'SATORI H1'!$CC$1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H1'!$CC$2:$CC$37</c:f>
              <c:numCache>
                <c:formatCode>0.00000</c:formatCode>
                <c:ptCount val="36"/>
                <c:pt idx="0">
                  <c:v>0.44039026819091848</c:v>
                </c:pt>
                <c:pt idx="1">
                  <c:v>0.45774950588578811</c:v>
                </c:pt>
                <c:pt idx="2">
                  <c:v>0.4539960163134476</c:v>
                </c:pt>
                <c:pt idx="3">
                  <c:v>0.42114219236302408</c:v>
                </c:pt>
                <c:pt idx="4">
                  <c:v>0.31636963807392904</c:v>
                </c:pt>
                <c:pt idx="5">
                  <c:v>0.12148007549272358</c:v>
                </c:pt>
                <c:pt idx="6">
                  <c:v>0.19298256867175001</c:v>
                </c:pt>
                <c:pt idx="7">
                  <c:v>0.20944424823340246</c:v>
                </c:pt>
                <c:pt idx="8">
                  <c:v>0.24705679201675002</c:v>
                </c:pt>
                <c:pt idx="9">
                  <c:v>0.28747393452478903</c:v>
                </c:pt>
                <c:pt idx="10">
                  <c:v>0.3020407822589305</c:v>
                </c:pt>
                <c:pt idx="11">
                  <c:v>0.28841187393448142</c:v>
                </c:pt>
                <c:pt idx="12">
                  <c:v>0.23904146420711081</c:v>
                </c:pt>
                <c:pt idx="13">
                  <c:v>0.13690507211632685</c:v>
                </c:pt>
                <c:pt idx="14">
                  <c:v>0.14067032728296669</c:v>
                </c:pt>
                <c:pt idx="15">
                  <c:v>0.20933904774012141</c:v>
                </c:pt>
                <c:pt idx="16">
                  <c:v>0.20745767753821193</c:v>
                </c:pt>
                <c:pt idx="17">
                  <c:v>0.16652112449006812</c:v>
                </c:pt>
                <c:pt idx="18">
                  <c:v>0.13969342889499986</c:v>
                </c:pt>
                <c:pt idx="19">
                  <c:v>0.13169154609903724</c:v>
                </c:pt>
                <c:pt idx="20">
                  <c:v>0.21023653544609239</c:v>
                </c:pt>
                <c:pt idx="21">
                  <c:v>3.3079435733962881E-2</c:v>
                </c:pt>
                <c:pt idx="22">
                  <c:v>0.12346087364615843</c:v>
                </c:pt>
                <c:pt idx="23">
                  <c:v>6.4584147380535112E-2</c:v>
                </c:pt>
                <c:pt idx="24">
                  <c:v>3.7257881185020256E-2</c:v>
                </c:pt>
                <c:pt idx="25">
                  <c:v>2.2650329552025353E-2</c:v>
                </c:pt>
                <c:pt idx="26">
                  <c:v>6.4570558653145302E-2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E824-4870-8EA0-B332C6937AF0}"/>
            </c:ext>
          </c:extLst>
        </c:ser>
        <c:ser>
          <c:idx val="15"/>
          <c:order val="15"/>
          <c:tx>
            <c:strRef>
              <c:f>'SATORI H1'!$CD$1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H1'!$CD$2:$CD$37</c:f>
              <c:numCache>
                <c:formatCode>0.00000</c:formatCode>
                <c:ptCount val="36"/>
                <c:pt idx="0">
                  <c:v>0.4422753323804024</c:v>
                </c:pt>
                <c:pt idx="1">
                  <c:v>0.4624889226509229</c:v>
                </c:pt>
                <c:pt idx="2">
                  <c:v>0.51916713072167275</c:v>
                </c:pt>
                <c:pt idx="3">
                  <c:v>0.52085061351086559</c:v>
                </c:pt>
                <c:pt idx="4">
                  <c:v>0.42761104398560135</c:v>
                </c:pt>
                <c:pt idx="5">
                  <c:v>0.29375127053482852</c:v>
                </c:pt>
                <c:pt idx="6">
                  <c:v>0.29881293852316121</c:v>
                </c:pt>
                <c:pt idx="7">
                  <c:v>0.24985952866494901</c:v>
                </c:pt>
                <c:pt idx="8">
                  <c:v>0.27067446141022505</c:v>
                </c:pt>
                <c:pt idx="9">
                  <c:v>0.29204739090767018</c:v>
                </c:pt>
                <c:pt idx="10">
                  <c:v>0.28079721512367473</c:v>
                </c:pt>
                <c:pt idx="11">
                  <c:v>0.30779034874531175</c:v>
                </c:pt>
                <c:pt idx="12">
                  <c:v>0.31116437660353224</c:v>
                </c:pt>
                <c:pt idx="13">
                  <c:v>0.30947733421378187</c:v>
                </c:pt>
                <c:pt idx="14">
                  <c:v>0.33140407640590025</c:v>
                </c:pt>
                <c:pt idx="15">
                  <c:v>0.36681165700029278</c:v>
                </c:pt>
                <c:pt idx="16">
                  <c:v>0.37580324986096453</c:v>
                </c:pt>
                <c:pt idx="17">
                  <c:v>0.39209785634622496</c:v>
                </c:pt>
                <c:pt idx="18">
                  <c:v>0.42186878868194666</c:v>
                </c:pt>
                <c:pt idx="19">
                  <c:v>0.39265103777451887</c:v>
                </c:pt>
                <c:pt idx="20">
                  <c:v>0.33924394643714878</c:v>
                </c:pt>
                <c:pt idx="21">
                  <c:v>0.18778851036935526</c:v>
                </c:pt>
                <c:pt idx="22">
                  <c:v>0.18384713550519111</c:v>
                </c:pt>
                <c:pt idx="23">
                  <c:v>8.860045223141215E-2</c:v>
                </c:pt>
                <c:pt idx="24">
                  <c:v>6.1540819565923555E-2</c:v>
                </c:pt>
                <c:pt idx="25">
                  <c:v>-2.8174630111607535E-2</c:v>
                </c:pt>
                <c:pt idx="26">
                  <c:v>4.2306672608405399E-2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E824-4870-8EA0-B332C6937AF0}"/>
            </c:ext>
          </c:extLst>
        </c:ser>
        <c:ser>
          <c:idx val="16"/>
          <c:order val="16"/>
          <c:tx>
            <c:strRef>
              <c:f>'SATORI H1'!$CE$1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H1'!$CE$2:$CE$37</c:f>
              <c:numCache>
                <c:formatCode>0.00000</c:formatCode>
                <c:ptCount val="36"/>
                <c:pt idx="0">
                  <c:v>0.22840713731235618</c:v>
                </c:pt>
                <c:pt idx="1">
                  <c:v>0.26600920005407164</c:v>
                </c:pt>
                <c:pt idx="2">
                  <c:v>0.26959022064494359</c:v>
                </c:pt>
                <c:pt idx="3">
                  <c:v>0.2534730307665326</c:v>
                </c:pt>
                <c:pt idx="4">
                  <c:v>0.19344525672182999</c:v>
                </c:pt>
                <c:pt idx="5">
                  <c:v>-4.9944598142373751E-2</c:v>
                </c:pt>
                <c:pt idx="6">
                  <c:v>-1.1340452236663887E-2</c:v>
                </c:pt>
                <c:pt idx="7">
                  <c:v>-1.4033837282987821E-2</c:v>
                </c:pt>
                <c:pt idx="8">
                  <c:v>-1.4033837282987847E-2</c:v>
                </c:pt>
                <c:pt idx="9">
                  <c:v>-4.1590673202377554E-3</c:v>
                </c:pt>
                <c:pt idx="10">
                  <c:v>6.4020100355668436E-2</c:v>
                </c:pt>
                <c:pt idx="11">
                  <c:v>0.10526941660340688</c:v>
                </c:pt>
                <c:pt idx="12">
                  <c:v>7.3874213790390234E-2</c:v>
                </c:pt>
                <c:pt idx="13">
                  <c:v>2.0922848273408241E-2</c:v>
                </c:pt>
                <c:pt idx="14">
                  <c:v>-1.2294970842098293E-2</c:v>
                </c:pt>
                <c:pt idx="15">
                  <c:v>1.7322957877414662E-2</c:v>
                </c:pt>
                <c:pt idx="16">
                  <c:v>7.9213026763759312E-2</c:v>
                </c:pt>
                <c:pt idx="17">
                  <c:v>5.229705841692113E-2</c:v>
                </c:pt>
                <c:pt idx="18">
                  <c:v>5.229705841692113E-2</c:v>
                </c:pt>
                <c:pt idx="19">
                  <c:v>2.2680724560072005E-2</c:v>
                </c:pt>
                <c:pt idx="20">
                  <c:v>2.8962582554186295E-2</c:v>
                </c:pt>
                <c:pt idx="21">
                  <c:v>-4.1084294971542715E-2</c:v>
                </c:pt>
                <c:pt idx="22">
                  <c:v>3.967375391400723E-2</c:v>
                </c:pt>
                <c:pt idx="23">
                  <c:v>-5.211967040457734E-3</c:v>
                </c:pt>
                <c:pt idx="24">
                  <c:v>2.8668100122379338E-3</c:v>
                </c:pt>
                <c:pt idx="25">
                  <c:v>3.2480220400258095E-2</c:v>
                </c:pt>
                <c:pt idx="26">
                  <c:v>0.14542190305206057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E824-4870-8EA0-B332C6937AF0}"/>
            </c:ext>
          </c:extLst>
        </c:ser>
        <c:ser>
          <c:idx val="17"/>
          <c:order val="17"/>
          <c:tx>
            <c:strRef>
              <c:f>'SATORI H1'!$CF$1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H1'!$CF$2:$CF$37</c:f>
              <c:numCache>
                <c:formatCode>0.00000</c:formatCode>
                <c:ptCount val="36"/>
                <c:pt idx="0">
                  <c:v>0.56307280981202179</c:v>
                </c:pt>
                <c:pt idx="1">
                  <c:v>0.55157825666278004</c:v>
                </c:pt>
                <c:pt idx="2">
                  <c:v>0.46267774679220064</c:v>
                </c:pt>
                <c:pt idx="3">
                  <c:v>0.38941192268251823</c:v>
                </c:pt>
                <c:pt idx="4">
                  <c:v>0.3229051515600676</c:v>
                </c:pt>
                <c:pt idx="5">
                  <c:v>-6.7177701617367663E-2</c:v>
                </c:pt>
                <c:pt idx="6">
                  <c:v>-1.7259409978944873E-2</c:v>
                </c:pt>
                <c:pt idx="7">
                  <c:v>-0.16091488940937249</c:v>
                </c:pt>
                <c:pt idx="8">
                  <c:v>-0.25308661323129222</c:v>
                </c:pt>
                <c:pt idx="9">
                  <c:v>-0.14102617424899361</c:v>
                </c:pt>
                <c:pt idx="10">
                  <c:v>-2.8566244667828755E-2</c:v>
                </c:pt>
                <c:pt idx="11">
                  <c:v>9.5301363952526696E-2</c:v>
                </c:pt>
                <c:pt idx="12">
                  <c:v>-7.135741665197004E-2</c:v>
                </c:pt>
                <c:pt idx="13">
                  <c:v>-0.19453151850748202</c:v>
                </c:pt>
                <c:pt idx="14">
                  <c:v>-0.34847256752083672</c:v>
                </c:pt>
                <c:pt idx="15">
                  <c:v>-0.17217348006595984</c:v>
                </c:pt>
                <c:pt idx="16">
                  <c:v>-9.0668744903764809E-2</c:v>
                </c:pt>
                <c:pt idx="17">
                  <c:v>-0.27716219392626174</c:v>
                </c:pt>
                <c:pt idx="18">
                  <c:v>-0.33620060579297978</c:v>
                </c:pt>
                <c:pt idx="19">
                  <c:v>-0.18566874409281117</c:v>
                </c:pt>
                <c:pt idx="20">
                  <c:v>-0.15672868684411248</c:v>
                </c:pt>
                <c:pt idx="21">
                  <c:v>-0.25258576499395924</c:v>
                </c:pt>
                <c:pt idx="22">
                  <c:v>-6.8584419155546944E-2</c:v>
                </c:pt>
                <c:pt idx="23">
                  <c:v>-8.593612777304456E-2</c:v>
                </c:pt>
                <c:pt idx="24">
                  <c:v>-9.5401591975185149E-2</c:v>
                </c:pt>
                <c:pt idx="25">
                  <c:v>-3.11597964272603E-4</c:v>
                </c:pt>
                <c:pt idx="26">
                  <c:v>0.14604905777343041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E824-4870-8EA0-B332C6937AF0}"/>
            </c:ext>
          </c:extLst>
        </c:ser>
        <c:ser>
          <c:idx val="18"/>
          <c:order val="18"/>
          <c:tx>
            <c:strRef>
              <c:f>'SATORI H1'!$CG$1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H1'!$CG$2:$CG$37</c:f>
              <c:numCache>
                <c:formatCode>0.00000</c:formatCode>
                <c:ptCount val="36"/>
                <c:pt idx="0">
                  <c:v>0.12389605529151718</c:v>
                </c:pt>
                <c:pt idx="1">
                  <c:v>0.10607868335387199</c:v>
                </c:pt>
                <c:pt idx="2">
                  <c:v>2.1374479350491159E-2</c:v>
                </c:pt>
                <c:pt idx="3">
                  <c:v>-1.8764669699550533E-2</c:v>
                </c:pt>
                <c:pt idx="4">
                  <c:v>2.5814502910996961E-2</c:v>
                </c:pt>
                <c:pt idx="5">
                  <c:v>-0.17071935451260903</c:v>
                </c:pt>
                <c:pt idx="6">
                  <c:v>-0.19752661034318825</c:v>
                </c:pt>
                <c:pt idx="7">
                  <c:v>-0.35078588700415014</c:v>
                </c:pt>
                <c:pt idx="8">
                  <c:v>-0.48072147927522224</c:v>
                </c:pt>
                <c:pt idx="9">
                  <c:v>-0.41579586388114309</c:v>
                </c:pt>
                <c:pt idx="10">
                  <c:v>-0.31291635591357392</c:v>
                </c:pt>
                <c:pt idx="11">
                  <c:v>-0.17332953290966541</c:v>
                </c:pt>
                <c:pt idx="12">
                  <c:v>-0.29072010812348842</c:v>
                </c:pt>
                <c:pt idx="13">
                  <c:v>-0.31420373667956586</c:v>
                </c:pt>
                <c:pt idx="14">
                  <c:v>-0.46988498212954061</c:v>
                </c:pt>
                <c:pt idx="15">
                  <c:v>-0.40608520151123995</c:v>
                </c:pt>
                <c:pt idx="16">
                  <c:v>-0.33450163888679962</c:v>
                </c:pt>
                <c:pt idx="17">
                  <c:v>-0.4823610380399741</c:v>
                </c:pt>
                <c:pt idx="18">
                  <c:v>-0.47340066528847258</c:v>
                </c:pt>
                <c:pt idx="19">
                  <c:v>-0.31907277443630838</c:v>
                </c:pt>
                <c:pt idx="20">
                  <c:v>-0.36718358594263145</c:v>
                </c:pt>
                <c:pt idx="21">
                  <c:v>-0.28557374804435587</c:v>
                </c:pt>
                <c:pt idx="22">
                  <c:v>-0.19063880640142991</c:v>
                </c:pt>
                <c:pt idx="23">
                  <c:v>-0.14821530824908857</c:v>
                </c:pt>
                <c:pt idx="24">
                  <c:v>-0.12700805760170325</c:v>
                </c:pt>
                <c:pt idx="25">
                  <c:v>-1.6629089812288778E-2</c:v>
                </c:pt>
                <c:pt idx="26">
                  <c:v>8.8065458274801597E-2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E824-4870-8EA0-B332C6937AF0}"/>
            </c:ext>
          </c:extLst>
        </c:ser>
        <c:ser>
          <c:idx val="19"/>
          <c:order val="19"/>
          <c:tx>
            <c:strRef>
              <c:f>'SATORI H1'!$CH$1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H1'!$CH$2:$CH$37</c:f>
              <c:numCache>
                <c:formatCode>0.00000</c:formatCode>
                <c:ptCount val="36"/>
                <c:pt idx="0">
                  <c:v>-0.2113032583666124</c:v>
                </c:pt>
                <c:pt idx="1">
                  <c:v>-0.18077182052670229</c:v>
                </c:pt>
                <c:pt idx="2">
                  <c:v>-0.17313954362770989</c:v>
                </c:pt>
                <c:pt idx="3">
                  <c:v>-0.15596986908842292</c:v>
                </c:pt>
                <c:pt idx="4">
                  <c:v>-0.10448736360649091</c:v>
                </c:pt>
                <c:pt idx="5">
                  <c:v>-0.15408769936259595</c:v>
                </c:pt>
                <c:pt idx="6">
                  <c:v>-0.19416556492999235</c:v>
                </c:pt>
                <c:pt idx="7">
                  <c:v>-0.20561769502618049</c:v>
                </c:pt>
                <c:pt idx="8">
                  <c:v>-0.24380603994332878</c:v>
                </c:pt>
                <c:pt idx="9">
                  <c:v>-0.2800981339971389</c:v>
                </c:pt>
                <c:pt idx="10">
                  <c:v>-0.22282764547987821</c:v>
                </c:pt>
                <c:pt idx="11">
                  <c:v>-0.16558993727772089</c:v>
                </c:pt>
                <c:pt idx="12">
                  <c:v>-0.14842157285056543</c:v>
                </c:pt>
                <c:pt idx="13">
                  <c:v>-0.10075440408972638</c:v>
                </c:pt>
                <c:pt idx="14">
                  <c:v>-0.13508654851360596</c:v>
                </c:pt>
                <c:pt idx="15">
                  <c:v>-0.21908005810604569</c:v>
                </c:pt>
                <c:pt idx="16">
                  <c:v>-0.15803116175562754</c:v>
                </c:pt>
                <c:pt idx="17">
                  <c:v>-0.14467849885313736</c:v>
                </c:pt>
                <c:pt idx="18">
                  <c:v>-8.3674991151447012E-2</c:v>
                </c:pt>
                <c:pt idx="19">
                  <c:v>-0.10846380948755945</c:v>
                </c:pt>
                <c:pt idx="20">
                  <c:v>-0.18097597435731155</c:v>
                </c:pt>
                <c:pt idx="21">
                  <c:v>-7.4230010689061807E-2</c:v>
                </c:pt>
                <c:pt idx="22">
                  <c:v>-8.3761808767450277E-2</c:v>
                </c:pt>
                <c:pt idx="23">
                  <c:v>-6.6607515429048775E-2</c:v>
                </c:pt>
                <c:pt idx="24">
                  <c:v>-2.8501389869348102E-2</c:v>
                </c:pt>
                <c:pt idx="25">
                  <c:v>1.5301459220305375E-2</c:v>
                </c:pt>
                <c:pt idx="26">
                  <c:v>8.761904761905065E-2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E824-4870-8EA0-B332C6937AF0}"/>
            </c:ext>
          </c:extLst>
        </c:ser>
        <c:ser>
          <c:idx val="20"/>
          <c:order val="20"/>
          <c:tx>
            <c:strRef>
              <c:f>'SATORI H1'!$CI$1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H1'!$CI$2:$CI$37</c:f>
              <c:numCache>
                <c:formatCode>0.00000</c:formatCode>
                <c:ptCount val="36"/>
                <c:pt idx="0">
                  <c:v>0.13116819688331438</c:v>
                </c:pt>
                <c:pt idx="1">
                  <c:v>0.19294576512314901</c:v>
                </c:pt>
                <c:pt idx="2">
                  <c:v>0.26280312613948109</c:v>
                </c:pt>
                <c:pt idx="3">
                  <c:v>0.33098937199959799</c:v>
                </c:pt>
                <c:pt idx="4">
                  <c:v>0.35371295583339596</c:v>
                </c:pt>
                <c:pt idx="5">
                  <c:v>0.42669973711635123</c:v>
                </c:pt>
                <c:pt idx="6">
                  <c:v>0.30815860496734537</c:v>
                </c:pt>
                <c:pt idx="7">
                  <c:v>0.23015294955732232</c:v>
                </c:pt>
                <c:pt idx="8">
                  <c:v>0.19438757044430402</c:v>
                </c:pt>
                <c:pt idx="9">
                  <c:v>0.16836961805714898</c:v>
                </c:pt>
                <c:pt idx="10">
                  <c:v>0.14722556197661224</c:v>
                </c:pt>
                <c:pt idx="11">
                  <c:v>0.16999090012319323</c:v>
                </c:pt>
                <c:pt idx="12">
                  <c:v>0.24635902699177031</c:v>
                </c:pt>
                <c:pt idx="13">
                  <c:v>0.3680747315634168</c:v>
                </c:pt>
                <c:pt idx="14">
                  <c:v>0.37294312272241426</c:v>
                </c:pt>
                <c:pt idx="15">
                  <c:v>0.24457758968048302</c:v>
                </c:pt>
                <c:pt idx="16">
                  <c:v>0.28843011526112172</c:v>
                </c:pt>
                <c:pt idx="17">
                  <c:v>0.32090291928774584</c:v>
                </c:pt>
                <c:pt idx="18">
                  <c:v>0.47005502200815569</c:v>
                </c:pt>
                <c:pt idx="19">
                  <c:v>0.40029399408751432</c:v>
                </c:pt>
                <c:pt idx="20">
                  <c:v>0.26708412356100336</c:v>
                </c:pt>
                <c:pt idx="21">
                  <c:v>0.34337787072029202</c:v>
                </c:pt>
                <c:pt idx="22">
                  <c:v>0.13190635430683606</c:v>
                </c:pt>
                <c:pt idx="23">
                  <c:v>0.10749983939445815</c:v>
                </c:pt>
                <c:pt idx="24">
                  <c:v>0.10587271192529962</c:v>
                </c:pt>
                <c:pt idx="25">
                  <c:v>1.9560522364183992E-2</c:v>
                </c:pt>
                <c:pt idx="26">
                  <c:v>4.8865505839440652E-2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E824-4870-8EA0-B332C6937AF0}"/>
            </c:ext>
          </c:extLst>
        </c:ser>
        <c:ser>
          <c:idx val="21"/>
          <c:order val="21"/>
          <c:tx>
            <c:strRef>
              <c:f>'SATORI H1'!$CJ$1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H1'!$CJ$2:$CJ$37</c:f>
              <c:numCache>
                <c:formatCode>0.00000</c:formatCode>
                <c:ptCount val="36"/>
                <c:pt idx="0">
                  <c:v>-1.9745929341124999E-3</c:v>
                </c:pt>
                <c:pt idx="1">
                  <c:v>7.6003971916752192E-3</c:v>
                </c:pt>
                <c:pt idx="2">
                  <c:v>6.7408294226406401E-2</c:v>
                </c:pt>
                <c:pt idx="3">
                  <c:v>0.10208484570315068</c:v>
                </c:pt>
                <c:pt idx="4">
                  <c:v>0.12001777654181212</c:v>
                </c:pt>
                <c:pt idx="5">
                  <c:v>0.18214664615481677</c:v>
                </c:pt>
                <c:pt idx="6">
                  <c:v>0.10801500270411382</c:v>
                </c:pt>
                <c:pt idx="7">
                  <c:v>4.9392745388296543E-2</c:v>
                </c:pt>
                <c:pt idx="8">
                  <c:v>3.2640723179897906E-2</c:v>
                </c:pt>
                <c:pt idx="9">
                  <c:v>7.5063740996902262E-3</c:v>
                </c:pt>
                <c:pt idx="10">
                  <c:v>-1.4041996005532645E-2</c:v>
                </c:pt>
                <c:pt idx="11">
                  <c:v>2.9036178915793097E-2</c:v>
                </c:pt>
                <c:pt idx="12">
                  <c:v>8.0464203601236656E-2</c:v>
                </c:pt>
                <c:pt idx="13">
                  <c:v>0.17963380752022792</c:v>
                </c:pt>
                <c:pt idx="14">
                  <c:v>0.19994152923276653</c:v>
                </c:pt>
                <c:pt idx="15">
                  <c:v>0.12343043512412394</c:v>
                </c:pt>
                <c:pt idx="16">
                  <c:v>0.1664494112724948</c:v>
                </c:pt>
                <c:pt idx="17">
                  <c:v>0.22258154871262698</c:v>
                </c:pt>
                <c:pt idx="18">
                  <c:v>0.28583944998256283</c:v>
                </c:pt>
                <c:pt idx="19">
                  <c:v>0.26315694535652284</c:v>
                </c:pt>
                <c:pt idx="20">
                  <c:v>0.13166450617177722</c:v>
                </c:pt>
                <c:pt idx="21">
                  <c:v>0.15437167924824341</c:v>
                </c:pt>
                <c:pt idx="22">
                  <c:v>6.1065779444424713E-2</c:v>
                </c:pt>
                <c:pt idx="23">
                  <c:v>2.7560131349453201E-2</c:v>
                </c:pt>
                <c:pt idx="24">
                  <c:v>3.1149893348229631E-2</c:v>
                </c:pt>
                <c:pt idx="25">
                  <c:v>-4.4291980484206593E-2</c:v>
                </c:pt>
                <c:pt idx="26">
                  <c:v>-1.5560476389978395E-2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E824-4870-8EA0-B332C6937AF0}"/>
            </c:ext>
          </c:extLst>
        </c:ser>
        <c:ser>
          <c:idx val="22"/>
          <c:order val="22"/>
          <c:tx>
            <c:strRef>
              <c:f>'SATORI H1'!$CK$1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H1'!$CK$2:$CK$37</c:f>
              <c:numCache>
                <c:formatCode>0.00000</c:formatCode>
                <c:ptCount val="36"/>
                <c:pt idx="0">
                  <c:v>0.12778677690211171</c:v>
                </c:pt>
                <c:pt idx="1">
                  <c:v>9.9874087793641805E-2</c:v>
                </c:pt>
                <c:pt idx="2">
                  <c:v>-4.641601386399874E-2</c:v>
                </c:pt>
                <c:pt idx="3">
                  <c:v>-0.12101434845617735</c:v>
                </c:pt>
                <c:pt idx="4">
                  <c:v>-9.3979762831122526E-2</c:v>
                </c:pt>
                <c:pt idx="5">
                  <c:v>-0.35006410243260389</c:v>
                </c:pt>
                <c:pt idx="6">
                  <c:v>-0.3052227287918563</c:v>
                </c:pt>
                <c:pt idx="7">
                  <c:v>-0.40153751919029501</c:v>
                </c:pt>
                <c:pt idx="8">
                  <c:v>-0.51481218685553509</c:v>
                </c:pt>
                <c:pt idx="9">
                  <c:v>-0.42221872825603102</c:v>
                </c:pt>
                <c:pt idx="10">
                  <c:v>-0.29891301415713878</c:v>
                </c:pt>
                <c:pt idx="11">
                  <c:v>-0.20092503401603246</c:v>
                </c:pt>
                <c:pt idx="12">
                  <c:v>-0.37199623889951439</c:v>
                </c:pt>
                <c:pt idx="13">
                  <c:v>-0.49554431501262153</c:v>
                </c:pt>
                <c:pt idx="14">
                  <c:v>-0.6689991604971588</c:v>
                </c:pt>
                <c:pt idx="15">
                  <c:v>-0.55193713635428698</c:v>
                </c:pt>
                <c:pt idx="16">
                  <c:v>-0.47239827460219203</c:v>
                </c:pt>
                <c:pt idx="17">
                  <c:v>-0.66929296407113292</c:v>
                </c:pt>
                <c:pt idx="18">
                  <c:v>-0.76032234685438771</c:v>
                </c:pt>
                <c:pt idx="19">
                  <c:v>-0.58326984938370263</c:v>
                </c:pt>
                <c:pt idx="20">
                  <c:v>-0.49809496006426479</c:v>
                </c:pt>
                <c:pt idx="21">
                  <c:v>-0.44196721331265609</c:v>
                </c:pt>
                <c:pt idx="22">
                  <c:v>-0.25336019750514893</c:v>
                </c:pt>
                <c:pt idx="23">
                  <c:v>-0.17685552792134571</c:v>
                </c:pt>
                <c:pt idx="24">
                  <c:v>-0.15819933359842936</c:v>
                </c:pt>
                <c:pt idx="25">
                  <c:v>2.7085856621490281E-2</c:v>
                </c:pt>
                <c:pt idx="26">
                  <c:v>0.102446611345496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E824-4870-8EA0-B332C6937AF0}"/>
            </c:ext>
          </c:extLst>
        </c:ser>
        <c:ser>
          <c:idx val="23"/>
          <c:order val="23"/>
          <c:tx>
            <c:strRef>
              <c:f>'SATORI H1'!$CL$1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H1'!$CL$2:$CL$37</c:f>
              <c:numCache>
                <c:formatCode>0.00000</c:formatCode>
                <c:ptCount val="36"/>
                <c:pt idx="0">
                  <c:v>-0.20664603350785035</c:v>
                </c:pt>
                <c:pt idx="1">
                  <c:v>-0.18751368549043854</c:v>
                </c:pt>
                <c:pt idx="2">
                  <c:v>-0.24015533939550046</c:v>
                </c:pt>
                <c:pt idx="3">
                  <c:v>-0.25770563695280913</c:v>
                </c:pt>
                <c:pt idx="4">
                  <c:v>-0.22421174560062362</c:v>
                </c:pt>
                <c:pt idx="5">
                  <c:v>-0.33438434934648709</c:v>
                </c:pt>
                <c:pt idx="6">
                  <c:v>-0.30086479627387225</c:v>
                </c:pt>
                <c:pt idx="7">
                  <c:v>-0.25459730636496936</c:v>
                </c:pt>
                <c:pt idx="8">
                  <c:v>-0.27853449518151208</c:v>
                </c:pt>
                <c:pt idx="9">
                  <c:v>-0.28651419482561657</c:v>
                </c:pt>
                <c:pt idx="10">
                  <c:v>-0.20837424458003539</c:v>
                </c:pt>
                <c:pt idx="11">
                  <c:v>-0.19402406839175557</c:v>
                </c:pt>
                <c:pt idx="12">
                  <c:v>-0.22751902819781075</c:v>
                </c:pt>
                <c:pt idx="13">
                  <c:v>-0.28018168399149146</c:v>
                </c:pt>
                <c:pt idx="14">
                  <c:v>-0.33446963366336985</c:v>
                </c:pt>
                <c:pt idx="15">
                  <c:v>-0.36481622366497074</c:v>
                </c:pt>
                <c:pt idx="16">
                  <c:v>-0.30256463146078527</c:v>
                </c:pt>
                <c:pt idx="17">
                  <c:v>-0.33929059192448291</c:v>
                </c:pt>
                <c:pt idx="18">
                  <c:v>-0.37123641181396455</c:v>
                </c:pt>
                <c:pt idx="19">
                  <c:v>-0.37283372832222339</c:v>
                </c:pt>
                <c:pt idx="20">
                  <c:v>-0.31057716743849928</c:v>
                </c:pt>
                <c:pt idx="21">
                  <c:v>-0.22923096758204975</c:v>
                </c:pt>
                <c:pt idx="22">
                  <c:v>-0.14317381926096334</c:v>
                </c:pt>
                <c:pt idx="23">
                  <c:v>-9.5387139001646234E-2</c:v>
                </c:pt>
                <c:pt idx="24">
                  <c:v>-5.8764101518753414E-2</c:v>
                </c:pt>
                <c:pt idx="25">
                  <c:v>6.0516398505107191E-2</c:v>
                </c:pt>
                <c:pt idx="26">
                  <c:v>0.10343894715066113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E824-4870-8EA0-B332C6937AF0}"/>
            </c:ext>
          </c:extLst>
        </c:ser>
        <c:ser>
          <c:idx val="24"/>
          <c:order val="24"/>
          <c:tx>
            <c:strRef>
              <c:f>'SATORI H1'!$CM$1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H1'!$CM$2:$CM$37</c:f>
              <c:numCache>
                <c:formatCode>0.00000</c:formatCode>
                <c:ptCount val="36"/>
                <c:pt idx="0">
                  <c:v>0.3311856466834337</c:v>
                </c:pt>
                <c:pt idx="1">
                  <c:v>0.28683379645263268</c:v>
                </c:pt>
                <c:pt idx="2">
                  <c:v>0.19278954308222615</c:v>
                </c:pt>
                <c:pt idx="3">
                  <c:v>0.13668200363161029</c:v>
                </c:pt>
                <c:pt idx="4">
                  <c:v>0.12674530623911906</c:v>
                </c:pt>
                <c:pt idx="5">
                  <c:v>-1.7251603095515336E-2</c:v>
                </c:pt>
                <c:pt idx="6">
                  <c:v>-7.8868275282033551E-3</c:v>
                </c:pt>
                <c:pt idx="7">
                  <c:v>-0.14620833124706978</c:v>
                </c:pt>
                <c:pt idx="8">
                  <c:v>-0.237137687936538</c:v>
                </c:pt>
                <c:pt idx="9">
                  <c:v>-0.13516623994197255</c:v>
                </c:pt>
                <c:pt idx="10">
                  <c:v>-9.1232339958950387E-2</c:v>
                </c:pt>
                <c:pt idx="11">
                  <c:v>-8.119956799160416E-3</c:v>
                </c:pt>
                <c:pt idx="12">
                  <c:v>-0.14702838273810792</c:v>
                </c:pt>
                <c:pt idx="13">
                  <c:v>-0.21388976852830646</c:v>
                </c:pt>
                <c:pt idx="14">
                  <c:v>-0.33955922262959287</c:v>
                </c:pt>
                <c:pt idx="15">
                  <c:v>-0.29084201136711368</c:v>
                </c:pt>
                <c:pt idx="16">
                  <c:v>-0.17768800465996343</c:v>
                </c:pt>
                <c:pt idx="17">
                  <c:v>-0.32976809626031944</c:v>
                </c:pt>
                <c:pt idx="18">
                  <c:v>-0.39204813315830034</c:v>
                </c:pt>
                <c:pt idx="19">
                  <c:v>-0.21550854371549233</c:v>
                </c:pt>
                <c:pt idx="20">
                  <c:v>-0.18853634853062001</c:v>
                </c:pt>
                <c:pt idx="21">
                  <c:v>-0.21140930975801084</c:v>
                </c:pt>
                <c:pt idx="22">
                  <c:v>-0.10887945892430666</c:v>
                </c:pt>
                <c:pt idx="23">
                  <c:v>-8.6035169118122479E-2</c:v>
                </c:pt>
                <c:pt idx="24">
                  <c:v>-0.10536868992803031</c:v>
                </c:pt>
                <c:pt idx="25">
                  <c:v>-3.3359276014395429E-2</c:v>
                </c:pt>
                <c:pt idx="26">
                  <c:v>-5.8524709132475061E-4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E824-4870-8EA0-B332C6937AF0}"/>
            </c:ext>
          </c:extLst>
        </c:ser>
        <c:ser>
          <c:idx val="25"/>
          <c:order val="25"/>
          <c:tx>
            <c:strRef>
              <c:f>'SATORI H1'!$CN$1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H1'!$CN$2:$CN$37</c:f>
              <c:numCache>
                <c:formatCode>0.00000</c:formatCode>
                <c:ptCount val="36"/>
                <c:pt idx="0">
                  <c:v>-0.12477691654029878</c:v>
                </c:pt>
                <c:pt idx="1">
                  <c:v>-0.17704198139314603</c:v>
                </c:pt>
                <c:pt idx="2">
                  <c:v>-0.18882141156320692</c:v>
                </c:pt>
                <c:pt idx="3">
                  <c:v>-0.22048865511377899</c:v>
                </c:pt>
                <c:pt idx="4">
                  <c:v>-0.22638058243684497</c:v>
                </c:pt>
                <c:pt idx="5">
                  <c:v>-0.2381658258389619</c:v>
                </c:pt>
                <c:pt idx="6">
                  <c:v>-0.19251885363207327</c:v>
                </c:pt>
                <c:pt idx="7">
                  <c:v>-0.17264428424774383</c:v>
                </c:pt>
                <c:pt idx="8">
                  <c:v>-0.15424529104064599</c:v>
                </c:pt>
                <c:pt idx="9">
                  <c:v>-0.15424529104064599</c:v>
                </c:pt>
                <c:pt idx="10">
                  <c:v>-0.15424529104064602</c:v>
                </c:pt>
                <c:pt idx="11">
                  <c:v>-0.1336426642057203</c:v>
                </c:pt>
                <c:pt idx="12">
                  <c:v>-0.15866639995507129</c:v>
                </c:pt>
                <c:pt idx="13">
                  <c:v>-0.18075104303044537</c:v>
                </c:pt>
                <c:pt idx="14">
                  <c:v>-0.16603011502312906</c:v>
                </c:pt>
                <c:pt idx="15">
                  <c:v>-0.11232758291196501</c:v>
                </c:pt>
                <c:pt idx="16">
                  <c:v>-0.11232758291196501</c:v>
                </c:pt>
                <c:pt idx="17">
                  <c:v>-8.6586421323656459E-2</c:v>
                </c:pt>
                <c:pt idx="18">
                  <c:v>-0.1815510856346115</c:v>
                </c:pt>
                <c:pt idx="19">
                  <c:v>-0.13740097525934042</c:v>
                </c:pt>
                <c:pt idx="20">
                  <c:v>-0.13592932657132195</c:v>
                </c:pt>
                <c:pt idx="21">
                  <c:v>-0.18746357476025555</c:v>
                </c:pt>
                <c:pt idx="22">
                  <c:v>-6.8340672279267045E-2</c:v>
                </c:pt>
                <c:pt idx="23">
                  <c:v>-7.9371787377912603E-2</c:v>
                </c:pt>
                <c:pt idx="24">
                  <c:v>-7.4224198655543056E-2</c:v>
                </c:pt>
                <c:pt idx="25">
                  <c:v>-6.3194867988866157E-2</c:v>
                </c:pt>
                <c:pt idx="26">
                  <c:v>-6.3194867988866157E-2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E824-4870-8EA0-B332C6937AF0}"/>
            </c:ext>
          </c:extLst>
        </c:ser>
        <c:ser>
          <c:idx val="26"/>
          <c:order val="26"/>
          <c:tx>
            <c:strRef>
              <c:f>'SATORI H1'!$CO$1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H1'!$CO$2:$CO$37</c:f>
              <c:numCache>
                <c:formatCode>0.00000</c:formatCode>
                <c:ptCount val="36"/>
                <c:pt idx="0">
                  <c:v>-0.33428837763106756</c:v>
                </c:pt>
                <c:pt idx="1">
                  <c:v>-0.37067463536315115</c:v>
                </c:pt>
                <c:pt idx="2">
                  <c:v>-0.43409734774114878</c:v>
                </c:pt>
                <c:pt idx="3">
                  <c:v>-0.48462613740037819</c:v>
                </c:pt>
                <c:pt idx="4">
                  <c:v>-0.45643197359228427</c:v>
                </c:pt>
                <c:pt idx="5">
                  <c:v>-0.57640092280543154</c:v>
                </c:pt>
                <c:pt idx="6">
                  <c:v>-0.49883416838647782</c:v>
                </c:pt>
                <c:pt idx="7">
                  <c:v>-0.43423696133480594</c:v>
                </c:pt>
                <c:pt idx="8">
                  <c:v>-0.4365860058609472</c:v>
                </c:pt>
                <c:pt idx="9">
                  <c:v>-0.4471578237437685</c:v>
                </c:pt>
                <c:pt idx="10">
                  <c:v>-0.3673456171709969</c:v>
                </c:pt>
                <c:pt idx="11">
                  <c:v>-0.33331964009746412</c:v>
                </c:pt>
                <c:pt idx="12">
                  <c:v>-0.39201955439558273</c:v>
                </c:pt>
                <c:pt idx="13">
                  <c:v>-0.46603619051570344</c:v>
                </c:pt>
                <c:pt idx="14">
                  <c:v>-0.50482184687479437</c:v>
                </c:pt>
                <c:pt idx="15">
                  <c:v>-0.46135380176201457</c:v>
                </c:pt>
                <c:pt idx="16">
                  <c:v>-0.40616810777254903</c:v>
                </c:pt>
                <c:pt idx="17">
                  <c:v>-0.42848219618331879</c:v>
                </c:pt>
                <c:pt idx="18">
                  <c:v>-0.55312648959128907</c:v>
                </c:pt>
                <c:pt idx="19">
                  <c:v>-0.50846264379908812</c:v>
                </c:pt>
                <c:pt idx="20">
                  <c:v>-0.44503322664495637</c:v>
                </c:pt>
                <c:pt idx="21">
                  <c:v>-0.41802429020989362</c:v>
                </c:pt>
                <c:pt idx="22">
                  <c:v>-0.21411246449591353</c:v>
                </c:pt>
                <c:pt idx="23">
                  <c:v>-0.1719416022189181</c:v>
                </c:pt>
                <c:pt idx="24">
                  <c:v>-0.13212942203367356</c:v>
                </c:pt>
                <c:pt idx="25">
                  <c:v>-3.4910012457059422E-3</c:v>
                </c:pt>
                <c:pt idx="26">
                  <c:v>3.9759571532147597E-2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E824-4870-8EA0-B332C6937AF0}"/>
            </c:ext>
          </c:extLst>
        </c:ser>
        <c:ser>
          <c:idx val="27"/>
          <c:order val="27"/>
          <c:tx>
            <c:strRef>
              <c:f>'SATORI H1'!$CP$1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H1'!$CP$2:$CP$37</c:f>
              <c:numCache>
                <c:formatCode>0.00000</c:formatCode>
                <c:ptCount val="36"/>
                <c:pt idx="0">
                  <c:v>-5.8242350828510703E-4</c:v>
                </c:pt>
                <c:pt idx="1">
                  <c:v>-8.4149218721678798E-2</c:v>
                </c:pt>
                <c:pt idx="2">
                  <c:v>-0.23988040063216687</c:v>
                </c:pt>
                <c:pt idx="3">
                  <c:v>-0.34632986460760873</c:v>
                </c:pt>
                <c:pt idx="4">
                  <c:v>-0.32641747910382785</c:v>
                </c:pt>
                <c:pt idx="5">
                  <c:v>-0.59492375801989883</c:v>
                </c:pt>
                <c:pt idx="6">
                  <c:v>-0.50344000154552471</c:v>
                </c:pt>
                <c:pt idx="7">
                  <c:v>-0.57916055141440004</c:v>
                </c:pt>
                <c:pt idx="8">
                  <c:v>-0.67286641147571924</c:v>
                </c:pt>
                <c:pt idx="9">
                  <c:v>-0.5826870164348974</c:v>
                </c:pt>
                <c:pt idx="10">
                  <c:v>-0.45892974569523676</c:v>
                </c:pt>
                <c:pt idx="11">
                  <c:v>-0.3414984018274243</c:v>
                </c:pt>
                <c:pt idx="12">
                  <c:v>-0.53622227924082189</c:v>
                </c:pt>
                <c:pt idx="13">
                  <c:v>-0.6802360604639075</c:v>
                </c:pt>
                <c:pt idx="14">
                  <c:v>-0.84035421662051923</c:v>
                </c:pt>
                <c:pt idx="15">
                  <c:v>-0.65091852831455255</c:v>
                </c:pt>
                <c:pt idx="16">
                  <c:v>-0.57932868305876684</c:v>
                </c:pt>
                <c:pt idx="17">
                  <c:v>-0.75862418963752642</c:v>
                </c:pt>
                <c:pt idx="18">
                  <c:v>-0.94239438017819155</c:v>
                </c:pt>
                <c:pt idx="19">
                  <c:v>-0.71905392384677658</c:v>
                </c:pt>
                <c:pt idx="20">
                  <c:v>-0.63433909599693605</c:v>
                </c:pt>
                <c:pt idx="21">
                  <c:v>-0.62951815935783362</c:v>
                </c:pt>
                <c:pt idx="22">
                  <c:v>-0.32329622398027574</c:v>
                </c:pt>
                <c:pt idx="23">
                  <c:v>-0.25536936542593913</c:v>
                </c:pt>
                <c:pt idx="24">
                  <c:v>-0.23273220481186355</c:v>
                </c:pt>
                <c:pt idx="25">
                  <c:v>-3.7610921529994353E-2</c:v>
                </c:pt>
                <c:pt idx="26">
                  <c:v>3.9009567609751279E-2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E824-4870-8EA0-B332C6937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 h1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1852482574040504E-2"/>
          <c:y val="7.5077407108097419E-2"/>
          <c:w val="0.92817833154824492"/>
          <c:h val="0.915511642433800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H1'!$DX$2:$DX$37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H1'!$DY$2:$DY$37</c:f>
              <c:numCache>
                <c:formatCode>0.00000</c:formatCode>
                <c:ptCount val="36"/>
                <c:pt idx="0">
                  <c:v>1.0949451795043867</c:v>
                </c:pt>
                <c:pt idx="1">
                  <c:v>1.4238431485043077</c:v>
                </c:pt>
                <c:pt idx="2">
                  <c:v>2.0322744992878752</c:v>
                </c:pt>
                <c:pt idx="3">
                  <c:v>1.6297784559818222</c:v>
                </c:pt>
                <c:pt idx="4">
                  <c:v>1.8401428797942194</c:v>
                </c:pt>
                <c:pt idx="5">
                  <c:v>1.4398388321117721</c:v>
                </c:pt>
                <c:pt idx="6">
                  <c:v>2.3291154807828853</c:v>
                </c:pt>
                <c:pt idx="7">
                  <c:v>1.8718980613596263</c:v>
                </c:pt>
                <c:pt idx="8">
                  <c:v>1.8935440466417215</c:v>
                </c:pt>
                <c:pt idx="9">
                  <c:v>1.9845791065284741</c:v>
                </c:pt>
                <c:pt idx="10">
                  <c:v>1.8750705481712429</c:v>
                </c:pt>
                <c:pt idx="11">
                  <c:v>1.8872632329015588</c:v>
                </c:pt>
                <c:pt idx="12">
                  <c:v>2.2019557129478597</c:v>
                </c:pt>
                <c:pt idx="13">
                  <c:v>2.7319605685951598</c:v>
                </c:pt>
                <c:pt idx="14">
                  <c:v>2.8211161319729392</c:v>
                </c:pt>
                <c:pt idx="15">
                  <c:v>2.1588292167140026</c:v>
                </c:pt>
                <c:pt idx="16">
                  <c:v>2.3788839846666519</c:v>
                </c:pt>
                <c:pt idx="17">
                  <c:v>2.4958615744157053</c:v>
                </c:pt>
                <c:pt idx="18">
                  <c:v>3.2098389596281334</c:v>
                </c:pt>
                <c:pt idx="19">
                  <c:v>2.7598596492333662</c:v>
                </c:pt>
                <c:pt idx="20">
                  <c:v>2.1067588826443866</c:v>
                </c:pt>
                <c:pt idx="21">
                  <c:v>1.8052911079258713</c:v>
                </c:pt>
                <c:pt idx="22">
                  <c:v>0.54689944841981364</c:v>
                </c:pt>
                <c:pt idx="23">
                  <c:v>-0.18908754195072042</c:v>
                </c:pt>
                <c:pt idx="24">
                  <c:v>0.5697645545406349</c:v>
                </c:pt>
                <c:pt idx="25">
                  <c:v>-0.16281555108314816</c:v>
                </c:pt>
                <c:pt idx="26">
                  <c:v>0.56402631689826743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F2-4CC4-9D8D-71B7CE0A1B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EU/UE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H1'!$DH$1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H1'!$DG$2:$DG$37</c:f>
              <c:numCache>
                <c:formatCode>0.00000</c:formatCode>
                <c:ptCount val="36"/>
                <c:pt idx="0">
                  <c:v>-0.12477691654029878</c:v>
                </c:pt>
                <c:pt idx="1">
                  <c:v>-0.17704198139314603</c:v>
                </c:pt>
                <c:pt idx="2">
                  <c:v>-0.18882141156320692</c:v>
                </c:pt>
                <c:pt idx="3">
                  <c:v>-0.22048865511377899</c:v>
                </c:pt>
                <c:pt idx="4">
                  <c:v>-0.22638058243684497</c:v>
                </c:pt>
                <c:pt idx="5">
                  <c:v>-0.2381658258389619</c:v>
                </c:pt>
                <c:pt idx="6">
                  <c:v>-0.19251885363207327</c:v>
                </c:pt>
                <c:pt idx="7">
                  <c:v>-0.17264428424774383</c:v>
                </c:pt>
                <c:pt idx="8">
                  <c:v>-0.15424529104064599</c:v>
                </c:pt>
                <c:pt idx="9">
                  <c:v>-0.15424529104064599</c:v>
                </c:pt>
                <c:pt idx="10">
                  <c:v>-0.15424529104064602</c:v>
                </c:pt>
                <c:pt idx="11">
                  <c:v>-0.1336426642057203</c:v>
                </c:pt>
                <c:pt idx="12">
                  <c:v>-0.15866639995507129</c:v>
                </c:pt>
                <c:pt idx="13">
                  <c:v>-0.18075104303044537</c:v>
                </c:pt>
                <c:pt idx="14">
                  <c:v>-0.16603011502312906</c:v>
                </c:pt>
                <c:pt idx="15">
                  <c:v>-0.11232758291196501</c:v>
                </c:pt>
                <c:pt idx="16">
                  <c:v>-0.11232758291196501</c:v>
                </c:pt>
                <c:pt idx="17">
                  <c:v>-8.6586421323656459E-2</c:v>
                </c:pt>
                <c:pt idx="18">
                  <c:v>-0.1815510856346115</c:v>
                </c:pt>
                <c:pt idx="19">
                  <c:v>-0.13740097525934042</c:v>
                </c:pt>
                <c:pt idx="20">
                  <c:v>-0.13592932657132195</c:v>
                </c:pt>
                <c:pt idx="21">
                  <c:v>-0.18746357476025555</c:v>
                </c:pt>
                <c:pt idx="22">
                  <c:v>-6.8340672279267045E-2</c:v>
                </c:pt>
                <c:pt idx="23">
                  <c:v>-7.9371787377912603E-2</c:v>
                </c:pt>
                <c:pt idx="24">
                  <c:v>-7.4224198655543056E-2</c:v>
                </c:pt>
                <c:pt idx="25">
                  <c:v>-6.3194867988866157E-2</c:v>
                </c:pt>
                <c:pt idx="26">
                  <c:v>-6.3194867988866157E-2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H1'!$DH$2:$DH$37</c:f>
              <c:numCache>
                <c:formatCode>0.00000</c:formatCode>
                <c:ptCount val="36"/>
                <c:pt idx="0">
                  <c:v>8.4329009036486074E-3</c:v>
                </c:pt>
                <c:pt idx="1">
                  <c:v>-6.1102459689209715E-3</c:v>
                </c:pt>
                <c:pt idx="2">
                  <c:v>5.9291113586617122E-2</c:v>
                </c:pt>
                <c:pt idx="3">
                  <c:v>-2.2692899530833602E-2</c:v>
                </c:pt>
                <c:pt idx="4">
                  <c:v>-2.8619910769048379E-3</c:v>
                </c:pt>
                <c:pt idx="5">
                  <c:v>-6.4375623291534345E-2</c:v>
                </c:pt>
                <c:pt idx="6">
                  <c:v>9.2798932921486624E-2</c:v>
                </c:pt>
                <c:pt idx="7">
                  <c:v>5.3820305101310903E-2</c:v>
                </c:pt>
                <c:pt idx="8">
                  <c:v>7.4956787330159383E-2</c:v>
                </c:pt>
                <c:pt idx="9">
                  <c:v>8.7504998879791698E-2</c:v>
                </c:pt>
                <c:pt idx="10">
                  <c:v>7.4955212556422485E-2</c:v>
                </c:pt>
                <c:pt idx="11">
                  <c:v>9.5426987921614678E-2</c:v>
                </c:pt>
                <c:pt idx="12">
                  <c:v>0.11061341785604584</c:v>
                </c:pt>
                <c:pt idx="13">
                  <c:v>0.15483258653567128</c:v>
                </c:pt>
                <c:pt idx="14">
                  <c:v>0.17924616576433292</c:v>
                </c:pt>
                <c:pt idx="15">
                  <c:v>0.15416647173659689</c:v>
                </c:pt>
                <c:pt idx="16">
                  <c:v>0.18253807374241326</c:v>
                </c:pt>
                <c:pt idx="17">
                  <c:v>0.22211068949231003</c:v>
                </c:pt>
                <c:pt idx="18">
                  <c:v>0.21749367116274623</c:v>
                </c:pt>
                <c:pt idx="19">
                  <c:v>0.20891847327356655</c:v>
                </c:pt>
                <c:pt idx="20">
                  <c:v>0.12705732035165762</c:v>
                </c:pt>
                <c:pt idx="21">
                  <c:v>3.6532075702222042E-2</c:v>
                </c:pt>
                <c:pt idx="22">
                  <c:v>-1.1459031716664209E-3</c:v>
                </c:pt>
                <c:pt idx="23">
                  <c:v>-0.10304627901202008</c:v>
                </c:pt>
                <c:pt idx="24">
                  <c:v>-3.8910812965520791E-3</c:v>
                </c:pt>
                <c:pt idx="25">
                  <c:v>-8.4602399404996254E-2</c:v>
                </c:pt>
                <c:pt idx="26">
                  <c:v>7.2710927791474643E-3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262-4BDE-868C-8ACE0BEE105F}"/>
            </c:ext>
          </c:extLst>
        </c:ser>
        <c:ser>
          <c:idx val="1"/>
          <c:order val="1"/>
          <c:tx>
            <c:strRef>
              <c:f>'SATORI H1'!$DJ$1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H1'!$DI$2:$DI$37</c:f>
              <c:numCache>
                <c:formatCode>0.00000</c:formatCode>
                <c:ptCount val="36"/>
                <c:pt idx="0">
                  <c:v>-0.33428837763106756</c:v>
                </c:pt>
                <c:pt idx="1">
                  <c:v>-0.37067463536315115</c:v>
                </c:pt>
                <c:pt idx="2">
                  <c:v>-0.43409734774114878</c:v>
                </c:pt>
                <c:pt idx="3">
                  <c:v>-0.48462613740037819</c:v>
                </c:pt>
                <c:pt idx="4">
                  <c:v>-0.45643197359228427</c:v>
                </c:pt>
                <c:pt idx="5">
                  <c:v>-0.57640092280543154</c:v>
                </c:pt>
                <c:pt idx="6">
                  <c:v>-0.49883416838647782</c:v>
                </c:pt>
                <c:pt idx="7">
                  <c:v>-0.43423696133480594</c:v>
                </c:pt>
                <c:pt idx="8">
                  <c:v>-0.4365860058609472</c:v>
                </c:pt>
                <c:pt idx="9">
                  <c:v>-0.4471578237437685</c:v>
                </c:pt>
                <c:pt idx="10">
                  <c:v>-0.3673456171709969</c:v>
                </c:pt>
                <c:pt idx="11">
                  <c:v>-0.33331964009746412</c:v>
                </c:pt>
                <c:pt idx="12">
                  <c:v>-0.39201955439558273</c:v>
                </c:pt>
                <c:pt idx="13">
                  <c:v>-0.46603619051570344</c:v>
                </c:pt>
                <c:pt idx="14">
                  <c:v>-0.50482184687479437</c:v>
                </c:pt>
                <c:pt idx="15">
                  <c:v>-0.46135380176201457</c:v>
                </c:pt>
                <c:pt idx="16">
                  <c:v>-0.40616810777254903</c:v>
                </c:pt>
                <c:pt idx="17">
                  <c:v>-0.42848219618331879</c:v>
                </c:pt>
                <c:pt idx="18">
                  <c:v>-0.55312648959128907</c:v>
                </c:pt>
                <c:pt idx="19">
                  <c:v>-0.50846264379908812</c:v>
                </c:pt>
                <c:pt idx="20">
                  <c:v>-0.44503322664495637</c:v>
                </c:pt>
                <c:pt idx="21">
                  <c:v>-0.41802429020989362</c:v>
                </c:pt>
                <c:pt idx="22">
                  <c:v>-0.21411246449591353</c:v>
                </c:pt>
                <c:pt idx="23">
                  <c:v>-0.1719416022189181</c:v>
                </c:pt>
                <c:pt idx="24">
                  <c:v>-0.13212942203367356</c:v>
                </c:pt>
                <c:pt idx="25">
                  <c:v>-3.4910012457059422E-3</c:v>
                </c:pt>
                <c:pt idx="26">
                  <c:v>3.9759571532147597E-2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H1'!$DJ$2:$DJ$37</c:f>
              <c:numCache>
                <c:formatCode>0.00000</c:formatCode>
                <c:ptCount val="36"/>
                <c:pt idx="0">
                  <c:v>-0.20038623760410493</c:v>
                </c:pt>
                <c:pt idx="1">
                  <c:v>-0.19406252685062847</c:v>
                </c:pt>
                <c:pt idx="2">
                  <c:v>-0.18036303057057246</c:v>
                </c:pt>
                <c:pt idx="3">
                  <c:v>-0.28163098981021473</c:v>
                </c:pt>
                <c:pt idx="4">
                  <c:v>-0.22891506538376985</c:v>
                </c:pt>
                <c:pt idx="5">
                  <c:v>-0.40318077306097061</c:v>
                </c:pt>
                <c:pt idx="6">
                  <c:v>-0.20817297274895616</c:v>
                </c:pt>
                <c:pt idx="7">
                  <c:v>-0.20079484363169509</c:v>
                </c:pt>
                <c:pt idx="8">
                  <c:v>-0.20079484363169511</c:v>
                </c:pt>
                <c:pt idx="9">
                  <c:v>-0.20184887318667905</c:v>
                </c:pt>
                <c:pt idx="10">
                  <c:v>-0.13759438327252729</c:v>
                </c:pt>
                <c:pt idx="11">
                  <c:v>-0.10179322710577741</c:v>
                </c:pt>
                <c:pt idx="12">
                  <c:v>-0.11759034992313987</c:v>
                </c:pt>
                <c:pt idx="13">
                  <c:v>-0.1270695220754422</c:v>
                </c:pt>
                <c:pt idx="14">
                  <c:v>-0.15235370576503862</c:v>
                </c:pt>
                <c:pt idx="15">
                  <c:v>-0.15867515126890511</c:v>
                </c:pt>
                <c:pt idx="16">
                  <c:v>-0.11023421235715135</c:v>
                </c:pt>
                <c:pt idx="17">
                  <c:v>-0.11971268569103832</c:v>
                </c:pt>
                <c:pt idx="18">
                  <c:v>-0.15131758234303447</c:v>
                </c:pt>
                <c:pt idx="19">
                  <c:v>-0.16606870975062055</c:v>
                </c:pt>
                <c:pt idx="20">
                  <c:v>-0.18398400203334531</c:v>
                </c:pt>
                <c:pt idx="21">
                  <c:v>-0.19241543864475941</c:v>
                </c:pt>
                <c:pt idx="22">
                  <c:v>-0.14711699564705152</c:v>
                </c:pt>
                <c:pt idx="23">
                  <c:v>-0.19665377407009249</c:v>
                </c:pt>
                <c:pt idx="24">
                  <c:v>-6.1926859211192842E-2</c:v>
                </c:pt>
                <c:pt idx="25">
                  <c:v>-2.510103483880248E-2</c:v>
                </c:pt>
                <c:pt idx="26">
                  <c:v>0.10834578082596159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262-4BDE-868C-8ACE0BEE105F}"/>
            </c:ext>
          </c:extLst>
        </c:ser>
        <c:ser>
          <c:idx val="2"/>
          <c:order val="2"/>
          <c:tx>
            <c:strRef>
              <c:f>'SATORI H1'!$DL$1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H1'!$DK$2:$DK$37</c:f>
              <c:numCache>
                <c:formatCode>0.00000</c:formatCode>
                <c:ptCount val="36"/>
                <c:pt idx="0">
                  <c:v>-0.57774933384432836</c:v>
                </c:pt>
                <c:pt idx="1">
                  <c:v>-0.64943938875585538</c:v>
                </c:pt>
                <c:pt idx="2">
                  <c:v>-0.71650846990944284</c:v>
                </c:pt>
                <c:pt idx="3">
                  <c:v>-0.75155502087170889</c:v>
                </c:pt>
                <c:pt idx="4">
                  <c:v>-0.66386180985134235</c:v>
                </c:pt>
                <c:pt idx="5">
                  <c:v>-0.54170482285342314</c:v>
                </c:pt>
                <c:pt idx="6">
                  <c:v>-0.5004598352651104</c:v>
                </c:pt>
                <c:pt idx="7">
                  <c:v>-0.43243574403639218</c:v>
                </c:pt>
                <c:pt idx="8">
                  <c:v>-0.43472863835689091</c:v>
                </c:pt>
                <c:pt idx="9">
                  <c:v>-0.45688837182879577</c:v>
                </c:pt>
                <c:pt idx="10">
                  <c:v>-0.4438964955725957</c:v>
                </c:pt>
                <c:pt idx="11">
                  <c:v>-0.45230229710396713</c:v>
                </c:pt>
                <c:pt idx="12">
                  <c:v>-0.48209580517496059</c:v>
                </c:pt>
                <c:pt idx="13">
                  <c:v>-0.49966324888275693</c:v>
                </c:pt>
                <c:pt idx="14">
                  <c:v>-0.50577329073654975</c:v>
                </c:pt>
                <c:pt idx="15">
                  <c:v>-0.49125983523555794</c:v>
                </c:pt>
                <c:pt idx="16">
                  <c:v>-0.4882042775581012</c:v>
                </c:pt>
                <c:pt idx="17">
                  <c:v>-0.48056479979280209</c:v>
                </c:pt>
                <c:pt idx="18">
                  <c:v>-0.60493341922481125</c:v>
                </c:pt>
                <c:pt idx="19">
                  <c:v>-0.53163195166835775</c:v>
                </c:pt>
                <c:pt idx="20">
                  <c:v>-0.47586120762550438</c:v>
                </c:pt>
                <c:pt idx="21">
                  <c:v>-0.37567919756142443</c:v>
                </c:pt>
                <c:pt idx="22">
                  <c:v>-0.25240295924777356</c:v>
                </c:pt>
                <c:pt idx="23">
                  <c:v>-0.16887293441867959</c:v>
                </c:pt>
                <c:pt idx="24">
                  <c:v>-0.13744350881059522</c:v>
                </c:pt>
                <c:pt idx="25">
                  <c:v>-3.5385466176419328E-2</c:v>
                </c:pt>
                <c:pt idx="26">
                  <c:v>-0.10593220338982565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H1'!$DL$2:$DL$37</c:f>
              <c:numCache>
                <c:formatCode>0.00000</c:formatCode>
                <c:ptCount val="36"/>
                <c:pt idx="0">
                  <c:v>-0.43528549618106704</c:v>
                </c:pt>
                <c:pt idx="1">
                  <c:v>-0.46589497805672636</c:v>
                </c:pt>
                <c:pt idx="2">
                  <c:v>-0.46000888571571036</c:v>
                </c:pt>
                <c:pt idx="3">
                  <c:v>-0.54130299366014389</c:v>
                </c:pt>
                <c:pt idx="4">
                  <c:v>-0.42950145903697312</c:v>
                </c:pt>
                <c:pt idx="5">
                  <c:v>-0.35541431844780169</c:v>
                </c:pt>
                <c:pt idx="6">
                  <c:v>-0.20628677329855752</c:v>
                </c:pt>
                <c:pt idx="7">
                  <c:v>-0.19454582556925809</c:v>
                </c:pt>
                <c:pt idx="8">
                  <c:v>-0.19454582556925809</c:v>
                </c:pt>
                <c:pt idx="9">
                  <c:v>-0.20276516449957155</c:v>
                </c:pt>
                <c:pt idx="10">
                  <c:v>-0.20628786241647984</c:v>
                </c:pt>
                <c:pt idx="11">
                  <c:v>-0.20981068443177889</c:v>
                </c:pt>
                <c:pt idx="12">
                  <c:v>-0.20511380902813647</c:v>
                </c:pt>
                <c:pt idx="13">
                  <c:v>-0.15816710527357902</c:v>
                </c:pt>
                <c:pt idx="14">
                  <c:v>-0.15229911165795673</c:v>
                </c:pt>
                <c:pt idx="15">
                  <c:v>-0.2227646540077399</c:v>
                </c:pt>
                <c:pt idx="16">
                  <c:v>-0.19106521168311505</c:v>
                </c:pt>
                <c:pt idx="17">
                  <c:v>-0.17228388501715997</c:v>
                </c:pt>
                <c:pt idx="18">
                  <c:v>-0.2075112778378134</c:v>
                </c:pt>
                <c:pt idx="19">
                  <c:v>-0.1922484041909171</c:v>
                </c:pt>
                <c:pt idx="20">
                  <c:v>-0.21221153112117577</c:v>
                </c:pt>
                <c:pt idx="21">
                  <c:v>-0.1511851137239566</c:v>
                </c:pt>
                <c:pt idx="22">
                  <c:v>-0.1840562939167294</c:v>
                </c:pt>
                <c:pt idx="23">
                  <c:v>-0.19344894182157821</c:v>
                </c:pt>
                <c:pt idx="24">
                  <c:v>-6.9151049022640507E-2</c:v>
                </c:pt>
                <c:pt idx="25">
                  <c:v>-5.7426207601122027E-2</c:v>
                </c:pt>
                <c:pt idx="26">
                  <c:v>-3.7497949330894439E-2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262-4BDE-868C-8ACE0BEE105F}"/>
            </c:ext>
          </c:extLst>
        </c:ser>
        <c:ser>
          <c:idx val="3"/>
          <c:order val="3"/>
          <c:tx>
            <c:strRef>
              <c:f>'SATORI H1'!$DN$1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H1'!$DM$2:$DM$37</c:f>
              <c:numCache>
                <c:formatCode>0.00000</c:formatCode>
                <c:ptCount val="36"/>
                <c:pt idx="0">
                  <c:v>0.1639925986425862</c:v>
                </c:pt>
                <c:pt idx="1">
                  <c:v>0.10456429888623231</c:v>
                </c:pt>
                <c:pt idx="2">
                  <c:v>1.846745478089358E-2</c:v>
                </c:pt>
                <c:pt idx="3">
                  <c:v>-3.1977649076674233E-2</c:v>
                </c:pt>
                <c:pt idx="4">
                  <c:v>-0.1209192440959351</c:v>
                </c:pt>
                <c:pt idx="5">
                  <c:v>-0.15796451341503898</c:v>
                </c:pt>
                <c:pt idx="6">
                  <c:v>-4.5219924413572893E-2</c:v>
                </c:pt>
                <c:pt idx="7">
                  <c:v>-1.4057106107653067E-2</c:v>
                </c:pt>
                <c:pt idx="8">
                  <c:v>3.7907914010244036E-2</c:v>
                </c:pt>
                <c:pt idx="9">
                  <c:v>7.949721961736575E-2</c:v>
                </c:pt>
                <c:pt idx="10">
                  <c:v>0.107726500810725</c:v>
                </c:pt>
                <c:pt idx="11">
                  <c:v>-6.545644982731566E-3</c:v>
                </c:pt>
                <c:pt idx="12">
                  <c:v>-8.3656937338328075E-2</c:v>
                </c:pt>
                <c:pt idx="13">
                  <c:v>-0.17107211498374539</c:v>
                </c:pt>
                <c:pt idx="14">
                  <c:v>-0.18884831265506483</c:v>
                </c:pt>
                <c:pt idx="15">
                  <c:v>-5.9804571276516089E-2</c:v>
                </c:pt>
                <c:pt idx="16">
                  <c:v>-9.2425677132004308E-2</c:v>
                </c:pt>
                <c:pt idx="17">
                  <c:v>-6.5728555971575647E-2</c:v>
                </c:pt>
                <c:pt idx="18">
                  <c:v>-0.20938969341233787</c:v>
                </c:pt>
                <c:pt idx="19">
                  <c:v>-0.11302915675826636</c:v>
                </c:pt>
                <c:pt idx="20">
                  <c:v>-5.3695180640198292E-2</c:v>
                </c:pt>
                <c:pt idx="21">
                  <c:v>-0.1737022921727302</c:v>
                </c:pt>
                <c:pt idx="22">
                  <c:v>-7.4907285968056556E-3</c:v>
                </c:pt>
                <c:pt idx="23">
                  <c:v>-5.3474560088318294E-2</c:v>
                </c:pt>
                <c:pt idx="24">
                  <c:v>-7.7202519038940112E-2</c:v>
                </c:pt>
                <c:pt idx="25">
                  <c:v>-1.0423069301613311E-2</c:v>
                </c:pt>
                <c:pt idx="26">
                  <c:v>-6.3818103563430956E-2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H1'!$DN$2:$DN$37</c:f>
              <c:numCache>
                <c:formatCode>0.00000</c:formatCode>
                <c:ptCount val="36"/>
                <c:pt idx="0">
                  <c:v>0.29911936742534823</c:v>
                </c:pt>
                <c:pt idx="1">
                  <c:v>0.28340559974736401</c:v>
                </c:pt>
                <c:pt idx="2">
                  <c:v>0.27313015745001668</c:v>
                </c:pt>
                <c:pt idx="3">
                  <c:v>0.17148139024383757</c:v>
                </c:pt>
                <c:pt idx="4">
                  <c:v>0.10912215260066167</c:v>
                </c:pt>
                <c:pt idx="5">
                  <c:v>2.1864232732511563E-2</c:v>
                </c:pt>
                <c:pt idx="6">
                  <c:v>0.24677354349429786</c:v>
                </c:pt>
                <c:pt idx="7">
                  <c:v>0.21955936793263728</c:v>
                </c:pt>
                <c:pt idx="8">
                  <c:v>0.27335400539303689</c:v>
                </c:pt>
                <c:pt idx="9">
                  <c:v>0.32711971978231619</c:v>
                </c:pt>
                <c:pt idx="10">
                  <c:v>0.34161623759793364</c:v>
                </c:pt>
                <c:pt idx="11">
                  <c:v>0.22853647706095362</c:v>
                </c:pt>
                <c:pt idx="12">
                  <c:v>0.19163588483669489</c:v>
                </c:pt>
                <c:pt idx="13">
                  <c:v>0.17106411052115972</c:v>
                </c:pt>
                <c:pt idx="14">
                  <c:v>0.16440809348176622</c:v>
                </c:pt>
                <c:pt idx="15">
                  <c:v>0.18921073103052757</c:v>
                </c:pt>
                <c:pt idx="16">
                  <c:v>0.19888887234349811</c:v>
                </c:pt>
                <c:pt idx="17">
                  <c:v>0.24423458808027701</c:v>
                </c:pt>
                <c:pt idx="18">
                  <c:v>0.19281635214921272</c:v>
                </c:pt>
                <c:pt idx="19">
                  <c:v>0.23332960058612379</c:v>
                </c:pt>
                <c:pt idx="20">
                  <c:v>0.20913673506216945</c:v>
                </c:pt>
                <c:pt idx="21">
                  <c:v>5.1635432647543791E-2</c:v>
                </c:pt>
                <c:pt idx="22">
                  <c:v>5.9509877650613968E-2</c:v>
                </c:pt>
                <c:pt idx="23">
                  <c:v>-7.8179369243795635E-2</c:v>
                </c:pt>
                <c:pt idx="24">
                  <c:v>-5.4450434910033735E-3</c:v>
                </c:pt>
                <c:pt idx="25">
                  <c:v>-3.151497152587223E-2</c:v>
                </c:pt>
                <c:pt idx="26">
                  <c:v>4.2426042316955565E-3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262-4BDE-868C-8ACE0BEE105F}"/>
            </c:ext>
          </c:extLst>
        </c:ser>
        <c:ser>
          <c:idx val="4"/>
          <c:order val="4"/>
          <c:tx>
            <c:strRef>
              <c:f>'SATORI H1'!$DP$1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H1'!$DO$2:$DO$37</c:f>
              <c:numCache>
                <c:formatCode>0.00000</c:formatCode>
                <c:ptCount val="36"/>
                <c:pt idx="0">
                  <c:v>-0.13116819688331438</c:v>
                </c:pt>
                <c:pt idx="1">
                  <c:v>-0.19294576512314901</c:v>
                </c:pt>
                <c:pt idx="2">
                  <c:v>-0.26280312613948109</c:v>
                </c:pt>
                <c:pt idx="3">
                  <c:v>-0.33098937199959799</c:v>
                </c:pt>
                <c:pt idx="4">
                  <c:v>-0.35371295583339596</c:v>
                </c:pt>
                <c:pt idx="5">
                  <c:v>-0.42669973711635123</c:v>
                </c:pt>
                <c:pt idx="6">
                  <c:v>-0.30815860496734537</c:v>
                </c:pt>
                <c:pt idx="7">
                  <c:v>-0.23015294955732232</c:v>
                </c:pt>
                <c:pt idx="8">
                  <c:v>-0.19438757044430402</c:v>
                </c:pt>
                <c:pt idx="9">
                  <c:v>-0.16836961805714898</c:v>
                </c:pt>
                <c:pt idx="10">
                  <c:v>-0.14722556197661224</c:v>
                </c:pt>
                <c:pt idx="11">
                  <c:v>-0.16999090012319323</c:v>
                </c:pt>
                <c:pt idx="12">
                  <c:v>-0.24635902699177031</c:v>
                </c:pt>
                <c:pt idx="13">
                  <c:v>-0.3680747315634168</c:v>
                </c:pt>
                <c:pt idx="14">
                  <c:v>-0.37294312272241426</c:v>
                </c:pt>
                <c:pt idx="15">
                  <c:v>-0.24457758968048302</c:v>
                </c:pt>
                <c:pt idx="16">
                  <c:v>-0.28843011526112172</c:v>
                </c:pt>
                <c:pt idx="17">
                  <c:v>-0.32090291928774584</c:v>
                </c:pt>
                <c:pt idx="18">
                  <c:v>-0.47005502200815569</c:v>
                </c:pt>
                <c:pt idx="19">
                  <c:v>-0.40029399408751432</c:v>
                </c:pt>
                <c:pt idx="20">
                  <c:v>-0.26708412356100336</c:v>
                </c:pt>
                <c:pt idx="21">
                  <c:v>-0.34337787072029202</c:v>
                </c:pt>
                <c:pt idx="22">
                  <c:v>-0.13190635430683606</c:v>
                </c:pt>
                <c:pt idx="23">
                  <c:v>-0.10749983939445815</c:v>
                </c:pt>
                <c:pt idx="24">
                  <c:v>-0.10587271192529962</c:v>
                </c:pt>
                <c:pt idx="25">
                  <c:v>-1.9560522364183992E-2</c:v>
                </c:pt>
                <c:pt idx="26">
                  <c:v>-4.8865505839440652E-2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H1'!$DP$2:$DP$37</c:f>
              <c:numCache>
                <c:formatCode>0.00000</c:formatCode>
                <c:ptCount val="36"/>
                <c:pt idx="0">
                  <c:v>1.1156271001596618E-2</c:v>
                </c:pt>
                <c:pt idx="1">
                  <c:v>-1.314801870553647E-2</c:v>
                </c:pt>
                <c:pt idx="2">
                  <c:v>-7.0723154428931206E-3</c:v>
                </c:pt>
                <c:pt idx="3">
                  <c:v>-0.12485859693551431</c:v>
                </c:pt>
                <c:pt idx="4">
                  <c:v>-0.11656447636111347</c:v>
                </c:pt>
                <c:pt idx="5">
                  <c:v>-0.23891403069871228</c:v>
                </c:pt>
                <c:pt idx="6">
                  <c:v>-1.4649243584549745E-2</c:v>
                </c:pt>
                <c:pt idx="7">
                  <c:v>1.0753612580067747E-2</c:v>
                </c:pt>
                <c:pt idx="8">
                  <c:v>4.8843382992588683E-2</c:v>
                </c:pt>
                <c:pt idx="9">
                  <c:v>8.0850623251076087E-2</c:v>
                </c:pt>
                <c:pt idx="10">
                  <c:v>9.3541538762682883E-2</c:v>
                </c:pt>
                <c:pt idx="11">
                  <c:v>7.3121549248624476E-2</c:v>
                </c:pt>
                <c:pt idx="12">
                  <c:v>3.613113363094262E-2</c:v>
                </c:pt>
                <c:pt idx="13">
                  <c:v>-1.9661648661199196E-2</c:v>
                </c:pt>
                <c:pt idx="14">
                  <c:v>-1.3585576234412845E-2</c:v>
                </c:pt>
                <c:pt idx="15">
                  <c:v>-5.3007093722303861E-3</c:v>
                </c:pt>
                <c:pt idx="16">
                  <c:v>2.3411915900405728E-2</c:v>
                </c:pt>
                <c:pt idx="17">
                  <c:v>6.2918434438392207E-3</c:v>
                </c:pt>
                <c:pt idx="18">
                  <c:v>-6.5000538219097764E-2</c:v>
                </c:pt>
                <c:pt idx="19">
                  <c:v>-5.3948677362027173E-2</c:v>
                </c:pt>
                <c:pt idx="20">
                  <c:v>-2.5839213169975422E-3</c:v>
                </c:pt>
                <c:pt idx="21">
                  <c:v>-0.11814994601164046</c:v>
                </c:pt>
                <c:pt idx="22">
                  <c:v>-6.1228773546009446E-2</c:v>
                </c:pt>
                <c:pt idx="23">
                  <c:v>-0.12758870984047557</c:v>
                </c:pt>
                <c:pt idx="24">
                  <c:v>-2.8699692045966931E-2</c:v>
                </c:pt>
                <c:pt idx="25">
                  <c:v>-3.367201279381201E-2</c:v>
                </c:pt>
                <c:pt idx="26">
                  <c:v>2.8719285552546679E-2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262-4BDE-868C-8ACE0BEE105F}"/>
            </c:ext>
          </c:extLst>
        </c:ser>
        <c:ser>
          <c:idx val="5"/>
          <c:order val="5"/>
          <c:tx>
            <c:strRef>
              <c:f>'SATORI H1'!$DR$1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H1'!$DQ$2:$DQ$37</c:f>
              <c:numCache>
                <c:formatCode>0.00000</c:formatCode>
                <c:ptCount val="36"/>
                <c:pt idx="0">
                  <c:v>-5.8242350828510703E-4</c:v>
                </c:pt>
                <c:pt idx="1">
                  <c:v>-8.4149218721678798E-2</c:v>
                </c:pt>
                <c:pt idx="2">
                  <c:v>-0.23988040063216687</c:v>
                </c:pt>
                <c:pt idx="3">
                  <c:v>-0.34632986460760873</c:v>
                </c:pt>
                <c:pt idx="4">
                  <c:v>-0.32641747910382785</c:v>
                </c:pt>
                <c:pt idx="5">
                  <c:v>-0.59492375801989883</c:v>
                </c:pt>
                <c:pt idx="6">
                  <c:v>-0.50344000154552471</c:v>
                </c:pt>
                <c:pt idx="7">
                  <c:v>-0.57916055141440004</c:v>
                </c:pt>
                <c:pt idx="8">
                  <c:v>-0.67286641147571924</c:v>
                </c:pt>
                <c:pt idx="9">
                  <c:v>-0.5826870164348974</c:v>
                </c:pt>
                <c:pt idx="10">
                  <c:v>-0.45892974569523676</c:v>
                </c:pt>
                <c:pt idx="11">
                  <c:v>-0.3414984018274243</c:v>
                </c:pt>
                <c:pt idx="12">
                  <c:v>-0.53622227924082189</c:v>
                </c:pt>
                <c:pt idx="13">
                  <c:v>-0.6802360604639075</c:v>
                </c:pt>
                <c:pt idx="14">
                  <c:v>-0.84035421662051923</c:v>
                </c:pt>
                <c:pt idx="15">
                  <c:v>-0.65091852831455255</c:v>
                </c:pt>
                <c:pt idx="16">
                  <c:v>-0.57932868305876684</c:v>
                </c:pt>
                <c:pt idx="17">
                  <c:v>-0.75862418963752642</c:v>
                </c:pt>
                <c:pt idx="18">
                  <c:v>-0.94239438017819155</c:v>
                </c:pt>
                <c:pt idx="19">
                  <c:v>-0.71905392384677658</c:v>
                </c:pt>
                <c:pt idx="20">
                  <c:v>-0.63433909599693605</c:v>
                </c:pt>
                <c:pt idx="21">
                  <c:v>-0.62951815935783362</c:v>
                </c:pt>
                <c:pt idx="22">
                  <c:v>-0.32329622398027574</c:v>
                </c:pt>
                <c:pt idx="23">
                  <c:v>-0.25536936542593913</c:v>
                </c:pt>
                <c:pt idx="24">
                  <c:v>-0.23273220481186355</c:v>
                </c:pt>
                <c:pt idx="25">
                  <c:v>-3.7610921529994353E-2</c:v>
                </c:pt>
                <c:pt idx="26">
                  <c:v>3.9009567609751279E-2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H1'!$DR$2:$DR$37</c:f>
              <c:numCache>
                <c:formatCode>0.00000</c:formatCode>
                <c:ptCount val="36"/>
                <c:pt idx="0">
                  <c:v>0.13461793973079683</c:v>
                </c:pt>
                <c:pt idx="1">
                  <c:v>9.4639835430999394E-2</c:v>
                </c:pt>
                <c:pt idx="2">
                  <c:v>1.4003609452592436E-2</c:v>
                </c:pt>
                <c:pt idx="3">
                  <c:v>-0.14629429804317862</c:v>
                </c:pt>
                <c:pt idx="4">
                  <c:v>-9.8228040555932872E-2</c:v>
                </c:pt>
                <c:pt idx="5">
                  <c:v>-0.41659897050815553</c:v>
                </c:pt>
                <c:pt idx="6">
                  <c:v>-0.21300962871865908</c:v>
                </c:pt>
                <c:pt idx="7">
                  <c:v>-0.34953894236541494</c:v>
                </c:pt>
                <c:pt idx="8">
                  <c:v>-0.43672182236837742</c:v>
                </c:pt>
                <c:pt idx="9">
                  <c:v>-0.33480328307724128</c:v>
                </c:pt>
                <c:pt idx="10">
                  <c:v>-0.22682458264718786</c:v>
                </c:pt>
                <c:pt idx="11">
                  <c:v>-0.1072655950776146</c:v>
                </c:pt>
                <c:pt idx="12">
                  <c:v>-0.26342879488010484</c:v>
                </c:pt>
                <c:pt idx="13">
                  <c:v>-0.34002590642773411</c:v>
                </c:pt>
                <c:pt idx="14">
                  <c:v>-0.48973761858530901</c:v>
                </c:pt>
                <c:pt idx="15">
                  <c:v>-0.36863035214932405</c:v>
                </c:pt>
                <c:pt idx="16">
                  <c:v>-0.28158310586735813</c:v>
                </c:pt>
                <c:pt idx="17">
                  <c:v>-0.44978648353959116</c:v>
                </c:pt>
                <c:pt idx="18">
                  <c:v>-0.54139274990337716</c:v>
                </c:pt>
                <c:pt idx="19">
                  <c:v>-0.37393513954202301</c:v>
                </c:pt>
                <c:pt idx="20">
                  <c:v>-0.37146350158753882</c:v>
                </c:pt>
                <c:pt idx="21">
                  <c:v>-0.40236852427183245</c:v>
                </c:pt>
                <c:pt idx="22">
                  <c:v>-0.25547670577580744</c:v>
                </c:pt>
                <c:pt idx="23">
                  <c:v>-0.28202302911002963</c:v>
                </c:pt>
                <c:pt idx="24">
                  <c:v>-0.16301505002582861</c:v>
                </c:pt>
                <c:pt idx="25">
                  <c:v>-5.8914472852816716E-2</c:v>
                </c:pt>
                <c:pt idx="26">
                  <c:v>0.1095795960329707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262-4BDE-868C-8ACE0BEE105F}"/>
            </c:ext>
          </c:extLst>
        </c:ser>
        <c:ser>
          <c:idx val="6"/>
          <c:order val="6"/>
          <c:tx>
            <c:strRef>
              <c:f>'SATORI H1'!$DT$1</c:f>
              <c:strCache>
                <c:ptCount val="1"/>
                <c:pt idx="0">
                  <c:v>EU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H1'!$DS$2:$DS$37</c:f>
              <c:numCache>
                <c:formatCode>0.00000</c:formatCode>
                <c:ptCount val="36"/>
                <c:pt idx="0">
                  <c:v>-0.1363588922317302</c:v>
                </c:pt>
                <c:pt idx="1">
                  <c:v>-0.17766339621850424</c:v>
                </c:pt>
                <c:pt idx="2">
                  <c:v>-0.25482527466163618</c:v>
                </c:pt>
                <c:pt idx="3">
                  <c:v>-0.20455507232406134</c:v>
                </c:pt>
                <c:pt idx="4">
                  <c:v>-0.22968385734731067</c:v>
                </c:pt>
                <c:pt idx="5">
                  <c:v>-0.1802993676686645</c:v>
                </c:pt>
                <c:pt idx="6">
                  <c:v>-0.29151511725385931</c:v>
                </c:pt>
                <c:pt idx="7">
                  <c:v>-0.23497839530683057</c:v>
                </c:pt>
                <c:pt idx="8">
                  <c:v>-0.23677317966350189</c:v>
                </c:pt>
                <c:pt idx="9">
                  <c:v>-0.24933509194544567</c:v>
                </c:pt>
                <c:pt idx="10">
                  <c:v>-0.23587408847251823</c:v>
                </c:pt>
                <c:pt idx="11">
                  <c:v>-0.23587408847251823</c:v>
                </c:pt>
                <c:pt idx="12">
                  <c:v>-0.27534411367951117</c:v>
                </c:pt>
                <c:pt idx="13">
                  <c:v>-0.34257733226815407</c:v>
                </c:pt>
                <c:pt idx="14">
                  <c:v>-0.35333349016854287</c:v>
                </c:pt>
                <c:pt idx="15">
                  <c:v>-0.27529048578199439</c:v>
                </c:pt>
                <c:pt idx="16">
                  <c:v>-0.29502160444672565</c:v>
                </c:pt>
                <c:pt idx="17">
                  <c:v>-0.31205921272522197</c:v>
                </c:pt>
                <c:pt idx="18">
                  <c:v>-0.40165049728505003</c:v>
                </c:pt>
                <c:pt idx="19">
                  <c:v>-0.34696993039995994</c:v>
                </c:pt>
                <c:pt idx="20">
                  <c:v>-0.26443281112484834</c:v>
                </c:pt>
                <c:pt idx="21">
                  <c:v>-0.22673861872293266</c:v>
                </c:pt>
                <c:pt idx="22">
                  <c:v>-6.9432419959796224E-2</c:v>
                </c:pt>
                <c:pt idx="23">
                  <c:v>2.2338763888477303E-2</c:v>
                </c:pt>
                <c:pt idx="24">
                  <c:v>-7.1144382178952081E-2</c:v>
                </c:pt>
                <c:pt idx="25">
                  <c:v>2.0625150336254755E-2</c:v>
                </c:pt>
                <c:pt idx="26">
                  <c:v>-7.0162182583587709E-2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H1'!$DT$2:$DT$37</c:f>
              <c:numCache>
                <c:formatCode>0.00000</c:formatCode>
                <c:ptCount val="36"/>
                <c:pt idx="0">
                  <c:v>0.1363588922317302</c:v>
                </c:pt>
                <c:pt idx="1">
                  <c:v>0.17766339621850424</c:v>
                </c:pt>
                <c:pt idx="2">
                  <c:v>0.25482527466163618</c:v>
                </c:pt>
                <c:pt idx="3">
                  <c:v>0.20455507232406134</c:v>
                </c:pt>
                <c:pt idx="4">
                  <c:v>0.22968385734731067</c:v>
                </c:pt>
                <c:pt idx="5">
                  <c:v>0.1802993676686645</c:v>
                </c:pt>
                <c:pt idx="6">
                  <c:v>0.29151511725385931</c:v>
                </c:pt>
                <c:pt idx="7">
                  <c:v>0.23497839530683057</c:v>
                </c:pt>
                <c:pt idx="8">
                  <c:v>0.23677317966350189</c:v>
                </c:pt>
                <c:pt idx="9">
                  <c:v>0.24933509194544567</c:v>
                </c:pt>
                <c:pt idx="10">
                  <c:v>0.23587408847251823</c:v>
                </c:pt>
                <c:pt idx="11">
                  <c:v>0.23587408847251823</c:v>
                </c:pt>
                <c:pt idx="12">
                  <c:v>0.27534411367951117</c:v>
                </c:pt>
                <c:pt idx="13">
                  <c:v>0.34257733226815407</c:v>
                </c:pt>
                <c:pt idx="14">
                  <c:v>0.35333349016854287</c:v>
                </c:pt>
                <c:pt idx="15">
                  <c:v>0.27529048578199439</c:v>
                </c:pt>
                <c:pt idx="16">
                  <c:v>0.29502160444672565</c:v>
                </c:pt>
                <c:pt idx="17">
                  <c:v>0.31205921272522197</c:v>
                </c:pt>
                <c:pt idx="18">
                  <c:v>0.40165049728505003</c:v>
                </c:pt>
                <c:pt idx="19">
                  <c:v>0.34696993039995994</c:v>
                </c:pt>
                <c:pt idx="20">
                  <c:v>0.26443281112484834</c:v>
                </c:pt>
                <c:pt idx="21">
                  <c:v>0.22673861872293266</c:v>
                </c:pt>
                <c:pt idx="22">
                  <c:v>6.9432419959796224E-2</c:v>
                </c:pt>
                <c:pt idx="23">
                  <c:v>-2.2338763888477303E-2</c:v>
                </c:pt>
                <c:pt idx="24">
                  <c:v>7.1144382178952081E-2</c:v>
                </c:pt>
                <c:pt idx="25">
                  <c:v>-2.0625150336254755E-2</c:v>
                </c:pt>
                <c:pt idx="26">
                  <c:v>7.0162182583587709E-2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262-4BDE-868C-8ACE0BEE1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H1'!$AI$2:$AI$37</c:f>
              <c:numCache>
                <c:formatCode>0.00000</c:formatCode>
                <c:ptCount val="36"/>
                <c:pt idx="0">
                  <c:v>-5.9428299756353921E-2</c:v>
                </c:pt>
                <c:pt idx="1">
                  <c:v>-8.609684410533873E-2</c:v>
                </c:pt>
                <c:pt idx="2">
                  <c:v>-5.0445103857567793E-2</c:v>
                </c:pt>
                <c:pt idx="3">
                  <c:v>-8.8941595019260883E-2</c:v>
                </c:pt>
                <c:pt idx="4">
                  <c:v>-3.7045269319103874E-2</c:v>
                </c:pt>
                <c:pt idx="5">
                  <c:v>0.11274458900146611</c:v>
                </c:pt>
                <c:pt idx="6">
                  <c:v>3.1162818305919816E-2</c:v>
                </c:pt>
                <c:pt idx="7">
                  <c:v>5.1965020117897123E-2</c:v>
                </c:pt>
                <c:pt idx="8">
                  <c:v>4.1589305607121714E-2</c:v>
                </c:pt>
                <c:pt idx="9">
                  <c:v>2.8229281193359209E-2</c:v>
                </c:pt>
                <c:pt idx="10">
                  <c:v>-0.11427214579345657</c:v>
                </c:pt>
                <c:pt idx="11">
                  <c:v>-7.7111292355596495E-2</c:v>
                </c:pt>
                <c:pt idx="12">
                  <c:v>-8.7415177645417286E-2</c:v>
                </c:pt>
                <c:pt idx="13">
                  <c:v>-1.7776197671319438E-2</c:v>
                </c:pt>
                <c:pt idx="14">
                  <c:v>0.12904374137854871</c:v>
                </c:pt>
                <c:pt idx="15">
                  <c:v>-3.2621105855488206E-2</c:v>
                </c:pt>
                <c:pt idx="16">
                  <c:v>2.6697121160428633E-2</c:v>
                </c:pt>
                <c:pt idx="17">
                  <c:v>-0.1436611374407622</c:v>
                </c:pt>
                <c:pt idx="18">
                  <c:v>9.6360536654071516E-2</c:v>
                </c:pt>
                <c:pt idx="19">
                  <c:v>5.9333976118068073E-2</c:v>
                </c:pt>
                <c:pt idx="20">
                  <c:v>-0.12000711153253191</c:v>
                </c:pt>
                <c:pt idx="21">
                  <c:v>0.16621156357592454</c:v>
                </c:pt>
                <c:pt idx="22">
                  <c:v>-4.5983831491512639E-2</c:v>
                </c:pt>
                <c:pt idx="23">
                  <c:v>-2.3727958950621818E-2</c:v>
                </c:pt>
                <c:pt idx="24">
                  <c:v>6.6779449737326801E-2</c:v>
                </c:pt>
                <c:pt idx="25">
                  <c:v>-5.3395034261817645E-2</c:v>
                </c:pt>
                <c:pt idx="26">
                  <c:v>6.3818103563430956E-2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EE-42CD-B38F-9FC9B427EAF2}"/>
            </c:ext>
          </c:extLst>
        </c:ser>
        <c:ser>
          <c:idx val="1"/>
          <c:order val="1"/>
          <c:tx>
            <c:strRef>
              <c:f>'SATORI H1'!$AJ$1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H1'!$AJ$2:$AJ$37</c:f>
              <c:numCache>
                <c:formatCode>0.00000</c:formatCode>
                <c:ptCount val="36"/>
                <c:pt idx="0">
                  <c:v>6.3976602842402324E-3</c:v>
                </c:pt>
                <c:pt idx="1">
                  <c:v>-1.5534761312961793E-2</c:v>
                </c:pt>
                <c:pt idx="2">
                  <c:v>1.8279530581652652E-2</c:v>
                </c:pt>
                <c:pt idx="3">
                  <c:v>-7.3064698790771196E-2</c:v>
                </c:pt>
                <c:pt idx="4">
                  <c:v>3.563173234172571E-2</c:v>
                </c:pt>
                <c:pt idx="5">
                  <c:v>0</c:v>
                </c:pt>
                <c:pt idx="6">
                  <c:v>-5.2962716074186601E-2</c:v>
                </c:pt>
                <c:pt idx="7">
                  <c:v>1.6439407085390757E-2</c:v>
                </c:pt>
                <c:pt idx="8">
                  <c:v>2.192401501795193E-2</c:v>
                </c:pt>
                <c:pt idx="9">
                  <c:v>9.1350897064379239E-4</c:v>
                </c:pt>
                <c:pt idx="10">
                  <c:v>-9.0355672784672797E-2</c:v>
                </c:pt>
                <c:pt idx="11">
                  <c:v>-1.8253338079320814E-3</c:v>
                </c:pt>
                <c:pt idx="12">
                  <c:v>3.5606683100530674E-2</c:v>
                </c:pt>
                <c:pt idx="13">
                  <c:v>-1.2780252683855711E-2</c:v>
                </c:pt>
                <c:pt idx="14">
                  <c:v>4.3837217797913712E-2</c:v>
                </c:pt>
                <c:pt idx="15">
                  <c:v>-3.651767455448035E-2</c:v>
                </c:pt>
                <c:pt idx="16">
                  <c:v>5.7548436600797316E-2</c:v>
                </c:pt>
                <c:pt idx="17">
                  <c:v>1.4617612395729644E-2</c:v>
                </c:pt>
                <c:pt idx="18">
                  <c:v>3.0157917824237958E-2</c:v>
                </c:pt>
                <c:pt idx="19">
                  <c:v>-7.5794241464005624E-2</c:v>
                </c:pt>
                <c:pt idx="20">
                  <c:v>-4.1988809069574085E-2</c:v>
                </c:pt>
                <c:pt idx="21">
                  <c:v>-4.9266926382457957E-2</c:v>
                </c:pt>
                <c:pt idx="22">
                  <c:v>-6.9290591978690586E-2</c:v>
                </c:pt>
                <c:pt idx="23">
                  <c:v>-2.8255281914799611E-2</c:v>
                </c:pt>
                <c:pt idx="24">
                  <c:v>-2.0959202456778705E-2</c:v>
                </c:pt>
                <c:pt idx="25">
                  <c:v>-2.4598228927516532E-2</c:v>
                </c:pt>
                <c:pt idx="26">
                  <c:v>2.2781326602198074E-2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EE-42CD-B38F-9FC9B427EAF2}"/>
            </c:ext>
          </c:extLst>
        </c:ser>
        <c:ser>
          <c:idx val="2"/>
          <c:order val="2"/>
          <c:tx>
            <c:strRef>
              <c:f>'SATORI H1'!$AK$1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H1'!$AK$2:$AK$37</c:f>
              <c:numCache>
                <c:formatCode>0.00000</c:formatCode>
                <c:ptCount val="36"/>
                <c:pt idx="0">
                  <c:v>2.6459603309481949E-2</c:v>
                </c:pt>
                <c:pt idx="1">
                  <c:v>6.9249961810695107E-2</c:v>
                </c:pt>
                <c:pt idx="2">
                  <c:v>5.8081477103658061E-2</c:v>
                </c:pt>
                <c:pt idx="3">
                  <c:v>-0.11094486345638509</c:v>
                </c:pt>
                <c:pt idx="4">
                  <c:v>0.23158539073658832</c:v>
                </c:pt>
                <c:pt idx="5">
                  <c:v>2.1428790089695605E-2</c:v>
                </c:pt>
                <c:pt idx="6">
                  <c:v>0.10623627355840361</c:v>
                </c:pt>
                <c:pt idx="7">
                  <c:v>0.1452640839667283</c:v>
                </c:pt>
                <c:pt idx="8">
                  <c:v>-4.9079252768378462E-2</c:v>
                </c:pt>
                <c:pt idx="9">
                  <c:v>-9.6021247254705649E-2</c:v>
                </c:pt>
                <c:pt idx="10">
                  <c:v>-0.2293110476967066</c:v>
                </c:pt>
                <c:pt idx="11">
                  <c:v>0.11631940901577895</c:v>
                </c:pt>
                <c:pt idx="12">
                  <c:v>5.6150524241719658E-2</c:v>
                </c:pt>
                <c:pt idx="13">
                  <c:v>0.14415703915754127</c:v>
                </c:pt>
                <c:pt idx="14">
                  <c:v>-6.2326940564613464E-2</c:v>
                </c:pt>
                <c:pt idx="15">
                  <c:v>-0.10411031610750295</c:v>
                </c:pt>
                <c:pt idx="16">
                  <c:v>0.205580329746751</c:v>
                </c:pt>
                <c:pt idx="17">
                  <c:v>4.195188834659528E-2</c:v>
                </c:pt>
                <c:pt idx="18">
                  <c:v>-0.12671810331614064</c:v>
                </c:pt>
                <c:pt idx="19">
                  <c:v>-2.7584234077768152E-2</c:v>
                </c:pt>
                <c:pt idx="20">
                  <c:v>-0.12346560819566249</c:v>
                </c:pt>
                <c:pt idx="21">
                  <c:v>-0.14264899177730511</c:v>
                </c:pt>
                <c:pt idx="22">
                  <c:v>-0.11093921752228419</c:v>
                </c:pt>
                <c:pt idx="23">
                  <c:v>-4.6796476021899201E-2</c:v>
                </c:pt>
                <c:pt idx="24">
                  <c:v>-0.13004693881697937</c:v>
                </c:pt>
                <c:pt idx="25">
                  <c:v>-0.12886467180095518</c:v>
                </c:pt>
                <c:pt idx="26">
                  <c:v>0.10360483895542338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3EE-42CD-B38F-9FC9B427EAF2}"/>
            </c:ext>
          </c:extLst>
        </c:ser>
        <c:ser>
          <c:idx val="3"/>
          <c:order val="3"/>
          <c:tx>
            <c:strRef>
              <c:f>'SATORI H1'!$AL$1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H1'!$AL$2:$AL$37</c:f>
              <c:numCache>
                <c:formatCode>0.00000</c:formatCode>
                <c:ptCount val="36"/>
                <c:pt idx="0">
                  <c:v>-2.2670200892850777E-2</c:v>
                </c:pt>
                <c:pt idx="1">
                  <c:v>-2.2665062677628623E-2</c:v>
                </c:pt>
                <c:pt idx="2">
                  <c:v>0</c:v>
                </c:pt>
                <c:pt idx="3">
                  <c:v>-0.1166759543048113</c:v>
                </c:pt>
                <c:pt idx="4">
                  <c:v>8.3658672615714746E-2</c:v>
                </c:pt>
                <c:pt idx="5">
                  <c:v>3.4869935141936155E-2</c:v>
                </c:pt>
                <c:pt idx="6">
                  <c:v>-3.4857780256568771E-2</c:v>
                </c:pt>
                <c:pt idx="7">
                  <c:v>5.4058767111349285E-2</c:v>
                </c:pt>
                <c:pt idx="8">
                  <c:v>5.2342318764715505E-2</c:v>
                </c:pt>
                <c:pt idx="9">
                  <c:v>-5.2314935914197745E-2</c:v>
                </c:pt>
                <c:pt idx="10">
                  <c:v>-0.14626756516741576</c:v>
                </c:pt>
                <c:pt idx="11">
                  <c:v>-1.9150417827307538E-2</c:v>
                </c:pt>
                <c:pt idx="12">
                  <c:v>-1.3925637097891829E-2</c:v>
                </c:pt>
                <c:pt idx="13">
                  <c:v>2.2634282232082088E-2</c:v>
                </c:pt>
                <c:pt idx="14">
                  <c:v>8.5386679677968563E-2</c:v>
                </c:pt>
                <c:pt idx="15">
                  <c:v>-8.5313833028639402E-2</c:v>
                </c:pt>
                <c:pt idx="16">
                  <c:v>4.5289066174299848E-2</c:v>
                </c:pt>
                <c:pt idx="17">
                  <c:v>-1.9157088122614855E-2</c:v>
                </c:pt>
                <c:pt idx="18">
                  <c:v>5.4017320392415351E-2</c:v>
                </c:pt>
                <c:pt idx="19">
                  <c:v>-5.2272093671547415E-3</c:v>
                </c:pt>
                <c:pt idx="20">
                  <c:v>-0.14788524105294595</c:v>
                </c:pt>
                <c:pt idx="21">
                  <c:v>-3.9999999999991737E-2</c:v>
                </c:pt>
                <c:pt idx="22">
                  <c:v>-8.3408632793500373E-2</c:v>
                </c:pt>
                <c:pt idx="23">
                  <c:v>-6.4252843622467914E-2</c:v>
                </c:pt>
                <c:pt idx="24">
                  <c:v>-6.4211585852622516E-2</c:v>
                </c:pt>
                <c:pt idx="25">
                  <c:v>-9.7090745171470053E-2</c:v>
                </c:pt>
                <c:pt idx="26">
                  <c:v>0.10413412475266998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3EE-42CD-B38F-9FC9B427EAF2}"/>
            </c:ext>
          </c:extLst>
        </c:ser>
        <c:ser>
          <c:idx val="4"/>
          <c:order val="4"/>
          <c:tx>
            <c:strRef>
              <c:f>'SATORI H1'!$AM$1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H1'!$AM$2:$AM$37</c:f>
              <c:numCache>
                <c:formatCode>0.00000</c:formatCode>
                <c:ptCount val="36"/>
                <c:pt idx="0">
                  <c:v>-3.2813422877490529E-3</c:v>
                </c:pt>
                <c:pt idx="1">
                  <c:v>-7.6506076768387027E-2</c:v>
                </c:pt>
                <c:pt idx="2">
                  <c:v>-1.7484045808205371E-2</c:v>
                </c:pt>
                <c:pt idx="3">
                  <c:v>-8.2980303096473654E-2</c:v>
                </c:pt>
                <c:pt idx="4">
                  <c:v>-2.5106155374349421E-2</c:v>
                </c:pt>
                <c:pt idx="5">
                  <c:v>6.6630256690333095E-2</c:v>
                </c:pt>
                <c:pt idx="6">
                  <c:v>1.0924186148130762E-2</c:v>
                </c:pt>
                <c:pt idx="7">
                  <c:v>3.2783302371321925E-2</c:v>
                </c:pt>
                <c:pt idx="8">
                  <c:v>4.1542767185591981E-2</c:v>
                </c:pt>
                <c:pt idx="9">
                  <c:v>2.7338239636070343E-2</c:v>
                </c:pt>
                <c:pt idx="10">
                  <c:v>-0.13214223309453568</c:v>
                </c:pt>
                <c:pt idx="11">
                  <c:v>-5.3483523800167049E-2</c:v>
                </c:pt>
                <c:pt idx="12">
                  <c:v>-6.544716777380738E-2</c:v>
                </c:pt>
                <c:pt idx="13">
                  <c:v>-3.0532686331176923E-2</c:v>
                </c:pt>
                <c:pt idx="14">
                  <c:v>7.8574312747596825E-2</c:v>
                </c:pt>
                <c:pt idx="15">
                  <c:v>-4.1452585877763626E-2</c:v>
                </c:pt>
                <c:pt idx="16">
                  <c:v>1.0908694229372219E-3</c:v>
                </c:pt>
                <c:pt idx="17">
                  <c:v>-4.7975227337156374E-2</c:v>
                </c:pt>
                <c:pt idx="18">
                  <c:v>5.1272540827121044E-2</c:v>
                </c:pt>
                <c:pt idx="19">
                  <c:v>5.6759264312608734E-2</c:v>
                </c:pt>
                <c:pt idx="20">
                  <c:v>-6.8718776587624014E-2</c:v>
                </c:pt>
                <c:pt idx="21">
                  <c:v>4.5833515212371445E-2</c:v>
                </c:pt>
                <c:pt idx="22">
                  <c:v>-3.3818058843425931E-2</c:v>
                </c:pt>
                <c:pt idx="23">
                  <c:v>-2.7265192165071377E-2</c:v>
                </c:pt>
                <c:pt idx="24">
                  <c:v>5.4560136182093898E-2</c:v>
                </c:pt>
                <c:pt idx="25">
                  <c:v>-5.5620385416554202E-2</c:v>
                </c:pt>
                <c:pt idx="26">
                  <c:v>2.1812391619700955E-3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3EE-42CD-B38F-9FC9B427EAF2}"/>
            </c:ext>
          </c:extLst>
        </c:ser>
        <c:ser>
          <c:idx val="5"/>
          <c:order val="5"/>
          <c:tx>
            <c:strRef>
              <c:f>'SATORI H1'!$AN$1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H1'!$AN$2:$AN$37</c:f>
              <c:numCache>
                <c:formatCode>0.00000</c:formatCode>
                <c:ptCount val="36"/>
                <c:pt idx="0">
                  <c:v>-4.1304503986774023E-2</c:v>
                </c:pt>
                <c:pt idx="1">
                  <c:v>-7.7161878443131951E-2</c:v>
                </c:pt>
                <c:pt idx="2">
                  <c:v>5.0270202337574822E-2</c:v>
                </c:pt>
                <c:pt idx="3">
                  <c:v>-2.512878502324933E-2</c:v>
                </c:pt>
                <c:pt idx="4">
                  <c:v>4.9384489678646185E-2</c:v>
                </c:pt>
                <c:pt idx="5">
                  <c:v>-0.11121574958519483</c:v>
                </c:pt>
                <c:pt idx="6">
                  <c:v>5.6536721947028724E-2</c:v>
                </c:pt>
                <c:pt idx="7">
                  <c:v>-1.7947843566713051E-3</c:v>
                </c:pt>
                <c:pt idx="8">
                  <c:v>-1.2561912281943772E-2</c:v>
                </c:pt>
                <c:pt idx="9">
                  <c:v>1.346100347292745E-2</c:v>
                </c:pt>
                <c:pt idx="10">
                  <c:v>0</c:v>
                </c:pt>
                <c:pt idx="11">
                  <c:v>-3.9470025206993005E-2</c:v>
                </c:pt>
                <c:pt idx="12">
                  <c:v>-6.7233218588642812E-2</c:v>
                </c:pt>
                <c:pt idx="13">
                  <c:v>-1.0756157900388832E-2</c:v>
                </c:pt>
                <c:pt idx="14">
                  <c:v>7.8043004386548473E-2</c:v>
                </c:pt>
                <c:pt idx="15">
                  <c:v>-1.9731118664731252E-2</c:v>
                </c:pt>
                <c:pt idx="16">
                  <c:v>-1.703760827849625E-2</c:v>
                </c:pt>
                <c:pt idx="17">
                  <c:v>-8.9591284559828149E-2</c:v>
                </c:pt>
                <c:pt idx="18">
                  <c:v>5.4680566885090084E-2</c:v>
                </c:pt>
                <c:pt idx="19">
                  <c:v>8.2537119275111648E-2</c:v>
                </c:pt>
                <c:pt idx="20">
                  <c:v>3.7694192401915662E-2</c:v>
                </c:pt>
                <c:pt idx="21">
                  <c:v>0.15730619876313645</c:v>
                </c:pt>
                <c:pt idx="22">
                  <c:v>9.1771183848273527E-2</c:v>
                </c:pt>
                <c:pt idx="23">
                  <c:v>-9.3483146067429385E-2</c:v>
                </c:pt>
                <c:pt idx="24">
                  <c:v>9.1769532515206836E-2</c:v>
                </c:pt>
                <c:pt idx="25">
                  <c:v>-9.0787332919842464E-2</c:v>
                </c:pt>
                <c:pt idx="26">
                  <c:v>7.0162182583587709E-2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3EE-42CD-B38F-9FC9B427EAF2}"/>
            </c:ext>
          </c:extLst>
        </c:ser>
        <c:ser>
          <c:idx val="6"/>
          <c:order val="6"/>
          <c:tx>
            <c:strRef>
              <c:f>'SATORI H1'!$AO$1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H1'!$AO$2:$AO$37</c:f>
              <c:numCache>
                <c:formatCode>0.00000</c:formatCode>
                <c:ptCount val="36"/>
                <c:pt idx="0">
                  <c:v>1.4543146872569575E-2</c:v>
                </c:pt>
                <c:pt idx="1">
                  <c:v>-6.5401359555538066E-2</c:v>
                </c:pt>
                <c:pt idx="2">
                  <c:v>8.1984013117450696E-2</c:v>
                </c:pt>
                <c:pt idx="3">
                  <c:v>-1.9830908453928767E-2</c:v>
                </c:pt>
                <c:pt idx="4">
                  <c:v>6.1513632214629493E-2</c:v>
                </c:pt>
                <c:pt idx="5">
                  <c:v>-0.15717455621302096</c:v>
                </c:pt>
                <c:pt idx="6">
                  <c:v>3.8978627820175762E-2</c:v>
                </c:pt>
                <c:pt idx="7">
                  <c:v>-2.1136482228848522E-2</c:v>
                </c:pt>
                <c:pt idx="8">
                  <c:v>-1.2548211549632302E-2</c:v>
                </c:pt>
                <c:pt idx="9">
                  <c:v>1.2549786323369186E-2</c:v>
                </c:pt>
                <c:pt idx="10">
                  <c:v>-2.04717753651922E-2</c:v>
                </c:pt>
                <c:pt idx="11">
                  <c:v>-1.51864299344311E-2</c:v>
                </c:pt>
                <c:pt idx="12">
                  <c:v>-4.4219168679625422E-2</c:v>
                </c:pt>
                <c:pt idx="13">
                  <c:v>-2.4413579228661639E-2</c:v>
                </c:pt>
                <c:pt idx="14">
                  <c:v>2.5079694027735962E-2</c:v>
                </c:pt>
                <c:pt idx="15">
                  <c:v>-2.837160200581634E-2</c:v>
                </c:pt>
                <c:pt idx="16">
                  <c:v>-3.9572615749896713E-2</c:v>
                </c:pt>
                <c:pt idx="17">
                  <c:v>4.6170183295637249E-3</c:v>
                </c:pt>
                <c:pt idx="18">
                  <c:v>8.5751978891796497E-3</c:v>
                </c:pt>
                <c:pt idx="19">
                  <c:v>8.1861152921908931E-2</c:v>
                </c:pt>
                <c:pt idx="20">
                  <c:v>9.0525244649435593E-2</c:v>
                </c:pt>
                <c:pt idx="21">
                  <c:v>3.7677978873888462E-2</c:v>
                </c:pt>
                <c:pt idx="22">
                  <c:v>0.10190037584035366</c:v>
                </c:pt>
                <c:pt idx="23">
                  <c:v>-9.9155197715468005E-2</c:v>
                </c:pt>
                <c:pt idx="24">
                  <c:v>8.0711318108444174E-2</c:v>
                </c:pt>
                <c:pt idx="25">
                  <c:v>-9.1873492184143715E-2</c:v>
                </c:pt>
                <c:pt idx="26">
                  <c:v>7.2710927791474643E-3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3EE-42CD-B38F-9FC9B427EAF2}"/>
            </c:ext>
          </c:extLst>
        </c:ser>
        <c:ser>
          <c:idx val="7"/>
          <c:order val="7"/>
          <c:tx>
            <c:strRef>
              <c:f>'SATORI H1'!$AP$1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H1'!$AP$2:$AP$37</c:f>
              <c:numCache>
                <c:formatCode>0.00000</c:formatCode>
                <c:ptCount val="36"/>
                <c:pt idx="0">
                  <c:v>3.0609481875659338E-2</c:v>
                </c:pt>
                <c:pt idx="1">
                  <c:v>-5.8860923410159974E-3</c:v>
                </c:pt>
                <c:pt idx="2">
                  <c:v>8.1294107944433522E-2</c:v>
                </c:pt>
                <c:pt idx="3">
                  <c:v>-0.11180153462317073</c:v>
                </c:pt>
                <c:pt idx="4">
                  <c:v>-7.4087140589171444E-2</c:v>
                </c:pt>
                <c:pt idx="5">
                  <c:v>-0.14912754514924417</c:v>
                </c:pt>
                <c:pt idx="6">
                  <c:v>-1.1740947729299416E-2</c:v>
                </c:pt>
                <c:pt idx="7">
                  <c:v>0</c:v>
                </c:pt>
                <c:pt idx="8">
                  <c:v>8.2193389303134492E-3</c:v>
                </c:pt>
                <c:pt idx="9">
                  <c:v>3.5226979169083032E-3</c:v>
                </c:pt>
                <c:pt idx="10">
                  <c:v>3.5228220152990894E-3</c:v>
                </c:pt>
                <c:pt idx="11">
                  <c:v>-4.6968754036424273E-3</c:v>
                </c:pt>
                <c:pt idx="12">
                  <c:v>-4.6946703754557464E-2</c:v>
                </c:pt>
                <c:pt idx="13">
                  <c:v>-5.8679936156223007E-3</c:v>
                </c:pt>
                <c:pt idx="14">
                  <c:v>7.0465542349783195E-2</c:v>
                </c:pt>
                <c:pt idx="15">
                  <c:v>-3.1699442324624884E-2</c:v>
                </c:pt>
                <c:pt idx="16">
                  <c:v>-1.8781326665955087E-2</c:v>
                </c:pt>
                <c:pt idx="17">
                  <c:v>3.5227392820653465E-2</c:v>
                </c:pt>
                <c:pt idx="18">
                  <c:v>-1.5262873646896293E-2</c:v>
                </c:pt>
                <c:pt idx="19">
                  <c:v>1.9963126930258635E-2</c:v>
                </c:pt>
                <c:pt idx="20">
                  <c:v>-6.1026417397219181E-2</c:v>
                </c:pt>
                <c:pt idx="21">
                  <c:v>3.2871180192772798E-2</c:v>
                </c:pt>
                <c:pt idx="22">
                  <c:v>9.3926479048488352E-3</c:v>
                </c:pt>
                <c:pt idx="23">
                  <c:v>-0.1242978927989377</c:v>
                </c:pt>
                <c:pt idx="24">
                  <c:v>-1.1724841421518481E-2</c:v>
                </c:pt>
                <c:pt idx="25">
                  <c:v>-1.9928258270227588E-2</c:v>
                </c:pt>
                <c:pt idx="26">
                  <c:v>-3.7497949330894439E-2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3EE-42CD-B38F-9FC9B427EAF2}"/>
            </c:ext>
          </c:extLst>
        </c:ser>
        <c:ser>
          <c:idx val="8"/>
          <c:order val="8"/>
          <c:tx>
            <c:strRef>
              <c:f>'SATORI H1'!$AQ$1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H1'!$AQ$2:$AQ$37</c:f>
              <c:numCache>
                <c:formatCode>0.00000</c:formatCode>
                <c:ptCount val="36"/>
                <c:pt idx="0">
                  <c:v>-6.3237107534764607E-3</c:v>
                </c:pt>
                <c:pt idx="1">
                  <c:v>-1.3699496280056008E-2</c:v>
                </c:pt>
                <c:pt idx="2">
                  <c:v>0.10126795923964227</c:v>
                </c:pt>
                <c:pt idx="3">
                  <c:v>-5.2715924426444939E-2</c:v>
                </c:pt>
                <c:pt idx="4">
                  <c:v>0.17426570767720082</c:v>
                </c:pt>
                <c:pt idx="5">
                  <c:v>-0.19500780031201442</c:v>
                </c:pt>
                <c:pt idx="6">
                  <c:v>-7.37812911726108E-3</c:v>
                </c:pt>
                <c:pt idx="7">
                  <c:v>0</c:v>
                </c:pt>
                <c:pt idx="8">
                  <c:v>1.0540295549839249E-3</c:v>
                </c:pt>
                <c:pt idx="9">
                  <c:v>-6.4254489914151725E-2</c:v>
                </c:pt>
                <c:pt idx="10">
                  <c:v>-3.5801156166749878E-2</c:v>
                </c:pt>
                <c:pt idx="11">
                  <c:v>1.5797122817362456E-2</c:v>
                </c:pt>
                <c:pt idx="12">
                  <c:v>9.4791721523023332E-3</c:v>
                </c:pt>
                <c:pt idx="13">
                  <c:v>2.5284183689596399E-2</c:v>
                </c:pt>
                <c:pt idx="14">
                  <c:v>6.3214455038665103E-3</c:v>
                </c:pt>
                <c:pt idx="15">
                  <c:v>-4.8440938911753766E-2</c:v>
                </c:pt>
                <c:pt idx="16">
                  <c:v>9.4784733338869609E-3</c:v>
                </c:pt>
                <c:pt idx="17">
                  <c:v>3.1604896651996166E-2</c:v>
                </c:pt>
                <c:pt idx="18">
                  <c:v>1.4751127407586079E-2</c:v>
                </c:pt>
                <c:pt idx="19">
                  <c:v>1.7915292282724756E-2</c:v>
                </c:pt>
                <c:pt idx="20">
                  <c:v>8.4314366114140588E-3</c:v>
                </c:pt>
                <c:pt idx="21">
                  <c:v>-4.5298442997707841E-2</c:v>
                </c:pt>
                <c:pt idx="22">
                  <c:v>4.9536778423040974E-2</c:v>
                </c:pt>
                <c:pt idx="23">
                  <c:v>-0.13472691485889965</c:v>
                </c:pt>
                <c:pt idx="24">
                  <c:v>-3.6825824372390362E-2</c:v>
                </c:pt>
                <c:pt idx="25">
                  <c:v>-0.13344681566476407</c:v>
                </c:pt>
                <c:pt idx="26">
                  <c:v>0.10834578082596159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3EE-42CD-B38F-9FC9B427EAF2}"/>
            </c:ext>
          </c:extLst>
        </c:ser>
        <c:ser>
          <c:idx val="9"/>
          <c:order val="9"/>
          <c:tx>
            <c:strRef>
              <c:f>'SATORI H1'!$AR$1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H1'!$AR$2:$AR$37</c:f>
              <c:numCache>
                <c:formatCode>0.00000</c:formatCode>
                <c:ptCount val="36"/>
                <c:pt idx="0">
                  <c:v>3.9978104299797479E-2</c:v>
                </c:pt>
                <c:pt idx="1">
                  <c:v>8.0636225978406861E-2</c:v>
                </c:pt>
                <c:pt idx="2">
                  <c:v>0.16029790749577116</c:v>
                </c:pt>
                <c:pt idx="3">
                  <c:v>-4.8066257487245773E-2</c:v>
                </c:pt>
                <c:pt idx="4">
                  <c:v>0.3183709299522226</c:v>
                </c:pt>
                <c:pt idx="5">
                  <c:v>-0.20358934178949634</c:v>
                </c:pt>
                <c:pt idx="6">
                  <c:v>0.1365293136467558</c:v>
                </c:pt>
                <c:pt idx="7">
                  <c:v>8.718288000296244E-2</c:v>
                </c:pt>
                <c:pt idx="8">
                  <c:v>-0.1019185392911362</c:v>
                </c:pt>
                <c:pt idx="9">
                  <c:v>-0.10797870043005323</c:v>
                </c:pt>
                <c:pt idx="10">
                  <c:v>-0.11955898756957335</c:v>
                </c:pt>
                <c:pt idx="11">
                  <c:v>0.15616319980249019</c:v>
                </c:pt>
                <c:pt idx="12">
                  <c:v>7.659711154762934E-2</c:v>
                </c:pt>
                <c:pt idx="13">
                  <c:v>0.14971171215757481</c:v>
                </c:pt>
                <c:pt idx="14">
                  <c:v>-0.12110726643598489</c:v>
                </c:pt>
                <c:pt idx="15">
                  <c:v>-8.7047246281965876E-2</c:v>
                </c:pt>
                <c:pt idx="16">
                  <c:v>0.16820337767223306</c:v>
                </c:pt>
                <c:pt idx="17">
                  <c:v>9.1606266363785896E-2</c:v>
                </c:pt>
                <c:pt idx="18">
                  <c:v>-0.16745761036135412</c:v>
                </c:pt>
                <c:pt idx="19">
                  <c:v>-2.4716379544842304E-3</c:v>
                </c:pt>
                <c:pt idx="20">
                  <c:v>3.0905022684293678E-2</c:v>
                </c:pt>
                <c:pt idx="21">
                  <c:v>-0.14689181849602501</c:v>
                </c:pt>
                <c:pt idx="22">
                  <c:v>2.6546323334222143E-2</c:v>
                </c:pt>
                <c:pt idx="23">
                  <c:v>-0.11900797908420095</c:v>
                </c:pt>
                <c:pt idx="24">
                  <c:v>-0.10410057717301191</c:v>
                </c:pt>
                <c:pt idx="25">
                  <c:v>-0.16849406888578741</c:v>
                </c:pt>
                <c:pt idx="26">
                  <c:v>0.1095795960329707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3EE-42CD-B38F-9FC9B427EAF2}"/>
            </c:ext>
          </c:extLst>
        </c:ser>
        <c:ser>
          <c:idx val="10"/>
          <c:order val="10"/>
          <c:tx>
            <c:strRef>
              <c:f>'SATORI H1'!$AS$1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H1'!$AS$2:$AS$37</c:f>
              <c:numCache>
                <c:formatCode>0.00000</c:formatCode>
                <c:ptCount val="36"/>
                <c:pt idx="0">
                  <c:v>1.5713767677984221E-2</c:v>
                </c:pt>
                <c:pt idx="1">
                  <c:v>1.0275442297347332E-2</c:v>
                </c:pt>
                <c:pt idx="2">
                  <c:v>0.10164876720617914</c:v>
                </c:pt>
                <c:pt idx="3">
                  <c:v>6.2359237643175858E-2</c:v>
                </c:pt>
                <c:pt idx="4">
                  <c:v>8.7257919868150124E-2</c:v>
                </c:pt>
                <c:pt idx="5">
                  <c:v>-0.22490931076178633</c:v>
                </c:pt>
                <c:pt idx="6">
                  <c:v>2.7214175561660631E-2</c:v>
                </c:pt>
                <c:pt idx="7">
                  <c:v>-5.3794637460399614E-2</c:v>
                </c:pt>
                <c:pt idx="8">
                  <c:v>-5.3765714389279323E-2</c:v>
                </c:pt>
                <c:pt idx="9">
                  <c:v>-1.4496517815617459E-2</c:v>
                </c:pt>
                <c:pt idx="10">
                  <c:v>0.11307976053698</c:v>
                </c:pt>
                <c:pt idx="11">
                  <c:v>3.6900592224258781E-2</c:v>
                </c:pt>
                <c:pt idx="12">
                  <c:v>2.0571774315535137E-2</c:v>
                </c:pt>
                <c:pt idx="13">
                  <c:v>6.6560170393934826E-3</c:v>
                </c:pt>
                <c:pt idx="14">
                  <c:v>-2.4802637548761348E-2</c:v>
                </c:pt>
                <c:pt idx="15">
                  <c:v>-9.678141312970524E-3</c:v>
                </c:pt>
                <c:pt idx="16">
                  <c:v>-4.5345715736778903E-2</c:v>
                </c:pt>
                <c:pt idx="17">
                  <c:v>5.1418235931064322E-2</c:v>
                </c:pt>
                <c:pt idx="18">
                  <c:v>-4.0513248436911099E-2</c:v>
                </c:pt>
                <c:pt idx="19">
                  <c:v>2.4192865523954318E-2</c:v>
                </c:pt>
                <c:pt idx="20">
                  <c:v>0.15750130241462568</c:v>
                </c:pt>
                <c:pt idx="21">
                  <c:v>-7.874445003070156E-3</c:v>
                </c:pt>
                <c:pt idx="22">
                  <c:v>0.13768924689440959</c:v>
                </c:pt>
                <c:pt idx="23">
                  <c:v>-7.2734325752792262E-2</c:v>
                </c:pt>
                <c:pt idx="24">
                  <c:v>2.6069928034868857E-2</c:v>
                </c:pt>
                <c:pt idx="25">
                  <c:v>-3.5757575757567786E-2</c:v>
                </c:pt>
                <c:pt idx="26">
                  <c:v>4.2426042316955565E-3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3EE-42CD-B38F-9FC9B427EAF2}"/>
            </c:ext>
          </c:extLst>
        </c:ser>
        <c:ser>
          <c:idx val="11"/>
          <c:order val="11"/>
          <c:tx>
            <c:strRef>
              <c:f>'SATORI H1'!$AT$1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H1'!$AT$2:$AT$37</c:f>
              <c:numCache>
                <c:formatCode>0.00000</c:formatCode>
                <c:ptCount val="36"/>
                <c:pt idx="0">
                  <c:v>2.4304289707133084E-2</c:v>
                </c:pt>
                <c:pt idx="1">
                  <c:v>-6.0757032626433984E-3</c:v>
                </c:pt>
                <c:pt idx="2">
                  <c:v>0.11778628149262123</c:v>
                </c:pt>
                <c:pt idx="3">
                  <c:v>-8.2941205744007217E-3</c:v>
                </c:pt>
                <c:pt idx="4">
                  <c:v>0.1223495543375987</c:v>
                </c:pt>
                <c:pt idx="5">
                  <c:v>-0.22426478711416253</c:v>
                </c:pt>
                <c:pt idx="6">
                  <c:v>-2.5402856164617519E-2</c:v>
                </c:pt>
                <c:pt idx="7">
                  <c:v>-3.8089770412520901E-2</c:v>
                </c:pt>
                <c:pt idx="8">
                  <c:v>-3.2007240258487432E-2</c:v>
                </c:pt>
                <c:pt idx="9">
                  <c:v>-1.2690915511606806E-2</c:v>
                </c:pt>
                <c:pt idx="10">
                  <c:v>2.0419989514058417E-2</c:v>
                </c:pt>
                <c:pt idx="11">
                  <c:v>3.6990415617681884E-2</c:v>
                </c:pt>
                <c:pt idx="12">
                  <c:v>5.5792782292141796E-2</c:v>
                </c:pt>
                <c:pt idx="13">
                  <c:v>-6.0760724267863372E-3</c:v>
                </c:pt>
                <c:pt idx="14">
                  <c:v>-8.28486686218248E-3</c:v>
                </c:pt>
                <c:pt idx="15">
                  <c:v>-2.8712625272636093E-2</c:v>
                </c:pt>
                <c:pt idx="16">
                  <c:v>1.7120072456566514E-2</c:v>
                </c:pt>
                <c:pt idx="17">
                  <c:v>7.1292381662936985E-2</c:v>
                </c:pt>
                <c:pt idx="18">
                  <c:v>-1.1051860857070592E-2</c:v>
                </c:pt>
                <c:pt idx="19">
                  <c:v>-5.1364756045029623E-2</c:v>
                </c:pt>
                <c:pt idx="20">
                  <c:v>0.1155660246946429</c:v>
                </c:pt>
                <c:pt idx="21">
                  <c:v>-5.6921172465631019E-2</c:v>
                </c:pt>
                <c:pt idx="22">
                  <c:v>6.6359936294466126E-2</c:v>
                </c:pt>
                <c:pt idx="23">
                  <c:v>-9.8889017794508635E-2</c:v>
                </c:pt>
                <c:pt idx="24">
                  <c:v>4.9723207478450798E-3</c:v>
                </c:pt>
                <c:pt idx="25">
                  <c:v>-6.239129834635869E-2</c:v>
                </c:pt>
                <c:pt idx="26">
                  <c:v>2.8719285552546679E-2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3EE-42CD-B38F-9FC9B427EAF2}"/>
            </c:ext>
          </c:extLst>
        </c:ser>
        <c:ser>
          <c:idx val="12"/>
          <c:order val="12"/>
          <c:tx>
            <c:strRef>
              <c:f>'SATORI H1'!$AU$1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H1'!$AU$2:$AU$37</c:f>
              <c:numCache>
                <c:formatCode>0.00000</c:formatCode>
                <c:ptCount val="36"/>
                <c:pt idx="0">
                  <c:v>-7.1690054911526913E-2</c:v>
                </c:pt>
                <c:pt idx="1">
                  <c:v>-6.706908115358759E-2</c:v>
                </c:pt>
                <c:pt idx="2">
                  <c:v>-3.5046550962266061E-2</c:v>
                </c:pt>
                <c:pt idx="3">
                  <c:v>8.7693211020366507E-2</c:v>
                </c:pt>
                <c:pt idx="4">
                  <c:v>0.1221569869979192</c:v>
                </c:pt>
                <c:pt idx="5">
                  <c:v>4.124498758831277E-2</c:v>
                </c:pt>
                <c:pt idx="6">
                  <c:v>6.8024091228718206E-2</c:v>
                </c:pt>
                <c:pt idx="7">
                  <c:v>-2.2928943204988186E-3</c:v>
                </c:pt>
                <c:pt idx="8">
                  <c:v>-2.215973347190478E-2</c:v>
                </c:pt>
                <c:pt idx="9">
                  <c:v>1.2991876256200066E-2</c:v>
                </c:pt>
                <c:pt idx="10">
                  <c:v>-8.4058015313714044E-3</c:v>
                </c:pt>
                <c:pt idx="11">
                  <c:v>-2.9793508070993534E-2</c:v>
                </c:pt>
                <c:pt idx="12">
                  <c:v>-1.7567443707796313E-2</c:v>
                </c:pt>
                <c:pt idx="13">
                  <c:v>-6.1100418537928091E-3</c:v>
                </c:pt>
                <c:pt idx="14">
                  <c:v>1.4513455500991843E-2</c:v>
                </c:pt>
                <c:pt idx="15">
                  <c:v>3.0555576774567031E-3</c:v>
                </c:pt>
                <c:pt idx="16">
                  <c:v>7.6394777652991222E-3</c:v>
                </c:pt>
                <c:pt idx="17">
                  <c:v>-0.12436861943200915</c:v>
                </c:pt>
                <c:pt idx="18">
                  <c:v>7.3301467556453573E-2</c:v>
                </c:pt>
                <c:pt idx="19">
                  <c:v>5.5770744042853281E-2</c:v>
                </c:pt>
                <c:pt idx="20">
                  <c:v>0.10018201006407995</c:v>
                </c:pt>
                <c:pt idx="21">
                  <c:v>0.12327623831365085</c:v>
                </c:pt>
                <c:pt idx="22">
                  <c:v>8.3530024829093982E-2</c:v>
                </c:pt>
                <c:pt idx="23">
                  <c:v>3.1429425608084371E-2</c:v>
                </c:pt>
                <c:pt idx="24">
                  <c:v>0.10205804263417589</c:v>
                </c:pt>
                <c:pt idx="25">
                  <c:v>-7.0546737213406319E-2</c:v>
                </c:pt>
                <c:pt idx="26">
                  <c:v>0.10593220338982565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3EE-42CD-B38F-9FC9B427EAF2}"/>
            </c:ext>
          </c:extLst>
        </c:ser>
        <c:ser>
          <c:idx val="13"/>
          <c:order val="13"/>
          <c:tx>
            <c:strRef>
              <c:f>'SATORI H1'!$AV$1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H1'!$AV$2:$AV$37</c:f>
              <c:numCache>
                <c:formatCode>0.00000</c:formatCode>
                <c:ptCount val="36"/>
                <c:pt idx="0">
                  <c:v>-1.8480587682695393E-2</c:v>
                </c:pt>
                <c:pt idx="1">
                  <c:v>1.8997545722481978E-2</c:v>
                </c:pt>
                <c:pt idx="2">
                  <c:v>1.7460252249291677E-2</c:v>
                </c:pt>
                <c:pt idx="3">
                  <c:v>0.17542325361263422</c:v>
                </c:pt>
                <c:pt idx="4">
                  <c:v>0.15921433650388181</c:v>
                </c:pt>
                <c:pt idx="5">
                  <c:v>-7.2083946905027743E-2</c:v>
                </c:pt>
                <c:pt idx="6">
                  <c:v>3.7085492361421502E-2</c:v>
                </c:pt>
                <c:pt idx="7">
                  <c:v>-5.3539253539249931E-2</c:v>
                </c:pt>
                <c:pt idx="8">
                  <c:v>-6.2252084930373118E-2</c:v>
                </c:pt>
                <c:pt idx="9">
                  <c:v>-1.5946338000639524E-2</c:v>
                </c:pt>
                <c:pt idx="10">
                  <c:v>0.10607839502359333</c:v>
                </c:pt>
                <c:pt idx="11">
                  <c:v>4.8943591223126436E-2</c:v>
                </c:pt>
                <c:pt idx="12">
                  <c:v>6.702032778094956E-2</c:v>
                </c:pt>
                <c:pt idx="13">
                  <c:v>8.7649648885820084E-3</c:v>
                </c:pt>
                <c:pt idx="14">
                  <c:v>-8.4999407579882919E-2</c:v>
                </c:pt>
                <c:pt idx="15">
                  <c:v>9.7887686759357273E-3</c:v>
                </c:pt>
                <c:pt idx="16">
                  <c:v>-2.2663589912641953E-2</c:v>
                </c:pt>
                <c:pt idx="17">
                  <c:v>1.7515841533151666E-2</c:v>
                </c:pt>
                <c:pt idx="18">
                  <c:v>-2.2662422612977118E-2</c:v>
                </c:pt>
                <c:pt idx="19">
                  <c:v>-2.060177793345626E-3</c:v>
                </c:pt>
                <c:pt idx="20">
                  <c:v>0.21885678301175948</c:v>
                </c:pt>
                <c:pt idx="21">
                  <c:v>-4.1276687958553659E-2</c:v>
                </c:pt>
                <c:pt idx="22">
                  <c:v>0.13019084324402919</c:v>
                </c:pt>
                <c:pt idx="23">
                  <c:v>5.4275627141948619E-2</c:v>
                </c:pt>
                <c:pt idx="24">
                  <c:v>3.5162289478708295E-2</c:v>
                </c:pt>
                <c:pt idx="25">
                  <c:v>-1.4993433909972259E-2</c:v>
                </c:pt>
                <c:pt idx="26">
                  <c:v>3.9826006899723154E-2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3EE-42CD-B38F-9FC9B427EAF2}"/>
            </c:ext>
          </c:extLst>
        </c:ser>
        <c:ser>
          <c:idx val="14"/>
          <c:order val="14"/>
          <c:tx>
            <c:strRef>
              <c:f>'SATORI H1'!$AW$1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H1'!$AW$2:$AW$37</c:f>
              <c:numCache>
                <c:formatCode>0.00000</c:formatCode>
                <c:ptCount val="36"/>
                <c:pt idx="0">
                  <c:v>-1.7359237694869613E-2</c:v>
                </c:pt>
                <c:pt idx="1">
                  <c:v>3.7534895723405361E-3</c:v>
                </c:pt>
                <c:pt idx="2">
                  <c:v>3.2853823950423619E-2</c:v>
                </c:pt>
                <c:pt idx="3">
                  <c:v>0.10477255428909492</c:v>
                </c:pt>
                <c:pt idx="4">
                  <c:v>0.19488956258120549</c:v>
                </c:pt>
                <c:pt idx="5">
                  <c:v>-7.1502493179026433E-2</c:v>
                </c:pt>
                <c:pt idx="6">
                  <c:v>-1.6461679561652398E-2</c:v>
                </c:pt>
                <c:pt idx="7">
                  <c:v>-3.7612543783347607E-2</c:v>
                </c:pt>
                <c:pt idx="8">
                  <c:v>-4.041714250803901E-2</c:v>
                </c:pt>
                <c:pt idx="9">
                  <c:v>-1.4566847734141422E-2</c:v>
                </c:pt>
                <c:pt idx="10">
                  <c:v>1.3628908324449017E-2</c:v>
                </c:pt>
                <c:pt idx="11">
                  <c:v>4.937040972737064E-2</c:v>
                </c:pt>
                <c:pt idx="12">
                  <c:v>0.10213639209078396</c:v>
                </c:pt>
                <c:pt idx="13">
                  <c:v>-3.7652551666398394E-3</c:v>
                </c:pt>
                <c:pt idx="14">
                  <c:v>-6.8668720457154706E-2</c:v>
                </c:pt>
                <c:pt idx="15">
                  <c:v>1.8813702019094946E-3</c:v>
                </c:pt>
                <c:pt idx="16">
                  <c:v>4.0936553048143767E-2</c:v>
                </c:pt>
                <c:pt idx="17">
                  <c:v>2.6827695595068288E-2</c:v>
                </c:pt>
                <c:pt idx="18">
                  <c:v>8.0018827959626049E-3</c:v>
                </c:pt>
                <c:pt idx="19">
                  <c:v>-7.8544989347055144E-2</c:v>
                </c:pt>
                <c:pt idx="20">
                  <c:v>0.17715709971212951</c:v>
                </c:pt>
                <c:pt idx="21">
                  <c:v>-9.038143791219555E-2</c:v>
                </c:pt>
                <c:pt idx="22">
                  <c:v>5.8876726265623312E-2</c:v>
                </c:pt>
                <c:pt idx="23">
                  <c:v>2.732626619551486E-2</c:v>
                </c:pt>
                <c:pt idx="24">
                  <c:v>1.4607551632994903E-2</c:v>
                </c:pt>
                <c:pt idx="25">
                  <c:v>-4.1920229101119949E-2</c:v>
                </c:pt>
                <c:pt idx="26">
                  <c:v>6.4570558653145302E-2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3EE-42CD-B38F-9FC9B427EAF2}"/>
            </c:ext>
          </c:extLst>
        </c:ser>
        <c:ser>
          <c:idx val="15"/>
          <c:order val="15"/>
          <c:tx>
            <c:strRef>
              <c:f>'SATORI H1'!$AX$1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H1'!$AX$2:$AX$37</c:f>
              <c:numCache>
                <c:formatCode>0.00000</c:formatCode>
                <c:ptCount val="36"/>
                <c:pt idx="0">
                  <c:v>-2.0213590270520495E-2</c:v>
                </c:pt>
                <c:pt idx="1">
                  <c:v>-5.6678208070749858E-2</c:v>
                </c:pt>
                <c:pt idx="2">
                  <c:v>-1.6834827891928537E-3</c:v>
                </c:pt>
                <c:pt idx="3">
                  <c:v>9.3239569525264271E-2</c:v>
                </c:pt>
                <c:pt idx="4">
                  <c:v>0.13385977345077271</c:v>
                </c:pt>
                <c:pt idx="5">
                  <c:v>-5.061667988332603E-3</c:v>
                </c:pt>
                <c:pt idx="6">
                  <c:v>4.8953409858212268E-2</c:v>
                </c:pt>
                <c:pt idx="7">
                  <c:v>-2.081493274527605E-2</c:v>
                </c:pt>
                <c:pt idx="8">
                  <c:v>-2.1372929497445087E-2</c:v>
                </c:pt>
                <c:pt idx="9">
                  <c:v>1.1250175783995387E-2</c:v>
                </c:pt>
                <c:pt idx="10">
                  <c:v>-2.6993133621637019E-2</c:v>
                </c:pt>
                <c:pt idx="11">
                  <c:v>-3.3740278582204807E-3</c:v>
                </c:pt>
                <c:pt idx="12">
                  <c:v>1.6870423897503454E-3</c:v>
                </c:pt>
                <c:pt idx="13">
                  <c:v>-2.1926742192118317E-2</c:v>
                </c:pt>
                <c:pt idx="14">
                  <c:v>-3.5407580594392585E-2</c:v>
                </c:pt>
                <c:pt idx="15">
                  <c:v>-8.9915928606717835E-3</c:v>
                </c:pt>
                <c:pt idx="16">
                  <c:v>-1.6294606485260321E-2</c:v>
                </c:pt>
                <c:pt idx="17">
                  <c:v>-2.9770932335721718E-2</c:v>
                </c:pt>
                <c:pt idx="18">
                  <c:v>2.9217750907427707E-2</c:v>
                </c:pt>
                <c:pt idx="19">
                  <c:v>5.3407091337370143E-2</c:v>
                </c:pt>
                <c:pt idx="20">
                  <c:v>0.15145543606779355</c:v>
                </c:pt>
                <c:pt idx="21">
                  <c:v>3.9413748641641466E-3</c:v>
                </c:pt>
                <c:pt idx="22">
                  <c:v>9.5246683273778943E-2</c:v>
                </c:pt>
                <c:pt idx="23">
                  <c:v>2.7059632665488591E-2</c:v>
                </c:pt>
                <c:pt idx="24">
                  <c:v>8.9715449677531089E-2</c:v>
                </c:pt>
                <c:pt idx="25">
                  <c:v>-7.0481302720012934E-2</c:v>
                </c:pt>
                <c:pt idx="26">
                  <c:v>4.2306672608405399E-2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3EE-42CD-B38F-9FC9B427EAF2}"/>
            </c:ext>
          </c:extLst>
        </c:ser>
        <c:ser>
          <c:idx val="16"/>
          <c:order val="16"/>
          <c:tx>
            <c:strRef>
              <c:f>'SATORI H1'!$AY$1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H1'!$AY$2:$AY$37</c:f>
              <c:numCache>
                <c:formatCode>0.00000</c:formatCode>
                <c:ptCount val="36"/>
                <c:pt idx="0">
                  <c:v>-3.7602062741715452E-2</c:v>
                </c:pt>
                <c:pt idx="1">
                  <c:v>-3.5810205908719788E-3</c:v>
                </c:pt>
                <c:pt idx="2">
                  <c:v>1.6117189878410935E-2</c:v>
                </c:pt>
                <c:pt idx="3">
                  <c:v>6.002777404470263E-2</c:v>
                </c:pt>
                <c:pt idx="4">
                  <c:v>0.24338985486420375</c:v>
                </c:pt>
                <c:pt idx="5">
                  <c:v>-3.8604145905709868E-2</c:v>
                </c:pt>
                <c:pt idx="6">
                  <c:v>2.6933850463239329E-3</c:v>
                </c:pt>
                <c:pt idx="7">
                  <c:v>0</c:v>
                </c:pt>
                <c:pt idx="8">
                  <c:v>-9.8747699627500778E-3</c:v>
                </c:pt>
                <c:pt idx="9">
                  <c:v>-6.8179167675906191E-2</c:v>
                </c:pt>
                <c:pt idx="10">
                  <c:v>-4.1249316247738456E-2</c:v>
                </c:pt>
                <c:pt idx="11">
                  <c:v>3.1395202813016672E-2</c:v>
                </c:pt>
                <c:pt idx="12">
                  <c:v>5.2951365516981985E-2</c:v>
                </c:pt>
                <c:pt idx="13">
                  <c:v>3.3217819115506565E-2</c:v>
                </c:pt>
                <c:pt idx="14">
                  <c:v>-2.9617928719512961E-2</c:v>
                </c:pt>
                <c:pt idx="15">
                  <c:v>-6.1890068886344664E-2</c:v>
                </c:pt>
                <c:pt idx="16">
                  <c:v>2.6915968346838185E-2</c:v>
                </c:pt>
                <c:pt idx="17">
                  <c:v>0</c:v>
                </c:pt>
                <c:pt idx="18">
                  <c:v>2.9616333856849131E-2</c:v>
                </c:pt>
                <c:pt idx="19">
                  <c:v>-6.2818579941143022E-3</c:v>
                </c:pt>
                <c:pt idx="20">
                  <c:v>7.0046877525729023E-2</c:v>
                </c:pt>
                <c:pt idx="21">
                  <c:v>-8.0758048885549952E-2</c:v>
                </c:pt>
                <c:pt idx="22">
                  <c:v>4.4885720954464962E-2</c:v>
                </c:pt>
                <c:pt idx="23">
                  <c:v>-8.0787770526956643E-3</c:v>
                </c:pt>
                <c:pt idx="24">
                  <c:v>-2.9613410388020161E-2</c:v>
                </c:pt>
                <c:pt idx="25">
                  <c:v>-0.11294168265180247</c:v>
                </c:pt>
                <c:pt idx="26">
                  <c:v>0.14542190305206057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3EE-42CD-B38F-9FC9B427EAF2}"/>
            </c:ext>
          </c:extLst>
        </c:ser>
        <c:ser>
          <c:idx val="17"/>
          <c:order val="17"/>
          <c:tx>
            <c:strRef>
              <c:f>'SATORI H1'!$AZ$1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H1'!$AZ$2:$AZ$37</c:f>
              <c:numCache>
                <c:formatCode>0.00000</c:formatCode>
                <c:ptCount val="36"/>
                <c:pt idx="0">
                  <c:v>1.1494553149241808E-2</c:v>
                </c:pt>
                <c:pt idx="1">
                  <c:v>8.8900509870579639E-2</c:v>
                </c:pt>
                <c:pt idx="2">
                  <c:v>7.3265824109682257E-2</c:v>
                </c:pt>
                <c:pt idx="3">
                  <c:v>6.6506771122450778E-2</c:v>
                </c:pt>
                <c:pt idx="4">
                  <c:v>0.39008285317743524</c:v>
                </c:pt>
                <c:pt idx="5">
                  <c:v>-4.9918291638422825E-2</c:v>
                </c:pt>
                <c:pt idx="6">
                  <c:v>0.14365547943042767</c:v>
                </c:pt>
                <c:pt idx="7">
                  <c:v>9.2171723821919682E-2</c:v>
                </c:pt>
                <c:pt idx="8">
                  <c:v>-0.11206043898229859</c:v>
                </c:pt>
                <c:pt idx="9">
                  <c:v>-0.11245992958116488</c:v>
                </c:pt>
                <c:pt idx="10">
                  <c:v>-0.12386760862035544</c:v>
                </c:pt>
                <c:pt idx="11">
                  <c:v>0.16665878060449676</c:v>
                </c:pt>
                <c:pt idx="12">
                  <c:v>0.12317410185551197</c:v>
                </c:pt>
                <c:pt idx="13">
                  <c:v>0.1539410490133547</c:v>
                </c:pt>
                <c:pt idx="14">
                  <c:v>-0.17629908745487688</c:v>
                </c:pt>
                <c:pt idx="15">
                  <c:v>-8.1504735162195016E-2</c:v>
                </c:pt>
                <c:pt idx="16">
                  <c:v>0.18649344902249693</c:v>
                </c:pt>
                <c:pt idx="17">
                  <c:v>5.903841186671803E-2</c:v>
                </c:pt>
                <c:pt idx="18">
                  <c:v>-0.15053186170016863</c:v>
                </c:pt>
                <c:pt idx="19">
                  <c:v>-2.8940057248698657E-2</c:v>
                </c:pt>
                <c:pt idx="20">
                  <c:v>9.5857078149846703E-2</c:v>
                </c:pt>
                <c:pt idx="21">
                  <c:v>-0.18400134583841227</c:v>
                </c:pt>
                <c:pt idx="22">
                  <c:v>1.7351708617497602E-2</c:v>
                </c:pt>
                <c:pt idx="23">
                  <c:v>9.4654642021406062E-3</c:v>
                </c:pt>
                <c:pt idx="24">
                  <c:v>-9.5089994010912546E-2</c:v>
                </c:pt>
                <c:pt idx="25">
                  <c:v>-0.14636065573770302</c:v>
                </c:pt>
                <c:pt idx="26">
                  <c:v>0.14604905777343041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3EE-42CD-B38F-9FC9B427EAF2}"/>
            </c:ext>
          </c:extLst>
        </c:ser>
        <c:ser>
          <c:idx val="18"/>
          <c:order val="18"/>
          <c:tx>
            <c:strRef>
              <c:f>'SATORI H1'!$BA$1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H1'!$BA$2:$BA$37</c:f>
              <c:numCache>
                <c:formatCode>0.00000</c:formatCode>
                <c:ptCount val="36"/>
                <c:pt idx="0">
                  <c:v>1.7817371937645148E-2</c:v>
                </c:pt>
                <c:pt idx="1">
                  <c:v>8.4704204003380815E-2</c:v>
                </c:pt>
                <c:pt idx="2">
                  <c:v>4.0139149050041657E-2</c:v>
                </c:pt>
                <c:pt idx="3">
                  <c:v>-4.4579172610547481E-2</c:v>
                </c:pt>
                <c:pt idx="4">
                  <c:v>0.19653385742360607</c:v>
                </c:pt>
                <c:pt idx="5">
                  <c:v>2.6807255830579156E-2</c:v>
                </c:pt>
                <c:pt idx="6">
                  <c:v>0.1532592766609619</c:v>
                </c:pt>
                <c:pt idx="7">
                  <c:v>0.12993559227107213</c:v>
                </c:pt>
                <c:pt idx="8">
                  <c:v>-6.492561539407915E-2</c:v>
                </c:pt>
                <c:pt idx="9">
                  <c:v>-0.1028795079675692</c:v>
                </c:pt>
                <c:pt idx="10">
                  <c:v>-0.13958682300390843</c:v>
                </c:pt>
                <c:pt idx="11">
                  <c:v>0.11739057521382301</c:v>
                </c:pt>
                <c:pt idx="12">
                  <c:v>2.3483628556077323E-2</c:v>
                </c:pt>
                <c:pt idx="13">
                  <c:v>0.1556812454499748</c:v>
                </c:pt>
                <c:pt idx="14">
                  <c:v>-6.3799780618300647E-2</c:v>
                </c:pt>
                <c:pt idx="15">
                  <c:v>-7.1583562624440378E-2</c:v>
                </c:pt>
                <c:pt idx="16">
                  <c:v>0.1478593991531745</c:v>
                </c:pt>
                <c:pt idx="17">
                  <c:v>-8.9603727515014976E-3</c:v>
                </c:pt>
                <c:pt idx="18">
                  <c:v>-0.1543278908521642</c:v>
                </c:pt>
                <c:pt idx="19">
                  <c:v>4.811081150632307E-2</c:v>
                </c:pt>
                <c:pt idx="20">
                  <c:v>-8.160983789827557E-2</c:v>
                </c:pt>
                <c:pt idx="21">
                  <c:v>-9.4934941642925957E-2</c:v>
                </c:pt>
                <c:pt idx="22">
                  <c:v>-4.2423498152341338E-2</c:v>
                </c:pt>
                <c:pt idx="23">
                  <c:v>-2.1207250647385323E-2</c:v>
                </c:pt>
                <c:pt idx="24">
                  <c:v>-0.11037896778941449</c:v>
                </c:pt>
                <c:pt idx="25">
                  <c:v>-0.10469454808709037</c:v>
                </c:pt>
                <c:pt idx="26">
                  <c:v>8.8065458274801597E-2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3EE-42CD-B38F-9FC9B427EAF2}"/>
            </c:ext>
          </c:extLst>
        </c:ser>
        <c:ser>
          <c:idx val="19"/>
          <c:order val="19"/>
          <c:tx>
            <c:strRef>
              <c:f>'SATORI H1'!$BB$1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H1'!$BB$2:$BB$37</c:f>
              <c:numCache>
                <c:formatCode>0.00000</c:formatCode>
                <c:ptCount val="36"/>
                <c:pt idx="0">
                  <c:v>-3.0531437839910122E-2</c:v>
                </c:pt>
                <c:pt idx="1">
                  <c:v>-7.6322768989923462E-3</c:v>
                </c:pt>
                <c:pt idx="2">
                  <c:v>-1.7169674539286982E-2</c:v>
                </c:pt>
                <c:pt idx="3">
                  <c:v>-5.148250548193202E-2</c:v>
                </c:pt>
                <c:pt idx="4">
                  <c:v>4.9600335756105028E-2</c:v>
                </c:pt>
                <c:pt idx="5">
                  <c:v>4.007786556739637E-2</c:v>
                </c:pt>
                <c:pt idx="6">
                  <c:v>1.1452130096188154E-2</c:v>
                </c:pt>
                <c:pt idx="7">
                  <c:v>3.8188344917148287E-2</c:v>
                </c:pt>
                <c:pt idx="8">
                  <c:v>3.6292094053810182E-2</c:v>
                </c:pt>
                <c:pt idx="9">
                  <c:v>-5.7270488517260743E-2</c:v>
                </c:pt>
                <c:pt idx="10">
                  <c:v>-5.7237708202157282E-2</c:v>
                </c:pt>
                <c:pt idx="11">
                  <c:v>-1.7168364427155487E-2</c:v>
                </c:pt>
                <c:pt idx="12">
                  <c:v>-4.7667168760839033E-2</c:v>
                </c:pt>
                <c:pt idx="13">
                  <c:v>3.4332144423879524E-2</c:v>
                </c:pt>
                <c:pt idx="14">
                  <c:v>8.39935095924398E-2</c:v>
                </c:pt>
                <c:pt idx="15">
                  <c:v>-6.1048896350418172E-2</c:v>
                </c:pt>
                <c:pt idx="16">
                  <c:v>-1.3352662902490174E-2</c:v>
                </c:pt>
                <c:pt idx="17">
                  <c:v>-6.1003507701690357E-2</c:v>
                </c:pt>
                <c:pt idx="18">
                  <c:v>2.4788818336112448E-2</c:v>
                </c:pt>
                <c:pt idx="19">
                  <c:v>7.2512164869752108E-2</c:v>
                </c:pt>
                <c:pt idx="20">
                  <c:v>-0.10674596366824973</c:v>
                </c:pt>
                <c:pt idx="21">
                  <c:v>9.5317980783884565E-3</c:v>
                </c:pt>
                <c:pt idx="22">
                  <c:v>-1.7154293338401502E-2</c:v>
                </c:pt>
                <c:pt idx="23">
                  <c:v>-3.8106125559700672E-2</c:v>
                </c:pt>
                <c:pt idx="24">
                  <c:v>-4.3802849089653477E-2</c:v>
                </c:pt>
                <c:pt idx="25">
                  <c:v>-7.2317588398745275E-2</c:v>
                </c:pt>
                <c:pt idx="26">
                  <c:v>8.761904761905065E-2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3EE-42CD-B38F-9FC9B427EAF2}"/>
            </c:ext>
          </c:extLst>
        </c:ser>
        <c:ser>
          <c:idx val="20"/>
          <c:order val="20"/>
          <c:tx>
            <c:strRef>
              <c:f>'SATORI H1'!$BC$1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H1'!$BC$2:$BC$37</c:f>
              <c:numCache>
                <c:formatCode>0.00000</c:formatCode>
                <c:ptCount val="36"/>
                <c:pt idx="0">
                  <c:v>-6.1777568239834657E-2</c:v>
                </c:pt>
                <c:pt idx="1">
                  <c:v>-6.9857361016332081E-2</c:v>
                </c:pt>
                <c:pt idx="2">
                  <c:v>-6.8186245860116887E-2</c:v>
                </c:pt>
                <c:pt idx="3">
                  <c:v>-2.2723583833797922E-2</c:v>
                </c:pt>
                <c:pt idx="4">
                  <c:v>-7.2986781282955382E-2</c:v>
                </c:pt>
                <c:pt idx="5">
                  <c:v>0.11854113214900594</c:v>
                </c:pt>
                <c:pt idx="6">
                  <c:v>7.8005655410023064E-2</c:v>
                </c:pt>
                <c:pt idx="7">
                  <c:v>3.5765379113018268E-2</c:v>
                </c:pt>
                <c:pt idx="8">
                  <c:v>2.60179523871551E-2</c:v>
                </c:pt>
                <c:pt idx="9">
                  <c:v>2.1144056080536648E-2</c:v>
                </c:pt>
                <c:pt idx="10">
                  <c:v>-2.2765338146580969E-2</c:v>
                </c:pt>
                <c:pt idx="11">
                  <c:v>-7.6368126868577024E-2</c:v>
                </c:pt>
                <c:pt idx="12">
                  <c:v>-0.12171570457164647</c:v>
                </c:pt>
                <c:pt idx="13">
                  <c:v>-4.8683911589975162E-3</c:v>
                </c:pt>
                <c:pt idx="14">
                  <c:v>0.12836553304193124</c:v>
                </c:pt>
                <c:pt idx="15">
                  <c:v>-4.38525255806387E-2</c:v>
                </c:pt>
                <c:pt idx="16">
                  <c:v>-3.2472804026624121E-2</c:v>
                </c:pt>
                <c:pt idx="17">
                  <c:v>-0.14915210272040982</c:v>
                </c:pt>
                <c:pt idx="18">
                  <c:v>6.9761027920641386E-2</c:v>
                </c:pt>
                <c:pt idx="19">
                  <c:v>0.13320987052651087</c:v>
                </c:pt>
                <c:pt idx="20">
                  <c:v>-7.6293747159288591E-2</c:v>
                </c:pt>
                <c:pt idx="21">
                  <c:v>0.21147151641345593</c:v>
                </c:pt>
                <c:pt idx="22">
                  <c:v>2.4406514912377924E-2</c:v>
                </c:pt>
                <c:pt idx="23">
                  <c:v>1.6271274691585292E-3</c:v>
                </c:pt>
                <c:pt idx="24">
                  <c:v>8.6312189561115624E-2</c:v>
                </c:pt>
                <c:pt idx="25">
                  <c:v>-2.930498347525666E-2</c:v>
                </c:pt>
                <c:pt idx="26">
                  <c:v>4.8865505839440652E-2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3EE-42CD-B38F-9FC9B427EAF2}"/>
            </c:ext>
          </c:extLst>
        </c:ser>
        <c:ser>
          <c:idx val="21"/>
          <c:order val="21"/>
          <c:tx>
            <c:strRef>
              <c:f>'SATORI H1'!$BD$1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H1'!$BD$2:$BD$37</c:f>
              <c:numCache>
                <c:formatCode>0.00000</c:formatCode>
                <c:ptCount val="36"/>
                <c:pt idx="0">
                  <c:v>-9.5749901257877208E-3</c:v>
                </c:pt>
                <c:pt idx="1">
                  <c:v>-5.9807897034731154E-2</c:v>
                </c:pt>
                <c:pt idx="2">
                  <c:v>-3.4676551476744283E-2</c:v>
                </c:pt>
                <c:pt idx="3">
                  <c:v>-1.7932930838661425E-2</c:v>
                </c:pt>
                <c:pt idx="4">
                  <c:v>-6.2128869613004643E-2</c:v>
                </c:pt>
                <c:pt idx="5">
                  <c:v>7.4131643450702916E-2</c:v>
                </c:pt>
                <c:pt idx="6">
                  <c:v>5.8622257315817293E-2</c:v>
                </c:pt>
                <c:pt idx="7">
                  <c:v>1.6752022208398623E-2</c:v>
                </c:pt>
                <c:pt idx="8">
                  <c:v>2.5134349080207716E-2</c:v>
                </c:pt>
                <c:pt idx="9">
                  <c:v>2.1548370105222842E-2</c:v>
                </c:pt>
                <c:pt idx="10">
                  <c:v>-4.3078174921325728E-2</c:v>
                </c:pt>
                <c:pt idx="11">
                  <c:v>-5.1428024685443531E-2</c:v>
                </c:pt>
                <c:pt idx="12">
                  <c:v>-9.9169603918991267E-2</c:v>
                </c:pt>
                <c:pt idx="13">
                  <c:v>-2.0307721712538643E-2</c:v>
                </c:pt>
                <c:pt idx="14">
                  <c:v>7.6511094108642638E-2</c:v>
                </c:pt>
                <c:pt idx="15">
                  <c:v>-4.3018976148370892E-2</c:v>
                </c:pt>
                <c:pt idx="16">
                  <c:v>-5.6132137440132145E-2</c:v>
                </c:pt>
                <c:pt idx="17">
                  <c:v>-6.3257901269935843E-2</c:v>
                </c:pt>
                <c:pt idx="18">
                  <c:v>2.2682504626039931E-2</c:v>
                </c:pt>
                <c:pt idx="19">
                  <c:v>0.13149243918474565</c:v>
                </c:pt>
                <c:pt idx="20">
                  <c:v>-2.2707173076466223E-2</c:v>
                </c:pt>
                <c:pt idx="21">
                  <c:v>9.3305899803818704E-2</c:v>
                </c:pt>
                <c:pt idx="22">
                  <c:v>3.3505648094971516E-2</c:v>
                </c:pt>
                <c:pt idx="23">
                  <c:v>-3.5897619987764287E-3</c:v>
                </c:pt>
                <c:pt idx="24">
                  <c:v>7.5441873832436224E-2</c:v>
                </c:pt>
                <c:pt idx="25">
                  <c:v>-2.8731504094228196E-2</c:v>
                </c:pt>
                <c:pt idx="26">
                  <c:v>-1.5560476389978395E-2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3EE-42CD-B38F-9FC9B427EAF2}"/>
            </c:ext>
          </c:extLst>
        </c:ser>
        <c:ser>
          <c:idx val="22"/>
          <c:order val="22"/>
          <c:tx>
            <c:strRef>
              <c:f>'SATORI H1'!$BE$1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H1'!$BE$2:$BE$37</c:f>
              <c:numCache>
                <c:formatCode>0.00000</c:formatCode>
                <c:ptCount val="36"/>
                <c:pt idx="0">
                  <c:v>2.7912689108469769E-2</c:v>
                </c:pt>
                <c:pt idx="1">
                  <c:v>0.14629010165764061</c:v>
                </c:pt>
                <c:pt idx="2">
                  <c:v>7.4598334592178642E-2</c:v>
                </c:pt>
                <c:pt idx="3">
                  <c:v>-2.7034585625054872E-2</c:v>
                </c:pt>
                <c:pt idx="4">
                  <c:v>0.2560843396014813</c:v>
                </c:pt>
                <c:pt idx="5">
                  <c:v>-4.4841373640747563E-2</c:v>
                </c:pt>
                <c:pt idx="6">
                  <c:v>9.6314790398438793E-2</c:v>
                </c:pt>
                <c:pt idx="7">
                  <c:v>0.11327466766523997</c:v>
                </c:pt>
                <c:pt idx="8">
                  <c:v>-9.2593458599504075E-2</c:v>
                </c:pt>
                <c:pt idx="9">
                  <c:v>-0.12330571409889211</c:v>
                </c:pt>
                <c:pt idx="10">
                  <c:v>-9.7987980141106393E-2</c:v>
                </c:pt>
                <c:pt idx="11">
                  <c:v>0.17107120488348176</c:v>
                </c:pt>
                <c:pt idx="12">
                  <c:v>0.12354807611310734</c:v>
                </c:pt>
                <c:pt idx="13">
                  <c:v>0.17345484548453724</c:v>
                </c:pt>
                <c:pt idx="14">
                  <c:v>-0.11706202414287185</c:v>
                </c:pt>
                <c:pt idx="15">
                  <c:v>-7.9538861752094916E-2</c:v>
                </c:pt>
                <c:pt idx="16">
                  <c:v>0.19689468946894101</c:v>
                </c:pt>
                <c:pt idx="17">
                  <c:v>9.1029382783254731E-2</c:v>
                </c:pt>
                <c:pt idx="18">
                  <c:v>-0.1770524974706853</c:v>
                </c:pt>
                <c:pt idx="19">
                  <c:v>-8.5174889319437633E-2</c:v>
                </c:pt>
                <c:pt idx="20">
                  <c:v>-5.6127746751608781E-2</c:v>
                </c:pt>
                <c:pt idx="21">
                  <c:v>-0.18860701580750711</c:v>
                </c:pt>
                <c:pt idx="22">
                  <c:v>-7.6504669583803253E-2</c:v>
                </c:pt>
                <c:pt idx="23">
                  <c:v>-1.8656194322916354E-2</c:v>
                </c:pt>
                <c:pt idx="24">
                  <c:v>-0.18528519021991963</c:v>
                </c:pt>
                <c:pt idx="25">
                  <c:v>-7.5360754724005719E-2</c:v>
                </c:pt>
                <c:pt idx="26">
                  <c:v>0.102446611345496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3EE-42CD-B38F-9FC9B427EAF2}"/>
            </c:ext>
          </c:extLst>
        </c:ser>
        <c:ser>
          <c:idx val="23"/>
          <c:order val="23"/>
          <c:tx>
            <c:strRef>
              <c:f>'SATORI H1'!$BF$1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H1'!$BF$2:$BF$37</c:f>
              <c:numCache>
                <c:formatCode>0.00000</c:formatCode>
                <c:ptCount val="36"/>
                <c:pt idx="0">
                  <c:v>-1.9132348017411867E-2</c:v>
                </c:pt>
                <c:pt idx="1">
                  <c:v>5.2641653905061973E-2</c:v>
                </c:pt>
                <c:pt idx="2">
                  <c:v>1.7550297557308657E-2</c:v>
                </c:pt>
                <c:pt idx="3">
                  <c:v>-3.3493891352185473E-2</c:v>
                </c:pt>
                <c:pt idx="4">
                  <c:v>0.11017260374586348</c:v>
                </c:pt>
                <c:pt idx="5">
                  <c:v>-3.3519553072614922E-2</c:v>
                </c:pt>
                <c:pt idx="6">
                  <c:v>-4.6267489908902899E-2</c:v>
                </c:pt>
                <c:pt idx="7">
                  <c:v>2.3937188816542748E-2</c:v>
                </c:pt>
                <c:pt idx="8">
                  <c:v>7.9796996441045178E-3</c:v>
                </c:pt>
                <c:pt idx="9">
                  <c:v>-7.813995024558118E-2</c:v>
                </c:pt>
                <c:pt idx="10">
                  <c:v>-1.4350176188279811E-2</c:v>
                </c:pt>
                <c:pt idx="11">
                  <c:v>3.3494959806055172E-2</c:v>
                </c:pt>
                <c:pt idx="12">
                  <c:v>5.2662655793680714E-2</c:v>
                </c:pt>
                <c:pt idx="13">
                  <c:v>5.4287949671878354E-2</c:v>
                </c:pt>
                <c:pt idx="14">
                  <c:v>3.0346590001600941E-2</c:v>
                </c:pt>
                <c:pt idx="15">
                  <c:v>-6.2251592204185455E-2</c:v>
                </c:pt>
                <c:pt idx="16">
                  <c:v>3.6725960463697575E-2</c:v>
                </c:pt>
                <c:pt idx="17">
                  <c:v>3.1945819889481683E-2</c:v>
                </c:pt>
                <c:pt idx="18">
                  <c:v>1.5973165082588435E-3</c:v>
                </c:pt>
                <c:pt idx="19">
                  <c:v>-6.2256560883724131E-2</c:v>
                </c:pt>
                <c:pt idx="20">
                  <c:v>-8.1346199856449544E-2</c:v>
                </c:pt>
                <c:pt idx="21">
                  <c:v>-8.605714832108638E-2</c:v>
                </c:pt>
                <c:pt idx="22">
                  <c:v>-4.7786680259317128E-2</c:v>
                </c:pt>
                <c:pt idx="23">
                  <c:v>-3.662303748289282E-2</c:v>
                </c:pt>
                <c:pt idx="24">
                  <c:v>-0.11928050002386061</c:v>
                </c:pt>
                <c:pt idx="25">
                  <c:v>-4.2922548645553935E-2</c:v>
                </c:pt>
                <c:pt idx="26">
                  <c:v>0.10343894715066113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3EE-42CD-B38F-9FC9B427EAF2}"/>
            </c:ext>
          </c:extLst>
        </c:ser>
        <c:ser>
          <c:idx val="24"/>
          <c:order val="24"/>
          <c:tx>
            <c:strRef>
              <c:f>'SATORI H1'!$BG$1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H1'!$BG$2:$BG$37</c:f>
              <c:numCache>
                <c:formatCode>0.00000</c:formatCode>
                <c:ptCount val="36"/>
                <c:pt idx="0">
                  <c:v>4.4351850230800849E-2</c:v>
                </c:pt>
                <c:pt idx="1">
                  <c:v>9.4044253370406644E-2</c:v>
                </c:pt>
                <c:pt idx="2">
                  <c:v>5.6107539450615806E-2</c:v>
                </c:pt>
                <c:pt idx="3">
                  <c:v>9.9366973924913098E-3</c:v>
                </c:pt>
                <c:pt idx="4">
                  <c:v>0.14399690933463438</c:v>
                </c:pt>
                <c:pt idx="5">
                  <c:v>-9.3647755673119896E-3</c:v>
                </c:pt>
                <c:pt idx="6">
                  <c:v>0.13832150371886648</c:v>
                </c:pt>
                <c:pt idx="7">
                  <c:v>9.0929356689468124E-2</c:v>
                </c:pt>
                <c:pt idx="8">
                  <c:v>-0.1019714479945654</c:v>
                </c:pt>
                <c:pt idx="9">
                  <c:v>-4.3933899983022211E-2</c:v>
                </c:pt>
                <c:pt idx="10">
                  <c:v>-8.3112383159789943E-2</c:v>
                </c:pt>
                <c:pt idx="11">
                  <c:v>0.13890842593894756</c:v>
                </c:pt>
                <c:pt idx="12">
                  <c:v>6.6861385790198541E-2</c:v>
                </c:pt>
                <c:pt idx="13">
                  <c:v>0.12566945410128641</c:v>
                </c:pt>
                <c:pt idx="14">
                  <c:v>-4.8717211262479181E-2</c:v>
                </c:pt>
                <c:pt idx="15">
                  <c:v>-0.11315400670715019</c:v>
                </c:pt>
                <c:pt idx="16">
                  <c:v>0.1520800916003559</c:v>
                </c:pt>
                <c:pt idx="17">
                  <c:v>6.2280036897980916E-2</c:v>
                </c:pt>
                <c:pt idx="18">
                  <c:v>-0.17653958944280804</c:v>
                </c:pt>
                <c:pt idx="19">
                  <c:v>-2.6972195184872275E-2</c:v>
                </c:pt>
                <c:pt idx="20">
                  <c:v>2.2872961227390819E-2</c:v>
                </c:pt>
                <c:pt idx="21">
                  <c:v>-0.10252985083370418</c:v>
                </c:pt>
                <c:pt idx="22">
                  <c:v>-2.2844289806184175E-2</c:v>
                </c:pt>
                <c:pt idx="23">
                  <c:v>1.9333520809907821E-2</c:v>
                </c:pt>
                <c:pt idx="24">
                  <c:v>-7.200941391363487E-2</c:v>
                </c:pt>
                <c:pt idx="25">
                  <c:v>-3.2774028923070679E-2</c:v>
                </c:pt>
                <c:pt idx="26">
                  <c:v>-5.8524709132475061E-4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3EE-42CD-B38F-9FC9B427EAF2}"/>
            </c:ext>
          </c:extLst>
        </c:ser>
        <c:ser>
          <c:idx val="25"/>
          <c:order val="25"/>
          <c:tx>
            <c:strRef>
              <c:f>'SATORI H1'!$BH$1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H1'!$BH$2:$BH$37</c:f>
              <c:numCache>
                <c:formatCode>0.00000</c:formatCode>
                <c:ptCount val="36"/>
                <c:pt idx="0">
                  <c:v>5.2265064852847223E-2</c:v>
                </c:pt>
                <c:pt idx="1">
                  <c:v>1.1779430170060955E-2</c:v>
                </c:pt>
                <c:pt idx="2">
                  <c:v>3.1667243550572037E-2</c:v>
                </c:pt>
                <c:pt idx="3">
                  <c:v>5.8919273230660088E-3</c:v>
                </c:pt>
                <c:pt idx="4">
                  <c:v>1.1785243402116926E-2</c:v>
                </c:pt>
                <c:pt idx="5">
                  <c:v>-4.5646972206888639E-2</c:v>
                </c:pt>
                <c:pt idx="6">
                  <c:v>-1.9874569384329452E-2</c:v>
                </c:pt>
                <c:pt idx="7">
                  <c:v>-1.8398993207097852E-2</c:v>
                </c:pt>
                <c:pt idx="8">
                  <c:v>0</c:v>
                </c:pt>
                <c:pt idx="9">
                  <c:v>0</c:v>
                </c:pt>
                <c:pt idx="10">
                  <c:v>-2.0602626834925718E-2</c:v>
                </c:pt>
                <c:pt idx="11">
                  <c:v>2.5023735749350996E-2</c:v>
                </c:pt>
                <c:pt idx="12">
                  <c:v>2.208464307537408E-2</c:v>
                </c:pt>
                <c:pt idx="13">
                  <c:v>-1.4720928007316302E-2</c:v>
                </c:pt>
                <c:pt idx="14">
                  <c:v>-5.3702532111164047E-2</c:v>
                </c:pt>
                <c:pt idx="15">
                  <c:v>0</c:v>
                </c:pt>
                <c:pt idx="16">
                  <c:v>-2.5741161588308546E-2</c:v>
                </c:pt>
                <c:pt idx="17">
                  <c:v>9.4964664310955044E-2</c:v>
                </c:pt>
                <c:pt idx="18">
                  <c:v>-4.4150110375271077E-2</c:v>
                </c:pt>
                <c:pt idx="19">
                  <c:v>-1.4716486880184973E-3</c:v>
                </c:pt>
                <c:pt idx="20">
                  <c:v>5.1534248188933603E-2</c:v>
                </c:pt>
                <c:pt idx="21">
                  <c:v>-0.11912290248098849</c:v>
                </c:pt>
                <c:pt idx="22">
                  <c:v>1.103111509864556E-2</c:v>
                </c:pt>
                <c:pt idx="23">
                  <c:v>-5.1475887223695451E-3</c:v>
                </c:pt>
                <c:pt idx="24">
                  <c:v>-1.1029330666676896E-2</c:v>
                </c:pt>
                <c:pt idx="25">
                  <c:v>0</c:v>
                </c:pt>
                <c:pt idx="26">
                  <c:v>-6.3194867988866157E-2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3EE-42CD-B38F-9FC9B427EAF2}"/>
            </c:ext>
          </c:extLst>
        </c:ser>
        <c:ser>
          <c:idx val="26"/>
          <c:order val="26"/>
          <c:tx>
            <c:strRef>
              <c:f>'SATORI H1'!$BI$1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H1'!$BI$2:$BI$37</c:f>
              <c:numCache>
                <c:formatCode>0.00000</c:formatCode>
                <c:ptCount val="36"/>
                <c:pt idx="0">
                  <c:v>3.6386257732083579E-2</c:v>
                </c:pt>
                <c:pt idx="1">
                  <c:v>6.3422712377997598E-2</c:v>
                </c:pt>
                <c:pt idx="2">
                  <c:v>5.0528789659229315E-2</c:v>
                </c:pt>
                <c:pt idx="3">
                  <c:v>-2.8194163808093836E-2</c:v>
                </c:pt>
                <c:pt idx="4">
                  <c:v>0.1199689492131473</c:v>
                </c:pt>
                <c:pt idx="5">
                  <c:v>-7.7566754418953776E-2</c:v>
                </c:pt>
                <c:pt idx="6">
                  <c:v>-6.4597207051671948E-2</c:v>
                </c:pt>
                <c:pt idx="7">
                  <c:v>2.3490445261413421E-3</c:v>
                </c:pt>
                <c:pt idx="8">
                  <c:v>1.0571817882821325E-2</c:v>
                </c:pt>
                <c:pt idx="9">
                  <c:v>-7.9812206572771591E-2</c:v>
                </c:pt>
                <c:pt idx="10">
                  <c:v>-3.4025977073532776E-2</c:v>
                </c:pt>
                <c:pt idx="11">
                  <c:v>5.8699914298118654E-2</c:v>
                </c:pt>
                <c:pt idx="12">
                  <c:v>7.4016636120120702E-2</c:v>
                </c:pt>
                <c:pt idx="13">
                  <c:v>3.8785656359090828E-2</c:v>
                </c:pt>
                <c:pt idx="14">
                  <c:v>-4.3468045112779775E-2</c:v>
                </c:pt>
                <c:pt idx="15">
                  <c:v>-5.5185693989465573E-2</c:v>
                </c:pt>
                <c:pt idx="16">
                  <c:v>2.2314088410769893E-2</c:v>
                </c:pt>
                <c:pt idx="17">
                  <c:v>0.12464429340797029</c:v>
                </c:pt>
                <c:pt idx="18">
                  <c:v>-4.4663845792201104E-2</c:v>
                </c:pt>
                <c:pt idx="19">
                  <c:v>-6.3429417154131709E-2</c:v>
                </c:pt>
                <c:pt idx="20">
                  <c:v>-2.7008936435062705E-2</c:v>
                </c:pt>
                <c:pt idx="21">
                  <c:v>-0.20391182571398012</c:v>
                </c:pt>
                <c:pt idx="22">
                  <c:v>-4.2170862276995437E-2</c:v>
                </c:pt>
                <c:pt idx="23">
                  <c:v>-3.9812180185244544E-2</c:v>
                </c:pt>
                <c:pt idx="24">
                  <c:v>-0.12863842078796761</c:v>
                </c:pt>
                <c:pt idx="25">
                  <c:v>-4.325057277785354E-2</c:v>
                </c:pt>
                <c:pt idx="26">
                  <c:v>3.9759571532147597E-2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3EE-42CD-B38F-9FC9B427EAF2}"/>
            </c:ext>
          </c:extLst>
        </c:ser>
        <c:ser>
          <c:idx val="27"/>
          <c:order val="27"/>
          <c:tx>
            <c:strRef>
              <c:f>'SATORI H1'!$BJ$1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H1'!$BJ$2:$BJ$37</c:f>
              <c:numCache>
                <c:formatCode>0.00000</c:formatCode>
                <c:ptCount val="36"/>
                <c:pt idx="0">
                  <c:v>8.3566795213393746E-2</c:v>
                </c:pt>
                <c:pt idx="1">
                  <c:v>0.15573118191048807</c:v>
                </c:pt>
                <c:pt idx="2">
                  <c:v>0.10644946397544185</c:v>
                </c:pt>
                <c:pt idx="3">
                  <c:v>-1.9912385503780855E-2</c:v>
                </c:pt>
                <c:pt idx="4">
                  <c:v>0.26850627891607098</c:v>
                </c:pt>
                <c:pt idx="5">
                  <c:v>-9.1483756474374081E-2</c:v>
                </c:pt>
                <c:pt idx="6">
                  <c:v>7.5720549868875178E-2</c:v>
                </c:pt>
                <c:pt idx="7">
                  <c:v>9.3705860061319243E-2</c:v>
                </c:pt>
                <c:pt idx="8">
                  <c:v>-9.0179395040821828E-2</c:v>
                </c:pt>
                <c:pt idx="9">
                  <c:v>-0.12375727073966064</c:v>
                </c:pt>
                <c:pt idx="10">
                  <c:v>-0.11743134386781233</c:v>
                </c:pt>
                <c:pt idx="11">
                  <c:v>0.19472387741339744</c:v>
                </c:pt>
                <c:pt idx="12">
                  <c:v>0.14401378122308575</c:v>
                </c:pt>
                <c:pt idx="13">
                  <c:v>0.16011815615661165</c:v>
                </c:pt>
                <c:pt idx="14">
                  <c:v>-0.18943568830596666</c:v>
                </c:pt>
                <c:pt idx="15">
                  <c:v>-7.1589845255785697E-2</c:v>
                </c:pt>
                <c:pt idx="16">
                  <c:v>0.17929550657875962</c:v>
                </c:pt>
                <c:pt idx="17">
                  <c:v>0.1837701905406651</c:v>
                </c:pt>
                <c:pt idx="18">
                  <c:v>-0.22334045633141508</c:v>
                </c:pt>
                <c:pt idx="19">
                  <c:v>-8.4714827849840468E-2</c:v>
                </c:pt>
                <c:pt idx="20">
                  <c:v>-4.8209366391023288E-3</c:v>
                </c:pt>
                <c:pt idx="21">
                  <c:v>-0.30622193537755793</c:v>
                </c:pt>
                <c:pt idx="22">
                  <c:v>-6.7926858554336653E-2</c:v>
                </c:pt>
                <c:pt idx="23">
                  <c:v>-2.263716061407554E-2</c:v>
                </c:pt>
                <c:pt idx="24">
                  <c:v>-0.1951212832818692</c:v>
                </c:pt>
                <c:pt idx="25">
                  <c:v>-7.6620489139745632E-2</c:v>
                </c:pt>
                <c:pt idx="26">
                  <c:v>3.9009567609751279E-2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3EE-42CD-B38F-9FC9B427EA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 H4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H4'!$DY$1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H4'!$DX$2:$DX$37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H4'!$DY$2:$DY$37</c:f>
              <c:numCache>
                <c:formatCode>0.00000</c:formatCode>
                <c:ptCount val="36"/>
                <c:pt idx="0">
                  <c:v>11.324088739678238</c:v>
                </c:pt>
                <c:pt idx="1">
                  <c:v>12.069278408361432</c:v>
                </c:pt>
                <c:pt idx="2">
                  <c:v>12.123659104131237</c:v>
                </c:pt>
                <c:pt idx="3">
                  <c:v>12.432008981880871</c:v>
                </c:pt>
                <c:pt idx="4">
                  <c:v>12.609164119858441</c:v>
                </c:pt>
                <c:pt idx="5">
                  <c:v>12.33733406386736</c:v>
                </c:pt>
                <c:pt idx="6">
                  <c:v>10.801083945708026</c:v>
                </c:pt>
                <c:pt idx="7">
                  <c:v>10.339173980708871</c:v>
                </c:pt>
                <c:pt idx="8">
                  <c:v>10.377527470633423</c:v>
                </c:pt>
                <c:pt idx="9">
                  <c:v>11.006058815435424</c:v>
                </c:pt>
                <c:pt idx="10">
                  <c:v>11.158921977019576</c:v>
                </c:pt>
                <c:pt idx="11">
                  <c:v>10.068205421739002</c:v>
                </c:pt>
                <c:pt idx="12">
                  <c:v>8.8751979806066004</c:v>
                </c:pt>
                <c:pt idx="13">
                  <c:v>7.528553479603552</c:v>
                </c:pt>
                <c:pt idx="14">
                  <c:v>7.3417689407967544</c:v>
                </c:pt>
                <c:pt idx="15">
                  <c:v>7.7767109073458762</c:v>
                </c:pt>
                <c:pt idx="16">
                  <c:v>7.9026053811338546</c:v>
                </c:pt>
                <c:pt idx="17">
                  <c:v>7.0839390006348673</c:v>
                </c:pt>
                <c:pt idx="18">
                  <c:v>4.5819879458219503</c:v>
                </c:pt>
                <c:pt idx="19">
                  <c:v>4.4639191584053322</c:v>
                </c:pt>
                <c:pt idx="20">
                  <c:v>4.6363656139404563</c:v>
                </c:pt>
                <c:pt idx="21">
                  <c:v>4.0359797293875879</c:v>
                </c:pt>
                <c:pt idx="22">
                  <c:v>3.7847033929834497</c:v>
                </c:pt>
                <c:pt idx="23">
                  <c:v>2.0260435177259453</c:v>
                </c:pt>
                <c:pt idx="24">
                  <c:v>1.2930107398126958</c:v>
                </c:pt>
                <c:pt idx="25">
                  <c:v>0.35614681705388418</c:v>
                </c:pt>
                <c:pt idx="26">
                  <c:v>0.45143174098020855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35-48E2-A95A-AFFA67A9B7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Performance-D1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(D)'!$DY$1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(D)'!$DX$2:$DX$37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(D)'!$DY$2:$DY$37</c:f>
              <c:numCache>
                <c:formatCode>0.00000</c:formatCode>
                <c:ptCount val="36"/>
                <c:pt idx="0">
                  <c:v>17.130460189276139</c:v>
                </c:pt>
                <c:pt idx="1">
                  <c:v>18.417041691198683</c:v>
                </c:pt>
                <c:pt idx="2">
                  <c:v>16.967701427282467</c:v>
                </c:pt>
                <c:pt idx="3">
                  <c:v>13.714061003083197</c:v>
                </c:pt>
                <c:pt idx="4">
                  <c:v>9.5908395702105302</c:v>
                </c:pt>
                <c:pt idx="5">
                  <c:v>5.4371487991861365</c:v>
                </c:pt>
                <c:pt idx="6">
                  <c:v>8.4323106563598031</c:v>
                </c:pt>
                <c:pt idx="7">
                  <c:v>6.9977772992846079</c:v>
                </c:pt>
                <c:pt idx="8">
                  <c:v>2.5423582703446996</c:v>
                </c:pt>
                <c:pt idx="9">
                  <c:v>1.2896295065027159</c:v>
                </c:pt>
                <c:pt idx="10">
                  <c:v>1.5533961817132003</c:v>
                </c:pt>
                <c:pt idx="11">
                  <c:v>1.8931012870339958</c:v>
                </c:pt>
                <c:pt idx="12">
                  <c:v>2.4496212724139239</c:v>
                </c:pt>
                <c:pt idx="13">
                  <c:v>3.9040488837062699</c:v>
                </c:pt>
                <c:pt idx="14">
                  <c:v>0.91389492820921348</c:v>
                </c:pt>
                <c:pt idx="15">
                  <c:v>-7.8494537536107698</c:v>
                </c:pt>
                <c:pt idx="16">
                  <c:v>-5.2859880849673981</c:v>
                </c:pt>
                <c:pt idx="17">
                  <c:v>-6.1594750075299469</c:v>
                </c:pt>
                <c:pt idx="18">
                  <c:v>-5.6635764371436101</c:v>
                </c:pt>
                <c:pt idx="19">
                  <c:v>-3.1658185061551496</c:v>
                </c:pt>
                <c:pt idx="20">
                  <c:v>-3.9231191751403953</c:v>
                </c:pt>
                <c:pt idx="21">
                  <c:v>-4.3415641039005264</c:v>
                </c:pt>
                <c:pt idx="22">
                  <c:v>-3.332312693167379</c:v>
                </c:pt>
                <c:pt idx="23">
                  <c:v>-0.57775120249145084</c:v>
                </c:pt>
                <c:pt idx="24">
                  <c:v>-1.2488203243557927</c:v>
                </c:pt>
                <c:pt idx="25">
                  <c:v>-0.19909182074656745</c:v>
                </c:pt>
                <c:pt idx="26">
                  <c:v>3.0152687511677971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1B-4BA4-90FD-02E7A3B04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 H1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H1'!$DT$1</c:f>
              <c:strCache>
                <c:ptCount val="1"/>
                <c:pt idx="0">
                  <c:v>EU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'SATORI H1'!$DT$2:$DT$37</c:f>
              <c:numCache>
                <c:formatCode>0.00000</c:formatCode>
                <c:ptCount val="36"/>
                <c:pt idx="0">
                  <c:v>0.1363588922317302</c:v>
                </c:pt>
                <c:pt idx="1">
                  <c:v>0.17766339621850424</c:v>
                </c:pt>
                <c:pt idx="2">
                  <c:v>0.25482527466163618</c:v>
                </c:pt>
                <c:pt idx="3">
                  <c:v>0.20455507232406134</c:v>
                </c:pt>
                <c:pt idx="4">
                  <c:v>0.22968385734731067</c:v>
                </c:pt>
                <c:pt idx="5">
                  <c:v>0.1802993676686645</c:v>
                </c:pt>
                <c:pt idx="6">
                  <c:v>0.29151511725385931</c:v>
                </c:pt>
                <c:pt idx="7">
                  <c:v>0.23497839530683057</c:v>
                </c:pt>
                <c:pt idx="8">
                  <c:v>0.23677317966350189</c:v>
                </c:pt>
                <c:pt idx="9">
                  <c:v>0.24933509194544567</c:v>
                </c:pt>
                <c:pt idx="10">
                  <c:v>0.23587408847251823</c:v>
                </c:pt>
                <c:pt idx="11">
                  <c:v>0.23587408847251823</c:v>
                </c:pt>
                <c:pt idx="12">
                  <c:v>0.27534411367951117</c:v>
                </c:pt>
                <c:pt idx="13">
                  <c:v>0.34257733226815407</c:v>
                </c:pt>
                <c:pt idx="14">
                  <c:v>0.35333349016854287</c:v>
                </c:pt>
                <c:pt idx="15">
                  <c:v>0.27529048578199439</c:v>
                </c:pt>
                <c:pt idx="16">
                  <c:v>0.29502160444672565</c:v>
                </c:pt>
                <c:pt idx="17">
                  <c:v>0.31205921272522197</c:v>
                </c:pt>
                <c:pt idx="18">
                  <c:v>0.40165049728505003</c:v>
                </c:pt>
                <c:pt idx="19">
                  <c:v>0.34696993039995994</c:v>
                </c:pt>
                <c:pt idx="20">
                  <c:v>0.26443281112484834</c:v>
                </c:pt>
                <c:pt idx="21">
                  <c:v>0.22673861872293266</c:v>
                </c:pt>
                <c:pt idx="22">
                  <c:v>6.9432419959796224E-2</c:v>
                </c:pt>
                <c:pt idx="23">
                  <c:v>-2.2338763888477303E-2</c:v>
                </c:pt>
                <c:pt idx="24">
                  <c:v>7.1144382178952081E-2</c:v>
                </c:pt>
                <c:pt idx="25">
                  <c:v>-2.0625150336254755E-2</c:v>
                </c:pt>
                <c:pt idx="26">
                  <c:v>7.0162182583587709E-2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A3-4EA8-9A78-10CE8B310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780576"/>
        <c:axId val="1467783456"/>
      </c:lineChart>
      <c:catAx>
        <c:axId val="1467780576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3456"/>
        <c:crosses val="autoZero"/>
        <c:auto val="1"/>
        <c:lblAlgn val="ctr"/>
        <c:lblOffset val="100"/>
        <c:noMultiLvlLbl val="0"/>
      </c:catAx>
      <c:valAx>
        <c:axId val="146778345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H4'!$DT$1</c:f>
              <c:strCache>
                <c:ptCount val="1"/>
                <c:pt idx="0">
                  <c:v>EU-H4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'SATORI H4'!$DT$2:$DT$37</c:f>
              <c:numCache>
                <c:formatCode>0.00000</c:formatCode>
                <c:ptCount val="36"/>
                <c:pt idx="0">
                  <c:v>1.4128663024897152</c:v>
                </c:pt>
                <c:pt idx="1">
                  <c:v>1.5062017897189013</c:v>
                </c:pt>
                <c:pt idx="2">
                  <c:v>1.5133809271455467</c:v>
                </c:pt>
                <c:pt idx="3">
                  <c:v>1.5519539063251022</c:v>
                </c:pt>
                <c:pt idx="4">
                  <c:v>1.5716850249898335</c:v>
                </c:pt>
                <c:pt idx="5">
                  <c:v>1.5411821765620752</c:v>
                </c:pt>
                <c:pt idx="6">
                  <c:v>1.3479237495957945</c:v>
                </c:pt>
                <c:pt idx="7">
                  <c:v>1.2903625458471235</c:v>
                </c:pt>
                <c:pt idx="8">
                  <c:v>1.2957586175069506</c:v>
                </c:pt>
                <c:pt idx="9">
                  <c:v>1.3739404847056067</c:v>
                </c:pt>
                <c:pt idx="10">
                  <c:v>1.3928084092339126</c:v>
                </c:pt>
                <c:pt idx="11">
                  <c:v>1.2578556427021934</c:v>
                </c:pt>
                <c:pt idx="12">
                  <c:v>1.1082845333530988</c:v>
                </c:pt>
                <c:pt idx="13">
                  <c:v>0.94041146705226542</c:v>
                </c:pt>
                <c:pt idx="14">
                  <c:v>0.91693983162093562</c:v>
                </c:pt>
                <c:pt idx="15">
                  <c:v>0.97017403504776278</c:v>
                </c:pt>
                <c:pt idx="16">
                  <c:v>0.98821627192430883</c:v>
                </c:pt>
                <c:pt idx="17">
                  <c:v>0.88526965065046692</c:v>
                </c:pt>
                <c:pt idx="18">
                  <c:v>0.5709295836154219</c:v>
                </c:pt>
                <c:pt idx="19">
                  <c:v>0.55552726601963287</c:v>
                </c:pt>
                <c:pt idx="20">
                  <c:v>0.57817260379747859</c:v>
                </c:pt>
                <c:pt idx="21">
                  <c:v>0.50293351573149603</c:v>
                </c:pt>
                <c:pt idx="22">
                  <c:v>0.4766382470663777</c:v>
                </c:pt>
                <c:pt idx="23">
                  <c:v>0.25217237587525709</c:v>
                </c:pt>
                <c:pt idx="24">
                  <c:v>0.16212325817468889</c:v>
                </c:pt>
                <c:pt idx="25">
                  <c:v>4.3736954559366367E-2</c:v>
                </c:pt>
                <c:pt idx="26">
                  <c:v>5.4663726972898993E-2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BA-47B0-B6BE-3672792658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020432"/>
        <c:axId val="1465044432"/>
      </c:lineChart>
      <c:catAx>
        <c:axId val="1465020432"/>
        <c:scaling>
          <c:orientation val="maxMin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44432"/>
        <c:crosses val="autoZero"/>
        <c:auto val="1"/>
        <c:lblAlgn val="ctr"/>
        <c:lblOffset val="100"/>
        <c:noMultiLvlLbl val="0"/>
      </c:catAx>
      <c:valAx>
        <c:axId val="146504443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2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Market-D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1.1799410029498525E-3"/>
          <c:y val="0.13722966728280961"/>
          <c:w val="0.94742870415534342"/>
          <c:h val="0.85125808687615523"/>
        </c:manualLayout>
      </c:layout>
      <c:lineChart>
        <c:grouping val="standard"/>
        <c:varyColors val="0"/>
        <c:ser>
          <c:idx val="1"/>
          <c:order val="1"/>
          <c:tx>
            <c:strRef>
              <c:f>'SATORI (D)'!$CW$1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(D)'!$CW$2:$CW$37</c:f>
              <c:numCache>
                <c:formatCode>0.00000</c:formatCode>
                <c:ptCount val="36"/>
                <c:pt idx="0">
                  <c:v>-17.980552919411579</c:v>
                </c:pt>
                <c:pt idx="1">
                  <c:v>-19.102020402299352</c:v>
                </c:pt>
                <c:pt idx="2">
                  <c:v>-18.000695065846685</c:v>
                </c:pt>
                <c:pt idx="3">
                  <c:v>-14.364471084839057</c:v>
                </c:pt>
                <c:pt idx="4">
                  <c:v>-10.212758536051178</c:v>
                </c:pt>
                <c:pt idx="5">
                  <c:v>-4.6596430336278338</c:v>
                </c:pt>
                <c:pt idx="6">
                  <c:v>-7.1267222635073413</c:v>
                </c:pt>
                <c:pt idx="7">
                  <c:v>-9.5301039620151489</c:v>
                </c:pt>
                <c:pt idx="8">
                  <c:v>-5.9580450273736361</c:v>
                </c:pt>
                <c:pt idx="9">
                  <c:v>-5.7160772350360114</c:v>
                </c:pt>
                <c:pt idx="10">
                  <c:v>-5.5452027275410556</c:v>
                </c:pt>
                <c:pt idx="11">
                  <c:v>-4.5296160692060212</c:v>
                </c:pt>
                <c:pt idx="12">
                  <c:v>-6.5359295072039405</c:v>
                </c:pt>
                <c:pt idx="13">
                  <c:v>-6.508188184559045</c:v>
                </c:pt>
                <c:pt idx="14">
                  <c:v>-4.2953437803528827</c:v>
                </c:pt>
                <c:pt idx="15">
                  <c:v>1.2082328878112305</c:v>
                </c:pt>
                <c:pt idx="16">
                  <c:v>-0.1187125790304866</c:v>
                </c:pt>
                <c:pt idx="17">
                  <c:v>3.6800015747408135</c:v>
                </c:pt>
                <c:pt idx="18">
                  <c:v>4.9280894067740455</c:v>
                </c:pt>
                <c:pt idx="19">
                  <c:v>3.863212598548567</c:v>
                </c:pt>
                <c:pt idx="20">
                  <c:v>4.0208501457389589</c:v>
                </c:pt>
                <c:pt idx="21">
                  <c:v>2.4891636216398783</c:v>
                </c:pt>
                <c:pt idx="22">
                  <c:v>3.0202641161034669</c:v>
                </c:pt>
                <c:pt idx="23">
                  <c:v>2.2327984477141989</c:v>
                </c:pt>
                <c:pt idx="24">
                  <c:v>1.3636136533352641</c:v>
                </c:pt>
                <c:pt idx="25">
                  <c:v>-0.33344954379672048</c:v>
                </c:pt>
                <c:pt idx="26">
                  <c:v>-3.6061603139747755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EB11-48B7-95F7-3975122E07CA}"/>
            </c:ext>
          </c:extLst>
        </c:ser>
        <c:ser>
          <c:idx val="6"/>
          <c:order val="6"/>
          <c:tx>
            <c:strRef>
              <c:f>'SATORI (D)'!$DB$1</c:f>
              <c:strCache>
                <c:ptCount val="1"/>
                <c:pt idx="0">
                  <c:v>NZD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(D)'!$DB$2:$DB$37</c:f>
              <c:numCache>
                <c:formatCode>0.00000</c:formatCode>
                <c:ptCount val="36"/>
                <c:pt idx="0">
                  <c:v>-5.0306957078103487</c:v>
                </c:pt>
                <c:pt idx="1">
                  <c:v>-4.9937804981018994</c:v>
                </c:pt>
                <c:pt idx="2">
                  <c:v>-4.2462069211857365</c:v>
                </c:pt>
                <c:pt idx="3">
                  <c:v>-5.7427412691620621</c:v>
                </c:pt>
                <c:pt idx="4">
                  <c:v>-9.4496666754283982</c:v>
                </c:pt>
                <c:pt idx="5">
                  <c:v>-13.279406498632563</c:v>
                </c:pt>
                <c:pt idx="6">
                  <c:v>-14.110226168197801</c:v>
                </c:pt>
                <c:pt idx="7">
                  <c:v>-5.8414898791979617</c:v>
                </c:pt>
                <c:pt idx="8">
                  <c:v>-10.117108316728407</c:v>
                </c:pt>
                <c:pt idx="9">
                  <c:v>-12.301721608840621</c:v>
                </c:pt>
                <c:pt idx="10">
                  <c:v>-10.338702001050272</c:v>
                </c:pt>
                <c:pt idx="11">
                  <c:v>-11.901092776530282</c:v>
                </c:pt>
                <c:pt idx="12">
                  <c:v>-19.34837154332612</c:v>
                </c:pt>
                <c:pt idx="13">
                  <c:v>-21.246288530621708</c:v>
                </c:pt>
                <c:pt idx="14">
                  <c:v>-16.523028217464855</c:v>
                </c:pt>
                <c:pt idx="15">
                  <c:v>-12.12588504496304</c:v>
                </c:pt>
                <c:pt idx="16">
                  <c:v>-13.332972388734738</c:v>
                </c:pt>
                <c:pt idx="17">
                  <c:v>-15.943623159061596</c:v>
                </c:pt>
                <c:pt idx="18">
                  <c:v>-18.382028075592018</c:v>
                </c:pt>
                <c:pt idx="19">
                  <c:v>-17.833598717707904</c:v>
                </c:pt>
                <c:pt idx="20">
                  <c:v>-17.790377700258638</c:v>
                </c:pt>
                <c:pt idx="21">
                  <c:v>-13.525514970086617</c:v>
                </c:pt>
                <c:pt idx="22">
                  <c:v>-9.4941595855683616</c:v>
                </c:pt>
                <c:pt idx="23">
                  <c:v>-7.2381811973603476</c:v>
                </c:pt>
                <c:pt idx="24">
                  <c:v>-4.0677618252637719</c:v>
                </c:pt>
                <c:pt idx="25">
                  <c:v>-0.99654468523767037</c:v>
                </c:pt>
                <c:pt idx="26">
                  <c:v>0.58227716874046753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11-48B7-95F7-3975122E0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'SATORI (D)'!$CV$1</c15:sqref>
                        </c15:formulaRef>
                      </c:ext>
                    </c:extLst>
                    <c:strCache>
                      <c:ptCount val="1"/>
                      <c:pt idx="0">
                        <c:v>EUR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(D)'!$CV$2:$CV$37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-0.85009273013544029</c:v>
                      </c:pt>
                      <c:pt idx="1">
                        <c:v>-0.68497871110066844</c:v>
                      </c:pt>
                      <c:pt idx="2">
                        <c:v>-1.0329936385642178</c:v>
                      </c:pt>
                      <c:pt idx="3">
                        <c:v>-0.65041008175585913</c:v>
                      </c:pt>
                      <c:pt idx="4">
                        <c:v>-0.62191896584064787</c:v>
                      </c:pt>
                      <c:pt idx="5">
                        <c:v>0.77750576555830309</c:v>
                      </c:pt>
                      <c:pt idx="6">
                        <c:v>1.3055883928524616</c:v>
                      </c:pt>
                      <c:pt idx="7">
                        <c:v>-2.532326662730541</c:v>
                      </c:pt>
                      <c:pt idx="8">
                        <c:v>-3.4156867570289364</c:v>
                      </c:pt>
                      <c:pt idx="9">
                        <c:v>-4.4264477285332955</c:v>
                      </c:pt>
                      <c:pt idx="10">
                        <c:v>-3.9918065458278553</c:v>
                      </c:pt>
                      <c:pt idx="11">
                        <c:v>-2.6365147821720254</c:v>
                      </c:pt>
                      <c:pt idx="12">
                        <c:v>-4.0863082347900166</c:v>
                      </c:pt>
                      <c:pt idx="13">
                        <c:v>-2.6041393008527751</c:v>
                      </c:pt>
                      <c:pt idx="14">
                        <c:v>-3.3814488521436692</c:v>
                      </c:pt>
                      <c:pt idx="15">
                        <c:v>-6.6412208657995393</c:v>
                      </c:pt>
                      <c:pt idx="16">
                        <c:v>-5.4047006639978843</c:v>
                      </c:pt>
                      <c:pt idx="17">
                        <c:v>-2.4794734327891339</c:v>
                      </c:pt>
                      <c:pt idx="18">
                        <c:v>-0.73548703036956464</c:v>
                      </c:pt>
                      <c:pt idx="19">
                        <c:v>0.69739409239341743</c:v>
                      </c:pt>
                      <c:pt idx="20">
                        <c:v>9.7730970598563616E-2</c:v>
                      </c:pt>
                      <c:pt idx="21">
                        <c:v>-1.8524004822606479</c:v>
                      </c:pt>
                      <c:pt idx="22">
                        <c:v>-0.31204857706391209</c:v>
                      </c:pt>
                      <c:pt idx="23">
                        <c:v>1.655047245222748</c:v>
                      </c:pt>
                      <c:pt idx="24">
                        <c:v>0.11479332897947148</c:v>
                      </c:pt>
                      <c:pt idx="25">
                        <c:v>-0.53254136454328793</c:v>
                      </c:pt>
                      <c:pt idx="26">
                        <c:v>-0.59089156280697841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EB11-48B7-95F7-3975122E07C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-13.158116587406765</c:v>
                      </c:pt>
                      <c:pt idx="1">
                        <c:v>-14.414045779416901</c:v>
                      </c:pt>
                      <c:pt idx="2">
                        <c:v>-14.898768279602962</c:v>
                      </c:pt>
                      <c:pt idx="3">
                        <c:v>-12.037451235913894</c:v>
                      </c:pt>
                      <c:pt idx="4">
                        <c:v>-10.549962489043615</c:v>
                      </c:pt>
                      <c:pt idx="5">
                        <c:v>-7.8857025944764372</c:v>
                      </c:pt>
                      <c:pt idx="6">
                        <c:v>-9.4918613802862186</c:v>
                      </c:pt>
                      <c:pt idx="7">
                        <c:v>-11.462981939883306</c:v>
                      </c:pt>
                      <c:pt idx="8">
                        <c:v>-9.9973089687729697</c:v>
                      </c:pt>
                      <c:pt idx="9">
                        <c:v>-9.0045614425298695</c:v>
                      </c:pt>
                      <c:pt idx="10">
                        <c:v>-9.0929743465323298</c:v>
                      </c:pt>
                      <c:pt idx="11">
                        <c:v>-9.4006253690325394</c:v>
                      </c:pt>
                      <c:pt idx="12">
                        <c:v>-13.03595889450582</c:v>
                      </c:pt>
                      <c:pt idx="13">
                        <c:v>-15.403908254999459</c:v>
                      </c:pt>
                      <c:pt idx="14">
                        <c:v>-15.935305399133275</c:v>
                      </c:pt>
                      <c:pt idx="15">
                        <c:v>-10.426111037362929</c:v>
                      </c:pt>
                      <c:pt idx="16">
                        <c:v>-7.9831008533408614</c:v>
                      </c:pt>
                      <c:pt idx="17">
                        <c:v>-6.6465383965421214</c:v>
                      </c:pt>
                      <c:pt idx="18">
                        <c:v>-5.4626963424873285</c:v>
                      </c:pt>
                      <c:pt idx="19">
                        <c:v>-5.5767438311105675</c:v>
                      </c:pt>
                      <c:pt idx="20">
                        <c:v>-4.7868157011605277</c:v>
                      </c:pt>
                      <c:pt idx="21">
                        <c:v>-5.3107108554611253</c:v>
                      </c:pt>
                      <c:pt idx="22">
                        <c:v>-3.4509634828303701</c:v>
                      </c:pt>
                      <c:pt idx="23">
                        <c:v>-2.6690465179024985</c:v>
                      </c:pt>
                      <c:pt idx="24">
                        <c:v>-1.9824151022612626</c:v>
                      </c:pt>
                      <c:pt idx="25">
                        <c:v>-2.2392186485701195</c:v>
                      </c:pt>
                      <c:pt idx="26">
                        <c:v>-4.203827589333911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B11-48B7-95F7-3975122E07C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15.572963459119389</c:v>
                      </c:pt>
                      <c:pt idx="1">
                        <c:v>14.958940681342874</c:v>
                      </c:pt>
                      <c:pt idx="2">
                        <c:v>13.899061400286199</c:v>
                      </c:pt>
                      <c:pt idx="3">
                        <c:v>10.244364222450763</c:v>
                      </c:pt>
                      <c:pt idx="4">
                        <c:v>11.53369537036777</c:v>
                      </c:pt>
                      <c:pt idx="5">
                        <c:v>11.44599896961482</c:v>
                      </c:pt>
                      <c:pt idx="6">
                        <c:v>15.139745241569468</c:v>
                      </c:pt>
                      <c:pt idx="7">
                        <c:v>13.034123339147502</c:v>
                      </c:pt>
                      <c:pt idx="8">
                        <c:v>16.019208062665392</c:v>
                      </c:pt>
                      <c:pt idx="9">
                        <c:v>16.336604178220476</c:v>
                      </c:pt>
                      <c:pt idx="10">
                        <c:v>15.281925233055606</c:v>
                      </c:pt>
                      <c:pt idx="11">
                        <c:v>20.244365227266123</c:v>
                      </c:pt>
                      <c:pt idx="12">
                        <c:v>26.624269498481322</c:v>
                      </c:pt>
                      <c:pt idx="13">
                        <c:v>25.440523547004837</c:v>
                      </c:pt>
                      <c:pt idx="14">
                        <c:v>22.739885541082753</c:v>
                      </c:pt>
                      <c:pt idx="15">
                        <c:v>16.183729113005327</c:v>
                      </c:pt>
                      <c:pt idx="16">
                        <c:v>11.203063099503492</c:v>
                      </c:pt>
                      <c:pt idx="17">
                        <c:v>11.056157271997154</c:v>
                      </c:pt>
                      <c:pt idx="18">
                        <c:v>9.6076123173161498</c:v>
                      </c:pt>
                      <c:pt idx="19">
                        <c:v>10.55962695995164</c:v>
                      </c:pt>
                      <c:pt idx="20">
                        <c:v>12.449350193447703</c:v>
                      </c:pt>
                      <c:pt idx="21">
                        <c:v>8.2781026402687239</c:v>
                      </c:pt>
                      <c:pt idx="22">
                        <c:v>4.0912363859211069</c:v>
                      </c:pt>
                      <c:pt idx="23">
                        <c:v>4.8520282643516452</c:v>
                      </c:pt>
                      <c:pt idx="24">
                        <c:v>4.7306557114530667</c:v>
                      </c:pt>
                      <c:pt idx="25">
                        <c:v>4.1248486835199483</c:v>
                      </c:pt>
                      <c:pt idx="26">
                        <c:v>4.5394024019846384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B11-48B7-95F7-3975122E07C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-9.8979395632680447</c:v>
                      </c:pt>
                      <c:pt idx="1">
                        <c:v>-11.675262981002618</c:v>
                      </c:pt>
                      <c:pt idx="2">
                        <c:v>-14.0901793323353</c:v>
                      </c:pt>
                      <c:pt idx="3">
                        <c:v>-13.092242487423555</c:v>
                      </c:pt>
                      <c:pt idx="4">
                        <c:v>-11.765443584881314</c:v>
                      </c:pt>
                      <c:pt idx="5">
                        <c:v>-11.91815618651928</c:v>
                      </c:pt>
                      <c:pt idx="6">
                        <c:v>-16.104209579414249</c:v>
                      </c:pt>
                      <c:pt idx="7">
                        <c:v>-16.216642126662649</c:v>
                      </c:pt>
                      <c:pt idx="8">
                        <c:v>-18.756326388401789</c:v>
                      </c:pt>
                      <c:pt idx="9">
                        <c:v>-19.018172084667693</c:v>
                      </c:pt>
                      <c:pt idx="10">
                        <c:v>-19.399159221265492</c:v>
                      </c:pt>
                      <c:pt idx="11">
                        <c:v>-21.904479182224797</c:v>
                      </c:pt>
                      <c:pt idx="12">
                        <c:v>-23.988865675393026</c:v>
                      </c:pt>
                      <c:pt idx="13">
                        <c:v>-18.662638084440381</c:v>
                      </c:pt>
                      <c:pt idx="14">
                        <c:v>-14.666793259419814</c:v>
                      </c:pt>
                      <c:pt idx="15">
                        <c:v>-13.302314683283614</c:v>
                      </c:pt>
                      <c:pt idx="16">
                        <c:v>-7.3585729391972263</c:v>
                      </c:pt>
                      <c:pt idx="17">
                        <c:v>-4.7926234525206404</c:v>
                      </c:pt>
                      <c:pt idx="18">
                        <c:v>-1.9667302158634978</c:v>
                      </c:pt>
                      <c:pt idx="19">
                        <c:v>-2.7890848503613861</c:v>
                      </c:pt>
                      <c:pt idx="20">
                        <c:v>-3.5993837561239523</c:v>
                      </c:pt>
                      <c:pt idx="21">
                        <c:v>-1.6020983148547427</c:v>
                      </c:pt>
                      <c:pt idx="22">
                        <c:v>-1.0436573224636823</c:v>
                      </c:pt>
                      <c:pt idx="23">
                        <c:v>-0.19518443575317199</c:v>
                      </c:pt>
                      <c:pt idx="24">
                        <c:v>-2.4102776894663163</c:v>
                      </c:pt>
                      <c:pt idx="25">
                        <c:v>-2.1893084036511259</c:v>
                      </c:pt>
                      <c:pt idx="26">
                        <c:v>-1.4494008374059264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B11-48B7-95F7-3975122E07C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-18.577040596505629</c:v>
                      </c:pt>
                      <c:pt idx="1">
                        <c:v>-17.645993289026308</c:v>
                      </c:pt>
                      <c:pt idx="2">
                        <c:v>-16.245096572187489</c:v>
                      </c:pt>
                      <c:pt idx="3">
                        <c:v>-14.357099179839773</c:v>
                      </c:pt>
                      <c:pt idx="4">
                        <c:v>-17.650784497626052</c:v>
                      </c:pt>
                      <c:pt idx="5">
                        <c:v>-19.271978931521993</c:v>
                      </c:pt>
                      <c:pt idx="6">
                        <c:v>-23.414647094535258</c:v>
                      </c:pt>
                      <c:pt idx="7">
                        <c:v>-21.339533358596114</c:v>
                      </c:pt>
                      <c:pt idx="8">
                        <c:v>-23.574482414280869</c:v>
                      </c:pt>
                      <c:pt idx="9">
                        <c:v>-25.021518315969107</c:v>
                      </c:pt>
                      <c:pt idx="10">
                        <c:v>-22.391609779007979</c:v>
                      </c:pt>
                      <c:pt idx="11">
                        <c:v>-30.293661489531551</c:v>
                      </c:pt>
                      <c:pt idx="12">
                        <c:v>-32.5244966626245</c:v>
                      </c:pt>
                      <c:pt idx="13">
                        <c:v>-35.144975321890378</c:v>
                      </c:pt>
                      <c:pt idx="14">
                        <c:v>-31.252990510629203</c:v>
                      </c:pt>
                      <c:pt idx="15">
                        <c:v>-26.763833684985116</c:v>
                      </c:pt>
                      <c:pt idx="16">
                        <c:v>-23.210839646109413</c:v>
                      </c:pt>
                      <c:pt idx="17">
                        <c:v>-19.920879079783013</c:v>
                      </c:pt>
                      <c:pt idx="18">
                        <c:v>-17.246806365942795</c:v>
                      </c:pt>
                      <c:pt idx="19">
                        <c:v>-18.632169852175196</c:v>
                      </c:pt>
                      <c:pt idx="20">
                        <c:v>-19.523852375014563</c:v>
                      </c:pt>
                      <c:pt idx="21">
                        <c:v>-15.834305324592332</c:v>
                      </c:pt>
                      <c:pt idx="22">
                        <c:v>-11.087726658145824</c:v>
                      </c:pt>
                      <c:pt idx="23">
                        <c:v>-8.6647139824462354</c:v>
                      </c:pt>
                      <c:pt idx="24">
                        <c:v>-4.5240739278982058</c:v>
                      </c:pt>
                      <c:pt idx="25">
                        <c:v>-3.6002942682277603</c:v>
                      </c:pt>
                      <c:pt idx="26">
                        <c:v>-4.1451694580385929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B11-48B7-95F7-3975122E07C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45.827578921079528</c:v>
                      </c:pt>
                      <c:pt idx="1">
                        <c:v>49.367473574951852</c:v>
                      </c:pt>
                      <c:pt idx="2">
                        <c:v>50.504957093237536</c:v>
                      </c:pt>
                      <c:pt idx="3">
                        <c:v>46.817665116152426</c:v>
                      </c:pt>
                      <c:pt idx="4">
                        <c:v>45.564466805231902</c:v>
                      </c:pt>
                      <c:pt idx="5">
                        <c:v>42.032370018152335</c:v>
                      </c:pt>
                      <c:pt idx="6">
                        <c:v>50.290308311873531</c:v>
                      </c:pt>
                      <c:pt idx="7">
                        <c:v>50.392780422776568</c:v>
                      </c:pt>
                      <c:pt idx="8">
                        <c:v>52.0859529718781</c:v>
                      </c:pt>
                      <c:pt idx="9">
                        <c:v>55.531730358114515</c:v>
                      </c:pt>
                      <c:pt idx="10">
                        <c:v>52.00315658397848</c:v>
                      </c:pt>
                      <c:pt idx="11">
                        <c:v>56.195251892696582</c:v>
                      </c:pt>
                      <c:pt idx="12">
                        <c:v>67.227829519815359</c:v>
                      </c:pt>
                      <c:pt idx="13">
                        <c:v>68.297933307298962</c:v>
                      </c:pt>
                      <c:pt idx="14">
                        <c:v>57.792240198917696</c:v>
                      </c:pt>
                      <c:pt idx="15">
                        <c:v>48.065961779138988</c:v>
                      </c:pt>
                      <c:pt idx="16">
                        <c:v>43.454973196421101</c:v>
                      </c:pt>
                      <c:pt idx="17">
                        <c:v>32.52520737915242</c:v>
                      </c:pt>
                      <c:pt idx="18">
                        <c:v>27.111450875045009</c:v>
                      </c:pt>
                      <c:pt idx="19">
                        <c:v>27.401927221106053</c:v>
                      </c:pt>
                      <c:pt idx="20">
                        <c:v>26.677232103558524</c:v>
                      </c:pt>
                      <c:pt idx="21">
                        <c:v>25.421949723497292</c:v>
                      </c:pt>
                      <c:pt idx="22">
                        <c:v>17.204163344556044</c:v>
                      </c:pt>
                      <c:pt idx="23">
                        <c:v>8.9589995480267017</c:v>
                      </c:pt>
                      <c:pt idx="24">
                        <c:v>5.8168860580948163</c:v>
                      </c:pt>
                      <c:pt idx="25">
                        <c:v>4.8619632976839071</c:v>
                      </c:pt>
                      <c:pt idx="26">
                        <c:v>7.6330829939314482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B11-48B7-95F7-3975122E07CA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Market-H4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'SATORI H4'!$CW$1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H4'!$CU$2:$CU$37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H4'!$CW$2:$CW$37</c:f>
              <c:numCache>
                <c:formatCode>0.00000</c:formatCode>
                <c:ptCount val="36"/>
                <c:pt idx="0">
                  <c:v>-12.778490656748431</c:v>
                </c:pt>
                <c:pt idx="1">
                  <c:v>-14.014935456712985</c:v>
                </c:pt>
                <c:pt idx="2">
                  <c:v>-13.729125112704413</c:v>
                </c:pt>
                <c:pt idx="3">
                  <c:v>-13.811534068281036</c:v>
                </c:pt>
                <c:pt idx="4">
                  <c:v>-13.898923830655164</c:v>
                </c:pt>
                <c:pt idx="5">
                  <c:v>-13.913230672207691</c:v>
                </c:pt>
                <c:pt idx="6">
                  <c:v>-12.468081151515225</c:v>
                </c:pt>
                <c:pt idx="7">
                  <c:v>-11.519162484459503</c:v>
                </c:pt>
                <c:pt idx="8">
                  <c:v>-12.166672316768649</c:v>
                </c:pt>
                <c:pt idx="9">
                  <c:v>-12.940984698415193</c:v>
                </c:pt>
                <c:pt idx="10">
                  <c:v>-12.798165292678242</c:v>
                </c:pt>
                <c:pt idx="11">
                  <c:v>-11.878484339047191</c:v>
                </c:pt>
                <c:pt idx="12">
                  <c:v>-11.01688725009492</c:v>
                </c:pt>
                <c:pt idx="13">
                  <c:v>-9.9878659290746459</c:v>
                </c:pt>
                <c:pt idx="14">
                  <c:v>-8.7183073229119703</c:v>
                </c:pt>
                <c:pt idx="15">
                  <c:v>-9.394773932335216</c:v>
                </c:pt>
                <c:pt idx="16">
                  <c:v>-9.1590714005887737</c:v>
                </c:pt>
                <c:pt idx="17">
                  <c:v>-8.4097345460058044</c:v>
                </c:pt>
                <c:pt idx="18">
                  <c:v>-6.9283634183547385</c:v>
                </c:pt>
                <c:pt idx="19">
                  <c:v>-7.0909439768010465</c:v>
                </c:pt>
                <c:pt idx="20">
                  <c:v>-7.163672630670475</c:v>
                </c:pt>
                <c:pt idx="21">
                  <c:v>-5.069298213357059</c:v>
                </c:pt>
                <c:pt idx="22">
                  <c:v>-5.0181918036872197</c:v>
                </c:pt>
                <c:pt idx="23">
                  <c:v>-3.4965704782691001</c:v>
                </c:pt>
                <c:pt idx="24">
                  <c:v>-2.6667052325413638</c:v>
                </c:pt>
                <c:pt idx="25">
                  <c:v>-1.5892050675150242</c:v>
                </c:pt>
                <c:pt idx="26">
                  <c:v>-0.93910121053793638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97EE-4A86-80FE-116DEDA21828}"/>
            </c:ext>
          </c:extLst>
        </c:ser>
        <c:ser>
          <c:idx val="6"/>
          <c:order val="6"/>
          <c:tx>
            <c:strRef>
              <c:f>'SATORI H4'!$DB$1</c:f>
              <c:strCache>
                <c:ptCount val="1"/>
                <c:pt idx="0">
                  <c:v>NZD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'SATORI H4'!$CU$2:$CU$37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H4'!$DB$2:$DB$37</c:f>
              <c:numCache>
                <c:formatCode>0.00000</c:formatCode>
                <c:ptCount val="36"/>
                <c:pt idx="0">
                  <c:v>8.2232746324077119</c:v>
                </c:pt>
                <c:pt idx="1">
                  <c:v>8.7641229262562561</c:v>
                </c:pt>
                <c:pt idx="2">
                  <c:v>7.7732382911197693</c:v>
                </c:pt>
                <c:pt idx="3">
                  <c:v>8.1098431902830299</c:v>
                </c:pt>
                <c:pt idx="4">
                  <c:v>8.2592892244313401</c:v>
                </c:pt>
                <c:pt idx="5">
                  <c:v>8.1977778754545536</c:v>
                </c:pt>
                <c:pt idx="6">
                  <c:v>8.3387824174806617</c:v>
                </c:pt>
                <c:pt idx="7">
                  <c:v>8.3078338052928586</c:v>
                </c:pt>
                <c:pt idx="8">
                  <c:v>8.2059583839092767</c:v>
                </c:pt>
                <c:pt idx="9">
                  <c:v>10.073256231772476</c:v>
                </c:pt>
                <c:pt idx="10">
                  <c:v>9.0048779444070242</c:v>
                </c:pt>
                <c:pt idx="11">
                  <c:v>8.7964937556033895</c:v>
                </c:pt>
                <c:pt idx="12">
                  <c:v>9.6001378817973606</c:v>
                </c:pt>
                <c:pt idx="13">
                  <c:v>9.5419195714321443</c:v>
                </c:pt>
                <c:pt idx="14">
                  <c:v>8.5370371935274196</c:v>
                </c:pt>
                <c:pt idx="15">
                  <c:v>7.6263799185656431</c:v>
                </c:pt>
                <c:pt idx="16">
                  <c:v>7.5080013865522321</c:v>
                </c:pt>
                <c:pt idx="17">
                  <c:v>5.6093564616135669</c:v>
                </c:pt>
                <c:pt idx="18">
                  <c:v>4.3957105484681325</c:v>
                </c:pt>
                <c:pt idx="19">
                  <c:v>3.9996056054595011</c:v>
                </c:pt>
                <c:pt idx="20">
                  <c:v>5.0724297466695889</c:v>
                </c:pt>
                <c:pt idx="21">
                  <c:v>3.8904601116636512</c:v>
                </c:pt>
                <c:pt idx="22">
                  <c:v>3.8021115563166115</c:v>
                </c:pt>
                <c:pt idx="23">
                  <c:v>3.5405537730745018</c:v>
                </c:pt>
                <c:pt idx="24">
                  <c:v>2.0536625586281678</c:v>
                </c:pt>
                <c:pt idx="25">
                  <c:v>2.4853464279768698</c:v>
                </c:pt>
                <c:pt idx="26">
                  <c:v>2.5817300768434297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97EE-4A86-80FE-116DEDA21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'SATORI H4'!$CV$1</c15:sqref>
                        </c15:formulaRef>
                      </c:ext>
                    </c:extLst>
                    <c:strCache>
                      <c:ptCount val="1"/>
                      <c:pt idx="0">
                        <c:v>EUR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H4'!$CV$2:$CV$37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-1.4544019170701925</c:v>
                      </c:pt>
                      <c:pt idx="1">
                        <c:v>-1.9456570483515525</c:v>
                      </c:pt>
                      <c:pt idx="2">
                        <c:v>-1.6054660085731751</c:v>
                      </c:pt>
                      <c:pt idx="3">
                        <c:v>-1.379525086400164</c:v>
                      </c:pt>
                      <c:pt idx="4">
                        <c:v>-1.2897597107967225</c:v>
                      </c:pt>
                      <c:pt idx="5">
                        <c:v>-1.5758966083403316</c:v>
                      </c:pt>
                      <c:pt idx="6">
                        <c:v>-1.6669972058071987</c:v>
                      </c:pt>
                      <c:pt idx="7">
                        <c:v>-1.179988503750633</c:v>
                      </c:pt>
                      <c:pt idx="8">
                        <c:v>-1.7891448461352262</c:v>
                      </c:pt>
                      <c:pt idx="9">
                        <c:v>-1.9349258829797695</c:v>
                      </c:pt>
                      <c:pt idx="10">
                        <c:v>-1.6392433156586654</c:v>
                      </c:pt>
                      <c:pt idx="11">
                        <c:v>-1.8102789173081892</c:v>
                      </c:pt>
                      <c:pt idx="12">
                        <c:v>-2.1416892694883201</c:v>
                      </c:pt>
                      <c:pt idx="13">
                        <c:v>-2.4593124494710938</c:v>
                      </c:pt>
                      <c:pt idx="14">
                        <c:v>-1.376538382115216</c:v>
                      </c:pt>
                      <c:pt idx="15">
                        <c:v>-1.6180630249893395</c:v>
                      </c:pt>
                      <c:pt idx="16">
                        <c:v>-1.2564660194549195</c:v>
                      </c:pt>
                      <c:pt idx="17">
                        <c:v>-1.3257955453709371</c:v>
                      </c:pt>
                      <c:pt idx="18">
                        <c:v>-2.3463754725327877</c:v>
                      </c:pt>
                      <c:pt idx="19">
                        <c:v>-2.6270248183957139</c:v>
                      </c:pt>
                      <c:pt idx="20">
                        <c:v>-2.5273070167300187</c:v>
                      </c:pt>
                      <c:pt idx="21">
                        <c:v>-1.0333184839694713</c:v>
                      </c:pt>
                      <c:pt idx="22">
                        <c:v>-1.2334884107037702</c:v>
                      </c:pt>
                      <c:pt idx="23">
                        <c:v>-1.4705269605431548</c:v>
                      </c:pt>
                      <c:pt idx="24">
                        <c:v>-1.3736944927286681</c:v>
                      </c:pt>
                      <c:pt idx="25">
                        <c:v>-1.23305825046114</c:v>
                      </c:pt>
                      <c:pt idx="26">
                        <c:v>-0.48766946955772783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97EE-4A86-80FE-116DEDA21828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-4.5480296503108848</c:v>
                      </c:pt>
                      <c:pt idx="1">
                        <c:v>-4.9620656031323769</c:v>
                      </c:pt>
                      <c:pt idx="2">
                        <c:v>-5.2581152274421106</c:v>
                      </c:pt>
                      <c:pt idx="3">
                        <c:v>-5.3004065958574689</c:v>
                      </c:pt>
                      <c:pt idx="4">
                        <c:v>-5.8033892012675148</c:v>
                      </c:pt>
                      <c:pt idx="5">
                        <c:v>-5.6253085295348146</c:v>
                      </c:pt>
                      <c:pt idx="6">
                        <c:v>-4.6706061308281983</c:v>
                      </c:pt>
                      <c:pt idx="7">
                        <c:v>-4.5022917651826404</c:v>
                      </c:pt>
                      <c:pt idx="8">
                        <c:v>-5.3296434758845805</c:v>
                      </c:pt>
                      <c:pt idx="9">
                        <c:v>-6.2220399915168656</c:v>
                      </c:pt>
                      <c:pt idx="10">
                        <c:v>-6.2885916042142131</c:v>
                      </c:pt>
                      <c:pt idx="11">
                        <c:v>-5.981738023114973</c:v>
                      </c:pt>
                      <c:pt idx="12">
                        <c:v>-4.524263743232332</c:v>
                      </c:pt>
                      <c:pt idx="13">
                        <c:v>-3.2657836314136146</c:v>
                      </c:pt>
                      <c:pt idx="14">
                        <c:v>-3.1661799893820866</c:v>
                      </c:pt>
                      <c:pt idx="15">
                        <c:v>-3.7321033907702419</c:v>
                      </c:pt>
                      <c:pt idx="16">
                        <c:v>-3.425065517632496</c:v>
                      </c:pt>
                      <c:pt idx="17">
                        <c:v>-3.6015856153984318</c:v>
                      </c:pt>
                      <c:pt idx="18">
                        <c:v>-3.4691428141400129</c:v>
                      </c:pt>
                      <c:pt idx="19">
                        <c:v>-3.7361084744054676</c:v>
                      </c:pt>
                      <c:pt idx="20">
                        <c:v>-3.2864158034376088</c:v>
                      </c:pt>
                      <c:pt idx="21">
                        <c:v>-1.5429983868875694</c:v>
                      </c:pt>
                      <c:pt idx="22">
                        <c:v>-1.9465525297694839</c:v>
                      </c:pt>
                      <c:pt idx="23">
                        <c:v>-1.3959204358563211</c:v>
                      </c:pt>
                      <c:pt idx="24">
                        <c:v>-2.3457597900459564</c:v>
                      </c:pt>
                      <c:pt idx="25">
                        <c:v>-1.0446643379757128</c:v>
                      </c:pt>
                      <c:pt idx="26">
                        <c:v>-0.55650532945770648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EE-4A86-80FE-116DEDA2182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4.0625652624477082</c:v>
                      </c:pt>
                      <c:pt idx="1">
                        <c:v>3.7748373274333842</c:v>
                      </c:pt>
                      <c:pt idx="2">
                        <c:v>3.8466486552574284</c:v>
                      </c:pt>
                      <c:pt idx="3">
                        <c:v>3.4604233691102939</c:v>
                      </c:pt>
                      <c:pt idx="4">
                        <c:v>3.4495174345177904</c:v>
                      </c:pt>
                      <c:pt idx="5">
                        <c:v>3.6995711460371128</c:v>
                      </c:pt>
                      <c:pt idx="6">
                        <c:v>2.8864752841209684</c:v>
                      </c:pt>
                      <c:pt idx="7">
                        <c:v>2.7388063397626961</c:v>
                      </c:pt>
                      <c:pt idx="8">
                        <c:v>2.9175756109174054</c:v>
                      </c:pt>
                      <c:pt idx="9">
                        <c:v>2.6735422692103921</c:v>
                      </c:pt>
                      <c:pt idx="10">
                        <c:v>2.3905039754494428</c:v>
                      </c:pt>
                      <c:pt idx="11">
                        <c:v>1.4666355251216663</c:v>
                      </c:pt>
                      <c:pt idx="12">
                        <c:v>6.2262083433065607E-3</c:v>
                      </c:pt>
                      <c:pt idx="13">
                        <c:v>0.27541411507907698</c:v>
                      </c:pt>
                      <c:pt idx="14">
                        <c:v>-0.18682948643953434</c:v>
                      </c:pt>
                      <c:pt idx="15">
                        <c:v>-0.74647766567698426</c:v>
                      </c:pt>
                      <c:pt idx="16">
                        <c:v>-1.2745498169405596</c:v>
                      </c:pt>
                      <c:pt idx="17">
                        <c:v>-0.7765188484214316</c:v>
                      </c:pt>
                      <c:pt idx="18">
                        <c:v>-1.3647250803728324</c:v>
                      </c:pt>
                      <c:pt idx="19">
                        <c:v>-0.90963177282400842</c:v>
                      </c:pt>
                      <c:pt idx="20">
                        <c:v>-0.36970217493011936</c:v>
                      </c:pt>
                      <c:pt idx="21">
                        <c:v>-0.5932646866852519</c:v>
                      </c:pt>
                      <c:pt idx="22">
                        <c:v>1.0728667707288059E-2</c:v>
                      </c:pt>
                      <c:pt idx="23">
                        <c:v>-0.56555654210028083</c:v>
                      </c:pt>
                      <c:pt idx="24">
                        <c:v>1.3273289279710259</c:v>
                      </c:pt>
                      <c:pt idx="25">
                        <c:v>0.95702872338376233</c:v>
                      </c:pt>
                      <c:pt idx="26">
                        <c:v>-0.38900469820366179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EE-4A86-80FE-116DEDA2182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1.9246426533636332</c:v>
                      </c:pt>
                      <c:pt idx="1">
                        <c:v>1.3975499114078613</c:v>
                      </c:pt>
                      <c:pt idx="2">
                        <c:v>-0.147277331082074</c:v>
                      </c:pt>
                      <c:pt idx="3">
                        <c:v>0.13619728339892859</c:v>
                      </c:pt>
                      <c:pt idx="4">
                        <c:v>0.14727029525622268</c:v>
                      </c:pt>
                      <c:pt idx="5">
                        <c:v>3.6309137308281891E-2</c:v>
                      </c:pt>
                      <c:pt idx="6">
                        <c:v>-1.2232700459369508</c:v>
                      </c:pt>
                      <c:pt idx="7">
                        <c:v>-2.2427149439159937</c:v>
                      </c:pt>
                      <c:pt idx="8">
                        <c:v>-2.0658250924151877</c:v>
                      </c:pt>
                      <c:pt idx="9">
                        <c:v>-2.332940730517767</c:v>
                      </c:pt>
                      <c:pt idx="10">
                        <c:v>-2.2667664436125912</c:v>
                      </c:pt>
                      <c:pt idx="11">
                        <c:v>-1.8711408164962471</c:v>
                      </c:pt>
                      <c:pt idx="12">
                        <c:v>-0.8788431735757779</c:v>
                      </c:pt>
                      <c:pt idx="13">
                        <c:v>-1.4643226307079706</c:v>
                      </c:pt>
                      <c:pt idx="14">
                        <c:v>-1.4867391420593923</c:v>
                      </c:pt>
                      <c:pt idx="15">
                        <c:v>-1.8299395457178398</c:v>
                      </c:pt>
                      <c:pt idx="16">
                        <c:v>-1.267844768197667</c:v>
                      </c:pt>
                      <c:pt idx="17">
                        <c:v>-1.0606448375453721</c:v>
                      </c:pt>
                      <c:pt idx="18">
                        <c:v>-1.4896991353682876</c:v>
                      </c:pt>
                      <c:pt idx="19">
                        <c:v>-0.34561043637588729</c:v>
                      </c:pt>
                      <c:pt idx="20">
                        <c:v>-1.5725215100445158</c:v>
                      </c:pt>
                      <c:pt idx="21">
                        <c:v>0.12202331734571421</c:v>
                      </c:pt>
                      <c:pt idx="22">
                        <c:v>5.3311170753191583E-2</c:v>
                      </c:pt>
                      <c:pt idx="23">
                        <c:v>8.3141819633533787E-2</c:v>
                      </c:pt>
                      <c:pt idx="24">
                        <c:v>-0.55610588748124712</c:v>
                      </c:pt>
                      <c:pt idx="25">
                        <c:v>-0.2071955166523419</c:v>
                      </c:pt>
                      <c:pt idx="26">
                        <c:v>-0.33469522449893779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EE-4A86-80FE-116DEDA21828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0.80805846110219681</c:v>
                      </c:pt>
                      <c:pt idx="1">
                        <c:v>1.839495008674517</c:v>
                      </c:pt>
                      <c:pt idx="2">
                        <c:v>0.85931082139343729</c:v>
                      </c:pt>
                      <c:pt idx="3">
                        <c:v>1.7490294709297594</c:v>
                      </c:pt>
                      <c:pt idx="4">
                        <c:v>1.7375737107744864</c:v>
                      </c:pt>
                      <c:pt idx="5">
                        <c:v>1.4033519740606792</c:v>
                      </c:pt>
                      <c:pt idx="6">
                        <c:v>3.0350094156299559</c:v>
                      </c:pt>
                      <c:pt idx="7">
                        <c:v>3.1290504744026282</c:v>
                      </c:pt>
                      <c:pt idx="8">
                        <c:v>3.5026357756975397</c:v>
                      </c:pt>
                      <c:pt idx="9">
                        <c:v>3.4104638992487804</c:v>
                      </c:pt>
                      <c:pt idx="10">
                        <c:v>3.1362324811073785</c:v>
                      </c:pt>
                      <c:pt idx="11">
                        <c:v>2.8331685778281175</c:v>
                      </c:pt>
                      <c:pt idx="12">
                        <c:v>4.3102696677173684</c:v>
                      </c:pt>
                      <c:pt idx="13">
                        <c:v>3.7479303973754314</c:v>
                      </c:pt>
                      <c:pt idx="14">
                        <c:v>3.82497452957384</c:v>
                      </c:pt>
                      <c:pt idx="15">
                        <c:v>4.1193857175598421</c:v>
                      </c:pt>
                      <c:pt idx="16">
                        <c:v>5.0258742469772901</c:v>
                      </c:pt>
                      <c:pt idx="17">
                        <c:v>4.3517761310807463</c:v>
                      </c:pt>
                      <c:pt idx="18">
                        <c:v>3.0604041541340608</c:v>
                      </c:pt>
                      <c:pt idx="19">
                        <c:v>1.8763449608576506</c:v>
                      </c:pt>
                      <c:pt idx="20">
                        <c:v>1.678896475111251</c:v>
                      </c:pt>
                      <c:pt idx="21">
                        <c:v>2.8545281143069938</c:v>
                      </c:pt>
                      <c:pt idx="22">
                        <c:v>1.7284595270183372</c:v>
                      </c:pt>
                      <c:pt idx="23">
                        <c:v>1.5823144095435711</c:v>
                      </c:pt>
                      <c:pt idx="24">
                        <c:v>-1.1091042339830424</c:v>
                      </c:pt>
                      <c:pt idx="25">
                        <c:v>0.63778746126478603</c:v>
                      </c:pt>
                      <c:pt idx="26">
                        <c:v>0.55318802914752918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EE-4A86-80FE-116DEDA21828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2.5349526631211283</c:v>
                      </c:pt>
                      <c:pt idx="1">
                        <c:v>3.9016799634580361</c:v>
                      </c:pt>
                      <c:pt idx="2">
                        <c:v>6.9615553130801064</c:v>
                      </c:pt>
                      <c:pt idx="3">
                        <c:v>5.7877817766176971</c:v>
                      </c:pt>
                      <c:pt idx="4">
                        <c:v>6.0752102679612037</c:v>
                      </c:pt>
                      <c:pt idx="5">
                        <c:v>6.4462322570741479</c:v>
                      </c:pt>
                      <c:pt idx="6">
                        <c:v>4.6890783411555521</c:v>
                      </c:pt>
                      <c:pt idx="7">
                        <c:v>4.2334227005426328</c:v>
                      </c:pt>
                      <c:pt idx="8">
                        <c:v>5.5482185685964529</c:v>
                      </c:pt>
                      <c:pt idx="9">
                        <c:v>6.004202436246187</c:v>
                      </c:pt>
                      <c:pt idx="10">
                        <c:v>7.2172445365535101</c:v>
                      </c:pt>
                      <c:pt idx="11">
                        <c:v>7.3813384483346649</c:v>
                      </c:pt>
                      <c:pt idx="12">
                        <c:v>3.9964289926666456</c:v>
                      </c:pt>
                      <c:pt idx="13">
                        <c:v>3.1058860972454592</c:v>
                      </c:pt>
                      <c:pt idx="14">
                        <c:v>2.148705796561285</c:v>
                      </c:pt>
                      <c:pt idx="15">
                        <c:v>5.1501332170891265</c:v>
                      </c:pt>
                      <c:pt idx="16">
                        <c:v>3.5358522927655938</c:v>
                      </c:pt>
                      <c:pt idx="17">
                        <c:v>4.8097286957234084</c:v>
                      </c:pt>
                      <c:pt idx="18">
                        <c:v>7.8430467531502117</c:v>
                      </c:pt>
                      <c:pt idx="19">
                        <c:v>8.4298419647471832</c:v>
                      </c:pt>
                      <c:pt idx="20">
                        <c:v>7.7521119431056142</c:v>
                      </c:pt>
                      <c:pt idx="21">
                        <c:v>1.2364487828637483</c:v>
                      </c:pt>
                      <c:pt idx="22">
                        <c:v>2.3197148964041858</c:v>
                      </c:pt>
                      <c:pt idx="23">
                        <c:v>1.6058209144604056</c:v>
                      </c:pt>
                      <c:pt idx="24">
                        <c:v>4.1451029889205095</c:v>
                      </c:pt>
                      <c:pt idx="25">
                        <c:v>-0.29120718480598773</c:v>
                      </c:pt>
                      <c:pt idx="26">
                        <c:v>-0.4531445805648312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EE-4A86-80FE-116DEDA21828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Market-H4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'SATORI H4'!$CW$1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H4'!$CU$2:$CU$37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H4'!$CW$2:$CW$37</c:f>
              <c:numCache>
                <c:formatCode>0.00000</c:formatCode>
                <c:ptCount val="36"/>
                <c:pt idx="0">
                  <c:v>-12.778490656748431</c:v>
                </c:pt>
                <c:pt idx="1">
                  <c:v>-14.014935456712985</c:v>
                </c:pt>
                <c:pt idx="2">
                  <c:v>-13.729125112704413</c:v>
                </c:pt>
                <c:pt idx="3">
                  <c:v>-13.811534068281036</c:v>
                </c:pt>
                <c:pt idx="4">
                  <c:v>-13.898923830655164</c:v>
                </c:pt>
                <c:pt idx="5">
                  <c:v>-13.913230672207691</c:v>
                </c:pt>
                <c:pt idx="6">
                  <c:v>-12.468081151515225</c:v>
                </c:pt>
                <c:pt idx="7">
                  <c:v>-11.519162484459503</c:v>
                </c:pt>
                <c:pt idx="8">
                  <c:v>-12.166672316768649</c:v>
                </c:pt>
                <c:pt idx="9">
                  <c:v>-12.940984698415193</c:v>
                </c:pt>
                <c:pt idx="10">
                  <c:v>-12.798165292678242</c:v>
                </c:pt>
                <c:pt idx="11">
                  <c:v>-11.878484339047191</c:v>
                </c:pt>
                <c:pt idx="12">
                  <c:v>-11.01688725009492</c:v>
                </c:pt>
                <c:pt idx="13">
                  <c:v>-9.9878659290746459</c:v>
                </c:pt>
                <c:pt idx="14">
                  <c:v>-8.7183073229119703</c:v>
                </c:pt>
                <c:pt idx="15">
                  <c:v>-9.394773932335216</c:v>
                </c:pt>
                <c:pt idx="16">
                  <c:v>-9.1590714005887737</c:v>
                </c:pt>
                <c:pt idx="17">
                  <c:v>-8.4097345460058044</c:v>
                </c:pt>
                <c:pt idx="18">
                  <c:v>-6.9283634183547385</c:v>
                </c:pt>
                <c:pt idx="19">
                  <c:v>-7.0909439768010465</c:v>
                </c:pt>
                <c:pt idx="20">
                  <c:v>-7.163672630670475</c:v>
                </c:pt>
                <c:pt idx="21">
                  <c:v>-5.069298213357059</c:v>
                </c:pt>
                <c:pt idx="22">
                  <c:v>-5.0181918036872197</c:v>
                </c:pt>
                <c:pt idx="23">
                  <c:v>-3.4965704782691001</c:v>
                </c:pt>
                <c:pt idx="24">
                  <c:v>-2.6667052325413638</c:v>
                </c:pt>
                <c:pt idx="25">
                  <c:v>-1.5892050675150242</c:v>
                </c:pt>
                <c:pt idx="26">
                  <c:v>-0.93910121053793638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1C84-4396-8670-6D4DFF7DB3A5}"/>
            </c:ext>
          </c:extLst>
        </c:ser>
        <c:ser>
          <c:idx val="6"/>
          <c:order val="6"/>
          <c:tx>
            <c:strRef>
              <c:f>'SATORI H4'!$DB$1</c:f>
              <c:strCache>
                <c:ptCount val="1"/>
                <c:pt idx="0">
                  <c:v>NZD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'SATORI H4'!$CU$2:$CU$37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H4'!$DB$2:$DB$37</c:f>
              <c:numCache>
                <c:formatCode>0.00000</c:formatCode>
                <c:ptCount val="36"/>
                <c:pt idx="0">
                  <c:v>8.2232746324077119</c:v>
                </c:pt>
                <c:pt idx="1">
                  <c:v>8.7641229262562561</c:v>
                </c:pt>
                <c:pt idx="2">
                  <c:v>7.7732382911197693</c:v>
                </c:pt>
                <c:pt idx="3">
                  <c:v>8.1098431902830299</c:v>
                </c:pt>
                <c:pt idx="4">
                  <c:v>8.2592892244313401</c:v>
                </c:pt>
                <c:pt idx="5">
                  <c:v>8.1977778754545536</c:v>
                </c:pt>
                <c:pt idx="6">
                  <c:v>8.3387824174806617</c:v>
                </c:pt>
                <c:pt idx="7">
                  <c:v>8.3078338052928586</c:v>
                </c:pt>
                <c:pt idx="8">
                  <c:v>8.2059583839092767</c:v>
                </c:pt>
                <c:pt idx="9">
                  <c:v>10.073256231772476</c:v>
                </c:pt>
                <c:pt idx="10">
                  <c:v>9.0048779444070242</c:v>
                </c:pt>
                <c:pt idx="11">
                  <c:v>8.7964937556033895</c:v>
                </c:pt>
                <c:pt idx="12">
                  <c:v>9.6001378817973606</c:v>
                </c:pt>
                <c:pt idx="13">
                  <c:v>9.5419195714321443</c:v>
                </c:pt>
                <c:pt idx="14">
                  <c:v>8.5370371935274196</c:v>
                </c:pt>
                <c:pt idx="15">
                  <c:v>7.6263799185656431</c:v>
                </c:pt>
                <c:pt idx="16">
                  <c:v>7.5080013865522321</c:v>
                </c:pt>
                <c:pt idx="17">
                  <c:v>5.6093564616135669</c:v>
                </c:pt>
                <c:pt idx="18">
                  <c:v>4.3957105484681325</c:v>
                </c:pt>
                <c:pt idx="19">
                  <c:v>3.9996056054595011</c:v>
                </c:pt>
                <c:pt idx="20">
                  <c:v>5.0724297466695889</c:v>
                </c:pt>
                <c:pt idx="21">
                  <c:v>3.8904601116636512</c:v>
                </c:pt>
                <c:pt idx="22">
                  <c:v>3.8021115563166115</c:v>
                </c:pt>
                <c:pt idx="23">
                  <c:v>3.5405537730745018</c:v>
                </c:pt>
                <c:pt idx="24">
                  <c:v>2.0536625586281678</c:v>
                </c:pt>
                <c:pt idx="25">
                  <c:v>2.4853464279768698</c:v>
                </c:pt>
                <c:pt idx="26">
                  <c:v>2.5817300768434297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1C84-4396-8670-6D4DFF7DB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'SATORI H4'!$CV$1</c15:sqref>
                        </c15:formulaRef>
                      </c:ext>
                    </c:extLst>
                    <c:strCache>
                      <c:ptCount val="1"/>
                      <c:pt idx="0">
                        <c:v>EUR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H4'!$CV$2:$CV$37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-1.4544019170701925</c:v>
                      </c:pt>
                      <c:pt idx="1">
                        <c:v>-1.9456570483515525</c:v>
                      </c:pt>
                      <c:pt idx="2">
                        <c:v>-1.6054660085731751</c:v>
                      </c:pt>
                      <c:pt idx="3">
                        <c:v>-1.379525086400164</c:v>
                      </c:pt>
                      <c:pt idx="4">
                        <c:v>-1.2897597107967225</c:v>
                      </c:pt>
                      <c:pt idx="5">
                        <c:v>-1.5758966083403316</c:v>
                      </c:pt>
                      <c:pt idx="6">
                        <c:v>-1.6669972058071987</c:v>
                      </c:pt>
                      <c:pt idx="7">
                        <c:v>-1.179988503750633</c:v>
                      </c:pt>
                      <c:pt idx="8">
                        <c:v>-1.7891448461352262</c:v>
                      </c:pt>
                      <c:pt idx="9">
                        <c:v>-1.9349258829797695</c:v>
                      </c:pt>
                      <c:pt idx="10">
                        <c:v>-1.6392433156586654</c:v>
                      </c:pt>
                      <c:pt idx="11">
                        <c:v>-1.8102789173081892</c:v>
                      </c:pt>
                      <c:pt idx="12">
                        <c:v>-2.1416892694883201</c:v>
                      </c:pt>
                      <c:pt idx="13">
                        <c:v>-2.4593124494710938</c:v>
                      </c:pt>
                      <c:pt idx="14">
                        <c:v>-1.376538382115216</c:v>
                      </c:pt>
                      <c:pt idx="15">
                        <c:v>-1.6180630249893395</c:v>
                      </c:pt>
                      <c:pt idx="16">
                        <c:v>-1.2564660194549195</c:v>
                      </c:pt>
                      <c:pt idx="17">
                        <c:v>-1.3257955453709371</c:v>
                      </c:pt>
                      <c:pt idx="18">
                        <c:v>-2.3463754725327877</c:v>
                      </c:pt>
                      <c:pt idx="19">
                        <c:v>-2.6270248183957139</c:v>
                      </c:pt>
                      <c:pt idx="20">
                        <c:v>-2.5273070167300187</c:v>
                      </c:pt>
                      <c:pt idx="21">
                        <c:v>-1.0333184839694713</c:v>
                      </c:pt>
                      <c:pt idx="22">
                        <c:v>-1.2334884107037702</c:v>
                      </c:pt>
                      <c:pt idx="23">
                        <c:v>-1.4705269605431548</c:v>
                      </c:pt>
                      <c:pt idx="24">
                        <c:v>-1.3736944927286681</c:v>
                      </c:pt>
                      <c:pt idx="25">
                        <c:v>-1.23305825046114</c:v>
                      </c:pt>
                      <c:pt idx="26">
                        <c:v>-0.48766946955772783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C84-4396-8670-6D4DFF7DB3A5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-4.5480296503108848</c:v>
                      </c:pt>
                      <c:pt idx="1">
                        <c:v>-4.9620656031323769</c:v>
                      </c:pt>
                      <c:pt idx="2">
                        <c:v>-5.2581152274421106</c:v>
                      </c:pt>
                      <c:pt idx="3">
                        <c:v>-5.3004065958574689</c:v>
                      </c:pt>
                      <c:pt idx="4">
                        <c:v>-5.8033892012675148</c:v>
                      </c:pt>
                      <c:pt idx="5">
                        <c:v>-5.6253085295348146</c:v>
                      </c:pt>
                      <c:pt idx="6">
                        <c:v>-4.6706061308281983</c:v>
                      </c:pt>
                      <c:pt idx="7">
                        <c:v>-4.5022917651826404</c:v>
                      </c:pt>
                      <c:pt idx="8">
                        <c:v>-5.3296434758845805</c:v>
                      </c:pt>
                      <c:pt idx="9">
                        <c:v>-6.2220399915168656</c:v>
                      </c:pt>
                      <c:pt idx="10">
                        <c:v>-6.2885916042142131</c:v>
                      </c:pt>
                      <c:pt idx="11">
                        <c:v>-5.981738023114973</c:v>
                      </c:pt>
                      <c:pt idx="12">
                        <c:v>-4.524263743232332</c:v>
                      </c:pt>
                      <c:pt idx="13">
                        <c:v>-3.2657836314136146</c:v>
                      </c:pt>
                      <c:pt idx="14">
                        <c:v>-3.1661799893820866</c:v>
                      </c:pt>
                      <c:pt idx="15">
                        <c:v>-3.7321033907702419</c:v>
                      </c:pt>
                      <c:pt idx="16">
                        <c:v>-3.425065517632496</c:v>
                      </c:pt>
                      <c:pt idx="17">
                        <c:v>-3.6015856153984318</c:v>
                      </c:pt>
                      <c:pt idx="18">
                        <c:v>-3.4691428141400129</c:v>
                      </c:pt>
                      <c:pt idx="19">
                        <c:v>-3.7361084744054676</c:v>
                      </c:pt>
                      <c:pt idx="20">
                        <c:v>-3.2864158034376088</c:v>
                      </c:pt>
                      <c:pt idx="21">
                        <c:v>-1.5429983868875694</c:v>
                      </c:pt>
                      <c:pt idx="22">
                        <c:v>-1.9465525297694839</c:v>
                      </c:pt>
                      <c:pt idx="23">
                        <c:v>-1.3959204358563211</c:v>
                      </c:pt>
                      <c:pt idx="24">
                        <c:v>-2.3457597900459564</c:v>
                      </c:pt>
                      <c:pt idx="25">
                        <c:v>-1.0446643379757128</c:v>
                      </c:pt>
                      <c:pt idx="26">
                        <c:v>-0.55650532945770648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C84-4396-8670-6D4DFF7DB3A5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4.0625652624477082</c:v>
                      </c:pt>
                      <c:pt idx="1">
                        <c:v>3.7748373274333842</c:v>
                      </c:pt>
                      <c:pt idx="2">
                        <c:v>3.8466486552574284</c:v>
                      </c:pt>
                      <c:pt idx="3">
                        <c:v>3.4604233691102939</c:v>
                      </c:pt>
                      <c:pt idx="4">
                        <c:v>3.4495174345177904</c:v>
                      </c:pt>
                      <c:pt idx="5">
                        <c:v>3.6995711460371128</c:v>
                      </c:pt>
                      <c:pt idx="6">
                        <c:v>2.8864752841209684</c:v>
                      </c:pt>
                      <c:pt idx="7">
                        <c:v>2.7388063397626961</c:v>
                      </c:pt>
                      <c:pt idx="8">
                        <c:v>2.9175756109174054</c:v>
                      </c:pt>
                      <c:pt idx="9">
                        <c:v>2.6735422692103921</c:v>
                      </c:pt>
                      <c:pt idx="10">
                        <c:v>2.3905039754494428</c:v>
                      </c:pt>
                      <c:pt idx="11">
                        <c:v>1.4666355251216663</c:v>
                      </c:pt>
                      <c:pt idx="12">
                        <c:v>6.2262083433065607E-3</c:v>
                      </c:pt>
                      <c:pt idx="13">
                        <c:v>0.27541411507907698</c:v>
                      </c:pt>
                      <c:pt idx="14">
                        <c:v>-0.18682948643953434</c:v>
                      </c:pt>
                      <c:pt idx="15">
                        <c:v>-0.74647766567698426</c:v>
                      </c:pt>
                      <c:pt idx="16">
                        <c:v>-1.2745498169405596</c:v>
                      </c:pt>
                      <c:pt idx="17">
                        <c:v>-0.7765188484214316</c:v>
                      </c:pt>
                      <c:pt idx="18">
                        <c:v>-1.3647250803728324</c:v>
                      </c:pt>
                      <c:pt idx="19">
                        <c:v>-0.90963177282400842</c:v>
                      </c:pt>
                      <c:pt idx="20">
                        <c:v>-0.36970217493011936</c:v>
                      </c:pt>
                      <c:pt idx="21">
                        <c:v>-0.5932646866852519</c:v>
                      </c:pt>
                      <c:pt idx="22">
                        <c:v>1.0728667707288059E-2</c:v>
                      </c:pt>
                      <c:pt idx="23">
                        <c:v>-0.56555654210028083</c:v>
                      </c:pt>
                      <c:pt idx="24">
                        <c:v>1.3273289279710259</c:v>
                      </c:pt>
                      <c:pt idx="25">
                        <c:v>0.95702872338376233</c:v>
                      </c:pt>
                      <c:pt idx="26">
                        <c:v>-0.38900469820366179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C84-4396-8670-6D4DFF7DB3A5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1.9246426533636332</c:v>
                      </c:pt>
                      <c:pt idx="1">
                        <c:v>1.3975499114078613</c:v>
                      </c:pt>
                      <c:pt idx="2">
                        <c:v>-0.147277331082074</c:v>
                      </c:pt>
                      <c:pt idx="3">
                        <c:v>0.13619728339892859</c:v>
                      </c:pt>
                      <c:pt idx="4">
                        <c:v>0.14727029525622268</c:v>
                      </c:pt>
                      <c:pt idx="5">
                        <c:v>3.6309137308281891E-2</c:v>
                      </c:pt>
                      <c:pt idx="6">
                        <c:v>-1.2232700459369508</c:v>
                      </c:pt>
                      <c:pt idx="7">
                        <c:v>-2.2427149439159937</c:v>
                      </c:pt>
                      <c:pt idx="8">
                        <c:v>-2.0658250924151877</c:v>
                      </c:pt>
                      <c:pt idx="9">
                        <c:v>-2.332940730517767</c:v>
                      </c:pt>
                      <c:pt idx="10">
                        <c:v>-2.2667664436125912</c:v>
                      </c:pt>
                      <c:pt idx="11">
                        <c:v>-1.8711408164962471</c:v>
                      </c:pt>
                      <c:pt idx="12">
                        <c:v>-0.8788431735757779</c:v>
                      </c:pt>
                      <c:pt idx="13">
                        <c:v>-1.4643226307079706</c:v>
                      </c:pt>
                      <c:pt idx="14">
                        <c:v>-1.4867391420593923</c:v>
                      </c:pt>
                      <c:pt idx="15">
                        <c:v>-1.8299395457178398</c:v>
                      </c:pt>
                      <c:pt idx="16">
                        <c:v>-1.267844768197667</c:v>
                      </c:pt>
                      <c:pt idx="17">
                        <c:v>-1.0606448375453721</c:v>
                      </c:pt>
                      <c:pt idx="18">
                        <c:v>-1.4896991353682876</c:v>
                      </c:pt>
                      <c:pt idx="19">
                        <c:v>-0.34561043637588729</c:v>
                      </c:pt>
                      <c:pt idx="20">
                        <c:v>-1.5725215100445158</c:v>
                      </c:pt>
                      <c:pt idx="21">
                        <c:v>0.12202331734571421</c:v>
                      </c:pt>
                      <c:pt idx="22">
                        <c:v>5.3311170753191583E-2</c:v>
                      </c:pt>
                      <c:pt idx="23">
                        <c:v>8.3141819633533787E-2</c:v>
                      </c:pt>
                      <c:pt idx="24">
                        <c:v>-0.55610588748124712</c:v>
                      </c:pt>
                      <c:pt idx="25">
                        <c:v>-0.2071955166523419</c:v>
                      </c:pt>
                      <c:pt idx="26">
                        <c:v>-0.33469522449893779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C84-4396-8670-6D4DFF7DB3A5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0.80805846110219681</c:v>
                      </c:pt>
                      <c:pt idx="1">
                        <c:v>1.839495008674517</c:v>
                      </c:pt>
                      <c:pt idx="2">
                        <c:v>0.85931082139343729</c:v>
                      </c:pt>
                      <c:pt idx="3">
                        <c:v>1.7490294709297594</c:v>
                      </c:pt>
                      <c:pt idx="4">
                        <c:v>1.7375737107744864</c:v>
                      </c:pt>
                      <c:pt idx="5">
                        <c:v>1.4033519740606792</c:v>
                      </c:pt>
                      <c:pt idx="6">
                        <c:v>3.0350094156299559</c:v>
                      </c:pt>
                      <c:pt idx="7">
                        <c:v>3.1290504744026282</c:v>
                      </c:pt>
                      <c:pt idx="8">
                        <c:v>3.5026357756975397</c:v>
                      </c:pt>
                      <c:pt idx="9">
                        <c:v>3.4104638992487804</c:v>
                      </c:pt>
                      <c:pt idx="10">
                        <c:v>3.1362324811073785</c:v>
                      </c:pt>
                      <c:pt idx="11">
                        <c:v>2.8331685778281175</c:v>
                      </c:pt>
                      <c:pt idx="12">
                        <c:v>4.3102696677173684</c:v>
                      </c:pt>
                      <c:pt idx="13">
                        <c:v>3.7479303973754314</c:v>
                      </c:pt>
                      <c:pt idx="14">
                        <c:v>3.82497452957384</c:v>
                      </c:pt>
                      <c:pt idx="15">
                        <c:v>4.1193857175598421</c:v>
                      </c:pt>
                      <c:pt idx="16">
                        <c:v>5.0258742469772901</c:v>
                      </c:pt>
                      <c:pt idx="17">
                        <c:v>4.3517761310807463</c:v>
                      </c:pt>
                      <c:pt idx="18">
                        <c:v>3.0604041541340608</c:v>
                      </c:pt>
                      <c:pt idx="19">
                        <c:v>1.8763449608576506</c:v>
                      </c:pt>
                      <c:pt idx="20">
                        <c:v>1.678896475111251</c:v>
                      </c:pt>
                      <c:pt idx="21">
                        <c:v>2.8545281143069938</c:v>
                      </c:pt>
                      <c:pt idx="22">
                        <c:v>1.7284595270183372</c:v>
                      </c:pt>
                      <c:pt idx="23">
                        <c:v>1.5823144095435711</c:v>
                      </c:pt>
                      <c:pt idx="24">
                        <c:v>-1.1091042339830424</c:v>
                      </c:pt>
                      <c:pt idx="25">
                        <c:v>0.63778746126478603</c:v>
                      </c:pt>
                      <c:pt idx="26">
                        <c:v>0.55318802914752918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1C84-4396-8670-6D4DFF7DB3A5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2.5349526631211283</c:v>
                      </c:pt>
                      <c:pt idx="1">
                        <c:v>3.9016799634580361</c:v>
                      </c:pt>
                      <c:pt idx="2">
                        <c:v>6.9615553130801064</c:v>
                      </c:pt>
                      <c:pt idx="3">
                        <c:v>5.7877817766176971</c:v>
                      </c:pt>
                      <c:pt idx="4">
                        <c:v>6.0752102679612037</c:v>
                      </c:pt>
                      <c:pt idx="5">
                        <c:v>6.4462322570741479</c:v>
                      </c:pt>
                      <c:pt idx="6">
                        <c:v>4.6890783411555521</c:v>
                      </c:pt>
                      <c:pt idx="7">
                        <c:v>4.2334227005426328</c:v>
                      </c:pt>
                      <c:pt idx="8">
                        <c:v>5.5482185685964529</c:v>
                      </c:pt>
                      <c:pt idx="9">
                        <c:v>6.004202436246187</c:v>
                      </c:pt>
                      <c:pt idx="10">
                        <c:v>7.2172445365535101</c:v>
                      </c:pt>
                      <c:pt idx="11">
                        <c:v>7.3813384483346649</c:v>
                      </c:pt>
                      <c:pt idx="12">
                        <c:v>3.9964289926666456</c:v>
                      </c:pt>
                      <c:pt idx="13">
                        <c:v>3.1058860972454592</c:v>
                      </c:pt>
                      <c:pt idx="14">
                        <c:v>2.148705796561285</c:v>
                      </c:pt>
                      <c:pt idx="15">
                        <c:v>5.1501332170891265</c:v>
                      </c:pt>
                      <c:pt idx="16">
                        <c:v>3.5358522927655938</c:v>
                      </c:pt>
                      <c:pt idx="17">
                        <c:v>4.8097286957234084</c:v>
                      </c:pt>
                      <c:pt idx="18">
                        <c:v>7.8430467531502117</c:v>
                      </c:pt>
                      <c:pt idx="19">
                        <c:v>8.4298419647471832</c:v>
                      </c:pt>
                      <c:pt idx="20">
                        <c:v>7.7521119431056142</c:v>
                      </c:pt>
                      <c:pt idx="21">
                        <c:v>1.2364487828637483</c:v>
                      </c:pt>
                      <c:pt idx="22">
                        <c:v>2.3197148964041858</c:v>
                      </c:pt>
                      <c:pt idx="23">
                        <c:v>1.6058209144604056</c:v>
                      </c:pt>
                      <c:pt idx="24">
                        <c:v>4.1451029889205095</c:v>
                      </c:pt>
                      <c:pt idx="25">
                        <c:v>-0.29120718480598773</c:v>
                      </c:pt>
                      <c:pt idx="26">
                        <c:v>-0.4531445805648312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1C84-4396-8670-6D4DFF7DB3A5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H4'!$BO$1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H4'!$BO$2:$BO$37</c:f>
              <c:numCache>
                <c:formatCode>0.00000</c:formatCode>
                <c:ptCount val="36"/>
                <c:pt idx="0">
                  <c:v>1.6964325428008038</c:v>
                </c:pt>
                <c:pt idx="1">
                  <c:v>1.9810456468624749</c:v>
                </c:pt>
                <c:pt idx="2">
                  <c:v>1.8221811567877915</c:v>
                </c:pt>
                <c:pt idx="3">
                  <c:v>1.9437797331947082</c:v>
                </c:pt>
                <c:pt idx="4">
                  <c:v>1.9526763984280155</c:v>
                </c:pt>
                <c:pt idx="5">
                  <c:v>1.9141093139512779</c:v>
                </c:pt>
                <c:pt idx="6">
                  <c:v>1.9378372729018998</c:v>
                </c:pt>
                <c:pt idx="7">
                  <c:v>1.8294611334678299</c:v>
                </c:pt>
                <c:pt idx="8">
                  <c:v>1.9569743296009308</c:v>
                </c:pt>
                <c:pt idx="9">
                  <c:v>2.0428977096489165</c:v>
                </c:pt>
                <c:pt idx="10">
                  <c:v>1.9910204956035369</c:v>
                </c:pt>
                <c:pt idx="11">
                  <c:v>1.8381198364977864</c:v>
                </c:pt>
                <c:pt idx="12">
                  <c:v>1.9152528612990154</c:v>
                </c:pt>
                <c:pt idx="13">
                  <c:v>1.7160911241330561</c:v>
                </c:pt>
                <c:pt idx="14">
                  <c:v>1.5672417299500903</c:v>
                </c:pt>
                <c:pt idx="15">
                  <c:v>1.6891494368958626</c:v>
                </c:pt>
                <c:pt idx="16">
                  <c:v>1.7723342259630055</c:v>
                </c:pt>
                <c:pt idx="17">
                  <c:v>1.5937627973915798</c:v>
                </c:pt>
                <c:pt idx="18">
                  <c:v>1.2473286796039815</c:v>
                </c:pt>
                <c:pt idx="19">
                  <c:v>1.1202410788683659</c:v>
                </c:pt>
                <c:pt idx="20">
                  <c:v>1.1037917428233766</c:v>
                </c:pt>
                <c:pt idx="21">
                  <c:v>0.98851365314601469</c:v>
                </c:pt>
                <c:pt idx="22">
                  <c:v>0.84758623076853146</c:v>
                </c:pt>
                <c:pt idx="23">
                  <c:v>0.63273602493301317</c:v>
                </c:pt>
                <c:pt idx="24">
                  <c:v>0.19208772867249918</c:v>
                </c:pt>
                <c:pt idx="25">
                  <c:v>0.27803076502488966</c:v>
                </c:pt>
                <c:pt idx="26">
                  <c:v>0.18597196812772393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CC-4913-A265-C33880CFEBE6}"/>
            </c:ext>
          </c:extLst>
        </c:ser>
        <c:ser>
          <c:idx val="1"/>
          <c:order val="1"/>
          <c:tx>
            <c:strRef>
              <c:f>'SATORI H4'!$BP$1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H4'!$BP$2:$BP$37</c:f>
              <c:numCache>
                <c:formatCode>0.00000</c:formatCode>
                <c:ptCount val="36"/>
                <c:pt idx="0">
                  <c:v>-0.92281316809638869</c:v>
                </c:pt>
                <c:pt idx="1">
                  <c:v>-0.85888155665446397</c:v>
                </c:pt>
                <c:pt idx="2">
                  <c:v>-0.85796825626082562</c:v>
                </c:pt>
                <c:pt idx="3">
                  <c:v>-0.78860557155985234</c:v>
                </c:pt>
                <c:pt idx="4">
                  <c:v>-0.81873265306731668</c:v>
                </c:pt>
                <c:pt idx="5">
                  <c:v>-0.84521497839810866</c:v>
                </c:pt>
                <c:pt idx="6">
                  <c:v>-0.65654261206381981</c:v>
                </c:pt>
                <c:pt idx="7">
                  <c:v>-0.64013901056197264</c:v>
                </c:pt>
                <c:pt idx="8">
                  <c:v>-0.58275934846443556</c:v>
                </c:pt>
                <c:pt idx="9">
                  <c:v>-0.8265326301823479</c:v>
                </c:pt>
                <c:pt idx="10">
                  <c:v>-0.73622640999935951</c:v>
                </c:pt>
                <c:pt idx="11">
                  <c:v>-0.74352441490727506</c:v>
                </c:pt>
                <c:pt idx="12">
                  <c:v>-0.6569356477490268</c:v>
                </c:pt>
                <c:pt idx="13">
                  <c:v>-0.71895341401501134</c:v>
                </c:pt>
                <c:pt idx="14">
                  <c:v>-0.58506509690917741</c:v>
                </c:pt>
                <c:pt idx="15">
                  <c:v>-0.43500780230578984</c:v>
                </c:pt>
                <c:pt idx="16">
                  <c:v>-0.31510590385906551</c:v>
                </c:pt>
                <c:pt idx="17">
                  <c:v>-0.15458643747292564</c:v>
                </c:pt>
                <c:pt idx="18">
                  <c:v>-0.16184208100316619</c:v>
                </c:pt>
                <c:pt idx="19">
                  <c:v>-0.2598893070837256</c:v>
                </c:pt>
                <c:pt idx="20">
                  <c:v>-0.4199256789864293</c:v>
                </c:pt>
                <c:pt idx="21">
                  <c:v>-0.12437078827827247</c:v>
                </c:pt>
                <c:pt idx="22">
                  <c:v>-0.26509310229784105</c:v>
                </c:pt>
                <c:pt idx="23">
                  <c:v>-0.24149363963945897</c:v>
                </c:pt>
                <c:pt idx="24">
                  <c:v>-0.39421535884968095</c:v>
                </c:pt>
                <c:pt idx="25">
                  <c:v>-0.22994617520398608</c:v>
                </c:pt>
                <c:pt idx="26">
                  <c:v>-0.24810076150634872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CC-4913-A265-C33880CFEBE6}"/>
            </c:ext>
          </c:extLst>
        </c:ser>
        <c:ser>
          <c:idx val="2"/>
          <c:order val="2"/>
          <c:tx>
            <c:strRef>
              <c:f>'SATORI H4'!$BQ$1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H4'!$BQ$2:$BQ$37</c:f>
              <c:numCache>
                <c:formatCode>0.00000</c:formatCode>
                <c:ptCount val="36"/>
                <c:pt idx="0">
                  <c:v>-0.21149029698326016</c:v>
                </c:pt>
                <c:pt idx="1">
                  <c:v>-0.25423969391141232</c:v>
                </c:pt>
                <c:pt idx="2">
                  <c:v>-0.75959502827455183</c:v>
                </c:pt>
                <c:pt idx="3">
                  <c:v>-0.50144756791498191</c:v>
                </c:pt>
                <c:pt idx="4">
                  <c:v>-0.53513031724387983</c:v>
                </c:pt>
                <c:pt idx="5">
                  <c:v>-0.62809940246894069</c:v>
                </c:pt>
                <c:pt idx="6">
                  <c:v>-0.20489648887965412</c:v>
                </c:pt>
                <c:pt idx="7">
                  <c:v>-0.13678283056623675</c:v>
                </c:pt>
                <c:pt idx="8">
                  <c:v>-0.25383117662221122</c:v>
                </c:pt>
                <c:pt idx="9">
                  <c:v>-0.3230903076238183</c:v>
                </c:pt>
                <c:pt idx="10">
                  <c:v>-0.50676002864992664</c:v>
                </c:pt>
                <c:pt idx="11">
                  <c:v>-0.56597754069761996</c:v>
                </c:pt>
                <c:pt idx="12">
                  <c:v>4.0870300831879168E-2</c:v>
                </c:pt>
                <c:pt idx="13">
                  <c:v>8.1445659416602534E-2</c:v>
                </c:pt>
                <c:pt idx="14">
                  <c:v>0.21111843826373061</c:v>
                </c:pt>
                <c:pt idx="15">
                  <c:v>-0.12737531535754099</c:v>
                </c:pt>
                <c:pt idx="16">
                  <c:v>0.19078946157248014</c:v>
                </c:pt>
                <c:pt idx="17">
                  <c:v>-5.5023091119781209E-2</c:v>
                </c:pt>
                <c:pt idx="18">
                  <c:v>-0.59731357907908567</c:v>
                </c:pt>
                <c:pt idx="19">
                  <c:v>-0.81941980112390911</c:v>
                </c:pt>
                <c:pt idx="20">
                  <c:v>-0.75804563351105503</c:v>
                </c:pt>
                <c:pt idx="21">
                  <c:v>0.20335645341022773</c:v>
                </c:pt>
                <c:pt idx="22">
                  <c:v>-7.4996994515314469E-2</c:v>
                </c:pt>
                <c:pt idx="23">
                  <c:v>-1.9064840999283295E-3</c:v>
                </c:pt>
                <c:pt idx="24">
                  <c:v>-0.6558485284862452</c:v>
                </c:pt>
                <c:pt idx="25">
                  <c:v>0.11572981054183967</c:v>
                </c:pt>
                <c:pt idx="26">
                  <c:v>0.12485408313455276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BCC-4913-A265-C33880CFEBE6}"/>
            </c:ext>
          </c:extLst>
        </c:ser>
        <c:ser>
          <c:idx val="3"/>
          <c:order val="3"/>
          <c:tx>
            <c:strRef>
              <c:f>'SATORI H4'!$BR$1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H4'!$BR$2:$BR$37</c:f>
              <c:numCache>
                <c:formatCode>0.00000</c:formatCode>
                <c:ptCount val="36"/>
                <c:pt idx="0">
                  <c:v>-0.55950757875291224</c:v>
                </c:pt>
                <c:pt idx="1">
                  <c:v>-0.39755438844920898</c:v>
                </c:pt>
                <c:pt idx="2">
                  <c:v>-0.53531705302327071</c:v>
                </c:pt>
                <c:pt idx="3">
                  <c:v>-0.3699270808784228</c:v>
                </c:pt>
                <c:pt idx="4">
                  <c:v>-0.3786325740446097</c:v>
                </c:pt>
                <c:pt idx="5">
                  <c:v>-0.4535559083072318</c:v>
                </c:pt>
                <c:pt idx="6">
                  <c:v>-0.11839918346569542</c:v>
                </c:pt>
                <c:pt idx="7">
                  <c:v>-8.1944647479853222E-2</c:v>
                </c:pt>
                <c:pt idx="8">
                  <c:v>-7.326574935276034E-2</c:v>
                </c:pt>
                <c:pt idx="9">
                  <c:v>-6.8058681626170403E-2</c:v>
                </c:pt>
                <c:pt idx="10">
                  <c:v>-6.2851885021006221E-2</c:v>
                </c:pt>
                <c:pt idx="11">
                  <c:v>3.597947746470137E-2</c:v>
                </c:pt>
                <c:pt idx="12">
                  <c:v>0.45554540802048493</c:v>
                </c:pt>
                <c:pt idx="13">
                  <c:v>0.37086993971330495</c:v>
                </c:pt>
                <c:pt idx="14">
                  <c:v>0.44857270075142441</c:v>
                </c:pt>
                <c:pt idx="15">
                  <c:v>0.55551534844438766</c:v>
                </c:pt>
                <c:pt idx="16">
                  <c:v>0.74832957537984823</c:v>
                </c:pt>
                <c:pt idx="17">
                  <c:v>0.59142220245758326</c:v>
                </c:pt>
                <c:pt idx="18">
                  <c:v>0.5154972990892791</c:v>
                </c:pt>
                <c:pt idx="19">
                  <c:v>0.29760223458541613</c:v>
                </c:pt>
                <c:pt idx="20">
                  <c:v>0.20413134903532523</c:v>
                </c:pt>
                <c:pt idx="21">
                  <c:v>0.4114138751183728</c:v>
                </c:pt>
                <c:pt idx="22">
                  <c:v>0.17594050438632278</c:v>
                </c:pt>
                <c:pt idx="23">
                  <c:v>0.2537938287232826</c:v>
                </c:pt>
                <c:pt idx="24">
                  <c:v>-0.37118441019597193</c:v>
                </c:pt>
                <c:pt idx="25">
                  <c:v>-7.6106995768435298E-2</c:v>
                </c:pt>
                <c:pt idx="26">
                  <c:v>0.11100319134176581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BCC-4913-A265-C33880CFEBE6}"/>
            </c:ext>
          </c:extLst>
        </c:ser>
        <c:ser>
          <c:idx val="4"/>
          <c:order val="4"/>
          <c:tx>
            <c:strRef>
              <c:f>'SATORI H4'!$BS$1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H4'!$BS$2:$BS$37</c:f>
              <c:numCache>
                <c:formatCode>0.00000</c:formatCode>
                <c:ptCount val="36"/>
                <c:pt idx="0">
                  <c:v>0.66779205187526258</c:v>
                </c:pt>
                <c:pt idx="1">
                  <c:v>0.84794665728208884</c:v>
                </c:pt>
                <c:pt idx="2">
                  <c:v>0.76271007111664191</c:v>
                </c:pt>
                <c:pt idx="3">
                  <c:v>0.87950062308843924</c:v>
                </c:pt>
                <c:pt idx="4">
                  <c:v>0.93840692933577863</c:v>
                </c:pt>
                <c:pt idx="5">
                  <c:v>0.8772815677683492</c:v>
                </c:pt>
                <c:pt idx="6">
                  <c:v>0.96125835963677153</c:v>
                </c:pt>
                <c:pt idx="7">
                  <c:v>0.95253273684544792</c:v>
                </c:pt>
                <c:pt idx="8">
                  <c:v>1.10282351683282</c:v>
                </c:pt>
                <c:pt idx="9">
                  <c:v>1.202917082557293</c:v>
                </c:pt>
                <c:pt idx="10">
                  <c:v>1.1735331653546426</c:v>
                </c:pt>
                <c:pt idx="11">
                  <c:v>1.1016541834224056</c:v>
                </c:pt>
                <c:pt idx="12">
                  <c:v>1.1038322869476684</c:v>
                </c:pt>
                <c:pt idx="13">
                  <c:v>0.87351311478682225</c:v>
                </c:pt>
                <c:pt idx="14">
                  <c:v>0.87351311478682225</c:v>
                </c:pt>
                <c:pt idx="15">
                  <c:v>0.98037169073273667</c:v>
                </c:pt>
                <c:pt idx="16">
                  <c:v>1.0511970789103371</c:v>
                </c:pt>
                <c:pt idx="17">
                  <c:v>0.9934137771942908</c:v>
                </c:pt>
                <c:pt idx="18">
                  <c:v>0.81538649424012788</c:v>
                </c:pt>
                <c:pt idx="19">
                  <c:v>0.70057467627699932</c:v>
                </c:pt>
                <c:pt idx="20">
                  <c:v>0.61959415537526219</c:v>
                </c:pt>
                <c:pt idx="21">
                  <c:v>0.54950786162608634</c:v>
                </c:pt>
                <c:pt idx="22">
                  <c:v>0.45414344899414627</c:v>
                </c:pt>
                <c:pt idx="23">
                  <c:v>0.37186510684788521</c:v>
                </c:pt>
                <c:pt idx="24">
                  <c:v>0.15307559555108485</c:v>
                </c:pt>
                <c:pt idx="25">
                  <c:v>0.20911585663277293</c:v>
                </c:pt>
                <c:pt idx="26">
                  <c:v>0.13764094432700014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BCC-4913-A265-C33880CFEBE6}"/>
            </c:ext>
          </c:extLst>
        </c:ser>
        <c:ser>
          <c:idx val="5"/>
          <c:order val="5"/>
          <c:tx>
            <c:strRef>
              <c:f>'SATORI H4'!$BT$1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H4'!$BT$2:$BT$37</c:f>
              <c:numCache>
                <c:formatCode>0.00000</c:formatCode>
                <c:ptCount val="36"/>
                <c:pt idx="0">
                  <c:v>1.4128663024897152</c:v>
                </c:pt>
                <c:pt idx="1">
                  <c:v>1.5062017897189013</c:v>
                </c:pt>
                <c:pt idx="2">
                  <c:v>1.5133809271455467</c:v>
                </c:pt>
                <c:pt idx="3">
                  <c:v>1.5519539063251022</c:v>
                </c:pt>
                <c:pt idx="4">
                  <c:v>1.5716850249898335</c:v>
                </c:pt>
                <c:pt idx="5">
                  <c:v>1.5411821765620752</c:v>
                </c:pt>
                <c:pt idx="6">
                  <c:v>1.3479237495957945</c:v>
                </c:pt>
                <c:pt idx="7">
                  <c:v>1.2903625458471235</c:v>
                </c:pt>
                <c:pt idx="8">
                  <c:v>1.2957586175069506</c:v>
                </c:pt>
                <c:pt idx="9">
                  <c:v>1.3739404847056067</c:v>
                </c:pt>
                <c:pt idx="10">
                  <c:v>1.3928084092339126</c:v>
                </c:pt>
                <c:pt idx="11">
                  <c:v>1.2578556427021934</c:v>
                </c:pt>
                <c:pt idx="12">
                  <c:v>1.1082845333530988</c:v>
                </c:pt>
                <c:pt idx="13">
                  <c:v>0.94041146705226542</c:v>
                </c:pt>
                <c:pt idx="14">
                  <c:v>0.91693983162093562</c:v>
                </c:pt>
                <c:pt idx="15">
                  <c:v>0.97017403504776278</c:v>
                </c:pt>
                <c:pt idx="16">
                  <c:v>0.98821627192430883</c:v>
                </c:pt>
                <c:pt idx="17">
                  <c:v>0.88526965065046692</c:v>
                </c:pt>
                <c:pt idx="18">
                  <c:v>0.5709295836154219</c:v>
                </c:pt>
                <c:pt idx="19">
                  <c:v>0.55552726601963287</c:v>
                </c:pt>
                <c:pt idx="20">
                  <c:v>0.57817260379747859</c:v>
                </c:pt>
                <c:pt idx="21">
                  <c:v>0.50293351573149603</c:v>
                </c:pt>
                <c:pt idx="22">
                  <c:v>0.4766382470663777</c:v>
                </c:pt>
                <c:pt idx="23">
                  <c:v>0.25217237587525709</c:v>
                </c:pt>
                <c:pt idx="24">
                  <c:v>0.16212325817468889</c:v>
                </c:pt>
                <c:pt idx="25">
                  <c:v>4.3736954559366367E-2</c:v>
                </c:pt>
                <c:pt idx="26">
                  <c:v>5.4663726972898993E-2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BCC-4913-A265-C33880CFEBE6}"/>
            </c:ext>
          </c:extLst>
        </c:ser>
        <c:ser>
          <c:idx val="6"/>
          <c:order val="6"/>
          <c:tx>
            <c:strRef>
              <c:f>'SATORI H4'!$BU$1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H4'!$BU$2:$BU$37</c:f>
              <c:numCache>
                <c:formatCode>0.00000</c:formatCode>
                <c:ptCount val="36"/>
                <c:pt idx="0">
                  <c:v>0.38590601436898658</c:v>
                </c:pt>
                <c:pt idx="1">
                  <c:v>0.37466849957843373</c:v>
                </c:pt>
                <c:pt idx="2">
                  <c:v>0.4526092777972861</c:v>
                </c:pt>
                <c:pt idx="3">
                  <c:v>0.48826437416508728</c:v>
                </c:pt>
                <c:pt idx="4">
                  <c:v>0.56018308622631952</c:v>
                </c:pt>
                <c:pt idx="5">
                  <c:v>0.50472875682760598</c:v>
                </c:pt>
                <c:pt idx="6">
                  <c:v>0.37384389584318717</c:v>
                </c:pt>
                <c:pt idx="7">
                  <c:v>0.41349025036088477</c:v>
                </c:pt>
                <c:pt idx="8">
                  <c:v>0.44255579315989635</c:v>
                </c:pt>
                <c:pt idx="9">
                  <c:v>0.53429225213258003</c:v>
                </c:pt>
                <c:pt idx="10">
                  <c:v>0.57915038827702425</c:v>
                </c:pt>
                <c:pt idx="11">
                  <c:v>0.52040451368956164</c:v>
                </c:pt>
                <c:pt idx="12">
                  <c:v>0.29614031855986522</c:v>
                </c:pt>
                <c:pt idx="13">
                  <c:v>9.9274267016759066E-2</c:v>
                </c:pt>
                <c:pt idx="14">
                  <c:v>0.22307351362883296</c:v>
                </c:pt>
                <c:pt idx="15">
                  <c:v>0.26344092323230578</c:v>
                </c:pt>
                <c:pt idx="16">
                  <c:v>0.27005809346562648</c:v>
                </c:pt>
                <c:pt idx="17">
                  <c:v>0.28395222021976296</c:v>
                </c:pt>
                <c:pt idx="18">
                  <c:v>0.13884607407997493</c:v>
                </c:pt>
                <c:pt idx="19">
                  <c:v>0.13685827914090251</c:v>
                </c:pt>
                <c:pt idx="20">
                  <c:v>9.377083150872087E-2</c:v>
                </c:pt>
                <c:pt idx="21">
                  <c:v>6.1942281299195254E-2</c:v>
                </c:pt>
                <c:pt idx="22">
                  <c:v>9.3098026882700635E-2</c:v>
                </c:pt>
                <c:pt idx="23">
                  <c:v>-9.7553241458436524E-3</c:v>
                </c:pt>
                <c:pt idx="24">
                  <c:v>0.12145913860383445</c:v>
                </c:pt>
                <c:pt idx="25">
                  <c:v>-2.4547577705114423E-2</c:v>
                </c:pt>
                <c:pt idx="26">
                  <c:v>6.635039644361144E-3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BCC-4913-A265-C33880CFEBE6}"/>
            </c:ext>
          </c:extLst>
        </c:ser>
        <c:ser>
          <c:idx val="7"/>
          <c:order val="7"/>
          <c:tx>
            <c:strRef>
              <c:f>'SATORI H4'!$BV$1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H4'!$BV$2:$BV$37</c:f>
              <c:numCache>
                <c:formatCode>0.00000</c:formatCode>
                <c:ptCount val="36"/>
                <c:pt idx="0">
                  <c:v>-0.42146539789416321</c:v>
                </c:pt>
                <c:pt idx="1">
                  <c:v>-0.41558110659820746</c:v>
                </c:pt>
                <c:pt idx="2">
                  <c:v>-0.18076215201219312</c:v>
                </c:pt>
                <c:pt idx="3">
                  <c:v>-0.19133012167038202</c:v>
                </c:pt>
                <c:pt idx="4">
                  <c:v>-0.17724148063721398</c:v>
                </c:pt>
                <c:pt idx="5">
                  <c:v>-0.19837890915160006</c:v>
                </c:pt>
                <c:pt idx="6">
                  <c:v>-5.5319070269812254E-2</c:v>
                </c:pt>
                <c:pt idx="7">
                  <c:v>0.13311725931820284</c:v>
                </c:pt>
                <c:pt idx="8">
                  <c:v>3.470589983555801E-2</c:v>
                </c:pt>
                <c:pt idx="9">
                  <c:v>4.9933910003178962E-2</c:v>
                </c:pt>
                <c:pt idx="10">
                  <c:v>8.2721947053667672E-2</c:v>
                </c:pt>
                <c:pt idx="11">
                  <c:v>1.0067116093340212E-2</c:v>
                </c:pt>
                <c:pt idx="12">
                  <c:v>-0.15778902063311792</c:v>
                </c:pt>
                <c:pt idx="13">
                  <c:v>-0.1225868427917193</c:v>
                </c:pt>
                <c:pt idx="14">
                  <c:v>1.4513427893430991E-2</c:v>
                </c:pt>
                <c:pt idx="15">
                  <c:v>2.6230026799099405E-2</c:v>
                </c:pt>
                <c:pt idx="16">
                  <c:v>-4.2424132229260149E-3</c:v>
                </c:pt>
                <c:pt idx="17">
                  <c:v>-3.2378733695618306E-2</c:v>
                </c:pt>
                <c:pt idx="18">
                  <c:v>-0.10629116506264852</c:v>
                </c:pt>
                <c:pt idx="19">
                  <c:v>-0.2849381492194778</c:v>
                </c:pt>
                <c:pt idx="20">
                  <c:v>-0.11832232775654668</c:v>
                </c:pt>
                <c:pt idx="21">
                  <c:v>-0.14531668241542764</c:v>
                </c:pt>
                <c:pt idx="22">
                  <c:v>-0.18053911205862055</c:v>
                </c:pt>
                <c:pt idx="23">
                  <c:v>-0.19463006918688455</c:v>
                </c:pt>
                <c:pt idx="24">
                  <c:v>-0.1031226606063049</c:v>
                </c:pt>
                <c:pt idx="25">
                  <c:v>-0.12776534173000323</c:v>
                </c:pt>
                <c:pt idx="26">
                  <c:v>-1.9923353686406822E-2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BCC-4913-A265-C33880CFEBE6}"/>
            </c:ext>
          </c:extLst>
        </c:ser>
        <c:ser>
          <c:idx val="8"/>
          <c:order val="8"/>
          <c:tx>
            <c:strRef>
              <c:f>'SATORI H4'!$BW$1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H4'!$BW$2:$BW$37</c:f>
              <c:numCache>
                <c:formatCode>0.00000</c:formatCode>
                <c:ptCount val="36"/>
                <c:pt idx="0">
                  <c:v>-0.84476574127081283</c:v>
                </c:pt>
                <c:pt idx="1">
                  <c:v>-0.87323234046109544</c:v>
                </c:pt>
                <c:pt idx="2">
                  <c:v>-0.84477384243738096</c:v>
                </c:pt>
                <c:pt idx="3">
                  <c:v>-0.76157566226592244</c:v>
                </c:pt>
                <c:pt idx="4">
                  <c:v>-0.75420421504022928</c:v>
                </c:pt>
                <c:pt idx="5">
                  <c:v>-0.82797306561614525</c:v>
                </c:pt>
                <c:pt idx="6">
                  <c:v>-0.70587679902526879</c:v>
                </c:pt>
                <c:pt idx="7">
                  <c:v>-0.62069254864667456</c:v>
                </c:pt>
                <c:pt idx="8">
                  <c:v>-0.73967122724630219</c:v>
                </c:pt>
                <c:pt idx="9">
                  <c:v>-0.73651260103813043</c:v>
                </c:pt>
                <c:pt idx="10">
                  <c:v>-0.65866047798968597</c:v>
                </c:pt>
                <c:pt idx="11">
                  <c:v>-0.54306811969540991</c:v>
                </c:pt>
                <c:pt idx="12">
                  <c:v>-0.35008676756737594</c:v>
                </c:pt>
                <c:pt idx="13">
                  <c:v>-0.40885473902293307</c:v>
                </c:pt>
                <c:pt idx="14">
                  <c:v>-0.20567933790860476</c:v>
                </c:pt>
                <c:pt idx="15">
                  <c:v>-0.16380504453731004</c:v>
                </c:pt>
                <c:pt idx="16">
                  <c:v>-3.2074777940337862E-2</c:v>
                </c:pt>
                <c:pt idx="17">
                  <c:v>-0.12101947526676668</c:v>
                </c:pt>
                <c:pt idx="18">
                  <c:v>-0.16184605651166356</c:v>
                </c:pt>
                <c:pt idx="19">
                  <c:v>-0.2666392994433594</c:v>
                </c:pt>
                <c:pt idx="20">
                  <c:v>-0.32325969117258652</c:v>
                </c:pt>
                <c:pt idx="21">
                  <c:v>-7.1201916602180476E-2</c:v>
                </c:pt>
                <c:pt idx="22">
                  <c:v>-0.18638154446727265</c:v>
                </c:pt>
                <c:pt idx="23">
                  <c:v>-0.12882487731225273</c:v>
                </c:pt>
                <c:pt idx="24">
                  <c:v>-0.40270548215815571</c:v>
                </c:pt>
                <c:pt idx="25">
                  <c:v>-0.30835300226047446</c:v>
                </c:pt>
                <c:pt idx="26">
                  <c:v>-1.3586672519383319E-2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BCC-4913-A265-C33880CFEBE6}"/>
            </c:ext>
          </c:extLst>
        </c:ser>
        <c:ser>
          <c:idx val="9"/>
          <c:order val="9"/>
          <c:tx>
            <c:strRef>
              <c:f>'SATORI H4'!$BX$1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H4'!$BX$2:$BX$37</c:f>
              <c:numCache>
                <c:formatCode>0.00000</c:formatCode>
                <c:ptCount val="36"/>
                <c:pt idx="0">
                  <c:v>-0.50105843205439582</c:v>
                </c:pt>
                <c:pt idx="1">
                  <c:v>-0.73399491064641542</c:v>
                </c:pt>
                <c:pt idx="2">
                  <c:v>-1.0722150195940978</c:v>
                </c:pt>
                <c:pt idx="3">
                  <c:v>-0.89876893601902363</c:v>
                </c:pt>
                <c:pt idx="4">
                  <c:v>-0.91667227036070342</c:v>
                </c:pt>
                <c:pt idx="5">
                  <c:v>-1.0062691462103177</c:v>
                </c:pt>
                <c:pt idx="6">
                  <c:v>-0.79785102739966129</c:v>
                </c:pt>
                <c:pt idx="7">
                  <c:v>-0.68021483733406696</c:v>
                </c:pt>
                <c:pt idx="8">
                  <c:v>-0.92099273515781421</c:v>
                </c:pt>
                <c:pt idx="9">
                  <c:v>-0.99575146833708739</c:v>
                </c:pt>
                <c:pt idx="10">
                  <c:v>-1.1052290068861828</c:v>
                </c:pt>
                <c:pt idx="11">
                  <c:v>-1.151639323590177</c:v>
                </c:pt>
                <c:pt idx="12">
                  <c:v>-0.77006110622004631</c:v>
                </c:pt>
                <c:pt idx="13">
                  <c:v>-0.69983595452755587</c:v>
                </c:pt>
                <c:pt idx="14">
                  <c:v>-0.44239220506518773</c:v>
                </c:pt>
                <c:pt idx="15">
                  <c:v>-0.84708566210967773</c:v>
                </c:pt>
                <c:pt idx="16">
                  <c:v>-0.59479039049228244</c:v>
                </c:pt>
                <c:pt idx="17">
                  <c:v>-0.76923945814524308</c:v>
                </c:pt>
                <c:pt idx="18">
                  <c:v>-1.2754101560040898</c:v>
                </c:pt>
                <c:pt idx="19">
                  <c:v>-1.3839487306134954</c:v>
                </c:pt>
                <c:pt idx="20">
                  <c:v>-1.2879068935500204</c:v>
                </c:pt>
                <c:pt idx="21">
                  <c:v>-0.28498092604850789</c:v>
                </c:pt>
                <c:pt idx="22">
                  <c:v>-0.43733847481213278</c:v>
                </c:pt>
                <c:pt idx="23">
                  <c:v>-0.3876012836739563</c:v>
                </c:pt>
                <c:pt idx="24">
                  <c:v>-0.69062412124878203</c:v>
                </c:pt>
                <c:pt idx="25">
                  <c:v>-0.11805478524549833</c:v>
                </c:pt>
                <c:pt idx="26">
                  <c:v>-5.504856506731908E-3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BCC-4913-A265-C33880CFEBE6}"/>
            </c:ext>
          </c:extLst>
        </c:ser>
        <c:ser>
          <c:idx val="10"/>
          <c:order val="10"/>
          <c:tx>
            <c:strRef>
              <c:f>'SATORI H4'!$BY$1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H4'!$BY$2:$BY$37</c:f>
              <c:numCache>
                <c:formatCode>0.00000</c:formatCode>
                <c:ptCount val="36"/>
                <c:pt idx="0">
                  <c:v>-0.28080968726705824</c:v>
                </c:pt>
                <c:pt idx="1">
                  <c:v>-0.47091454765501262</c:v>
                </c:pt>
                <c:pt idx="2">
                  <c:v>-0.30650846462995074</c:v>
                </c:pt>
                <c:pt idx="3">
                  <c:v>-0.38817370971642284</c:v>
                </c:pt>
                <c:pt idx="4">
                  <c:v>-0.38091510373169507</c:v>
                </c:pt>
                <c:pt idx="5">
                  <c:v>-0.37063313588401314</c:v>
                </c:pt>
                <c:pt idx="6">
                  <c:v>-0.58519939685477995</c:v>
                </c:pt>
                <c:pt idx="7">
                  <c:v>-0.53612781899151529</c:v>
                </c:pt>
                <c:pt idx="8">
                  <c:v>-0.65804649135175419</c:v>
                </c:pt>
                <c:pt idx="9">
                  <c:v>-0.66593240044543189</c:v>
                </c:pt>
                <c:pt idx="10">
                  <c:v>-0.60046158648560133</c:v>
                </c:pt>
                <c:pt idx="11">
                  <c:v>-0.57985465164594119</c:v>
                </c:pt>
                <c:pt idx="12">
                  <c:v>-0.80461060919742633</c:v>
                </c:pt>
                <c:pt idx="13">
                  <c:v>-0.77424740454335772</c:v>
                </c:pt>
                <c:pt idx="14">
                  <c:v>-0.64749008718913315</c:v>
                </c:pt>
                <c:pt idx="15">
                  <c:v>-0.7148563106143685</c:v>
                </c:pt>
                <c:pt idx="16">
                  <c:v>-0.78773773860448626</c:v>
                </c:pt>
                <c:pt idx="17">
                  <c:v>-0.70763238793117733</c:v>
                </c:pt>
                <c:pt idx="18">
                  <c:v>-0.67426629516130321</c:v>
                </c:pt>
                <c:pt idx="19">
                  <c:v>-0.56095013094375812</c:v>
                </c:pt>
                <c:pt idx="20">
                  <c:v>-0.52399969299020666</c:v>
                </c:pt>
                <c:pt idx="21">
                  <c:v>-0.48524704388333556</c:v>
                </c:pt>
                <c:pt idx="22">
                  <c:v>-0.37214471349146694</c:v>
                </c:pt>
                <c:pt idx="23">
                  <c:v>-0.3800080606158992</c:v>
                </c:pt>
                <c:pt idx="24">
                  <c:v>-3.4012328298459821E-2</c:v>
                </c:pt>
                <c:pt idx="25">
                  <c:v>-0.23453659052621129</c:v>
                </c:pt>
                <c:pt idx="26">
                  <c:v>-0.13075833810370313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BCC-4913-A265-C33880CFEBE6}"/>
            </c:ext>
          </c:extLst>
        </c:ser>
        <c:ser>
          <c:idx val="11"/>
          <c:order val="11"/>
          <c:tx>
            <c:strRef>
              <c:f>'SATORI H4'!$BZ$1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H4'!$BZ$2:$BZ$37</c:f>
              <c:numCache>
                <c:formatCode>0.00000</c:formatCode>
                <c:ptCount val="36"/>
                <c:pt idx="0">
                  <c:v>-1.2050749754424641</c:v>
                </c:pt>
                <c:pt idx="1">
                  <c:v>-1.3328044322881567</c:v>
                </c:pt>
                <c:pt idx="2">
                  <c:v>-1.1671967348423853</c:v>
                </c:pt>
                <c:pt idx="3">
                  <c:v>-1.1798949372186027</c:v>
                </c:pt>
                <c:pt idx="4">
                  <c:v>-1.1925947522430338</c:v>
                </c:pt>
                <c:pt idx="5">
                  <c:v>-1.2185532848679366</c:v>
                </c:pt>
                <c:pt idx="6">
                  <c:v>-1.244518557696658</c:v>
                </c:pt>
                <c:pt idx="7">
                  <c:v>-1.1799233543045875</c:v>
                </c:pt>
                <c:pt idx="8">
                  <c:v>-1.2434547028817606</c:v>
                </c:pt>
                <c:pt idx="9">
                  <c:v>-1.4948960600004857</c:v>
                </c:pt>
                <c:pt idx="10">
                  <c:v>-1.3295729888618</c:v>
                </c:pt>
                <c:pt idx="11">
                  <c:v>-1.3240440948617564</c:v>
                </c:pt>
                <c:pt idx="12">
                  <c:v>-1.4635666177833178</c:v>
                </c:pt>
                <c:pt idx="13">
                  <c:v>-1.4934732426545523</c:v>
                </c:pt>
                <c:pt idx="14">
                  <c:v>-1.2355035250954898</c:v>
                </c:pt>
                <c:pt idx="15">
                  <c:v>-1.1521609928071512</c:v>
                </c:pt>
                <c:pt idx="16">
                  <c:v>-1.0958950645848224</c:v>
                </c:pt>
                <c:pt idx="17">
                  <c:v>-0.86474736120236195</c:v>
                </c:pt>
                <c:pt idx="18">
                  <c:v>-0.83833745748847954</c:v>
                </c:pt>
                <c:pt idx="19">
                  <c:v>-0.82293405333615877</c:v>
                </c:pt>
                <c:pt idx="20">
                  <c:v>-0.94576184656685758</c:v>
                </c:pt>
                <c:pt idx="21">
                  <c:v>-0.61144771205071113</c:v>
                </c:pt>
                <c:pt idx="22">
                  <c:v>-0.62682083982335568</c:v>
                </c:pt>
                <c:pt idx="23">
                  <c:v>-0.62187972148357551</c:v>
                </c:pt>
                <c:pt idx="24">
                  <c:v>-0.42681229719548902</c:v>
                </c:pt>
                <c:pt idx="25">
                  <c:v>-0.46353790755320462</c:v>
                </c:pt>
                <c:pt idx="26">
                  <c:v>-0.37919501535876277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BCC-4913-A265-C33880CFEBE6}"/>
            </c:ext>
          </c:extLst>
        </c:ser>
        <c:ser>
          <c:idx val="12"/>
          <c:order val="12"/>
          <c:tx>
            <c:strRef>
              <c:f>'SATORI H4'!$CA$1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H4'!$CA$2:$CA$37</c:f>
              <c:numCache>
                <c:formatCode>0.00000</c:formatCode>
                <c:ptCount val="36"/>
                <c:pt idx="0">
                  <c:v>1.8458873533274507</c:v>
                </c:pt>
                <c:pt idx="1">
                  <c:v>1.9320554650257304</c:v>
                </c:pt>
                <c:pt idx="2">
                  <c:v>1.7027660329756449</c:v>
                </c:pt>
                <c:pt idx="3">
                  <c:v>1.7501300714474721</c:v>
                </c:pt>
                <c:pt idx="4">
                  <c:v>1.7562411868024193</c:v>
                </c:pt>
                <c:pt idx="5">
                  <c:v>1.7440174620806879</c:v>
                </c:pt>
                <c:pt idx="6">
                  <c:v>1.4051929225984401</c:v>
                </c:pt>
                <c:pt idx="7">
                  <c:v>1.1600572142407706</c:v>
                </c:pt>
                <c:pt idx="8">
                  <c:v>1.2629236567507041</c:v>
                </c:pt>
                <c:pt idx="9">
                  <c:v>1.3242987660751275</c:v>
                </c:pt>
                <c:pt idx="10">
                  <c:v>1.3173935894944067</c:v>
                </c:pt>
                <c:pt idx="11">
                  <c:v>1.2521354744558646</c:v>
                </c:pt>
                <c:pt idx="12">
                  <c:v>1.2674879677007826</c:v>
                </c:pt>
                <c:pt idx="13">
                  <c:v>1.0651942803406667</c:v>
                </c:pt>
                <c:pt idx="14">
                  <c:v>0.90263399435782732</c:v>
                </c:pt>
                <c:pt idx="15">
                  <c:v>0.94421979973625714</c:v>
                </c:pt>
                <c:pt idx="16">
                  <c:v>0.98655777998366878</c:v>
                </c:pt>
                <c:pt idx="17">
                  <c:v>0.91800026099554244</c:v>
                </c:pt>
                <c:pt idx="18">
                  <c:v>0.67863280879182697</c:v>
                </c:pt>
                <c:pt idx="19">
                  <c:v>0.84129209540366157</c:v>
                </c:pt>
                <c:pt idx="20">
                  <c:v>0.698472449596373</c:v>
                </c:pt>
                <c:pt idx="21">
                  <c:v>0.64749460178842955</c:v>
                </c:pt>
                <c:pt idx="22">
                  <c:v>0.63358961916965262</c:v>
                </c:pt>
                <c:pt idx="23">
                  <c:v>0.4470701042751774</c:v>
                </c:pt>
                <c:pt idx="24">
                  <c:v>0.26486283769432761</c:v>
                </c:pt>
                <c:pt idx="25">
                  <c:v>0.17251096931513984</c:v>
                </c:pt>
                <c:pt idx="26">
                  <c:v>7.4630926745086562E-2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BCC-4913-A265-C33880CFEBE6}"/>
            </c:ext>
          </c:extLst>
        </c:ser>
        <c:ser>
          <c:idx val="13"/>
          <c:order val="13"/>
          <c:tx>
            <c:strRef>
              <c:f>'SATORI H4'!$CB$1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H4'!$CB$2:$CB$37</c:f>
              <c:numCache>
                <c:formatCode>0.00000</c:formatCode>
                <c:ptCount val="36"/>
                <c:pt idx="0">
                  <c:v>0.14316477700836672</c:v>
                </c:pt>
                <c:pt idx="1">
                  <c:v>-5.0263795890025997E-2</c:v>
                </c:pt>
                <c:pt idx="2">
                  <c:v>-0.12079146641770132</c:v>
                </c:pt>
                <c:pt idx="3">
                  <c:v>-0.19755562528344608</c:v>
                </c:pt>
                <c:pt idx="4">
                  <c:v>-0.1980708236348033</c:v>
                </c:pt>
                <c:pt idx="5">
                  <c:v>-0.1681982456313203</c:v>
                </c:pt>
                <c:pt idx="6">
                  <c:v>-0.53055267064567391</c:v>
                </c:pt>
                <c:pt idx="7">
                  <c:v>-0.66979527370589809</c:v>
                </c:pt>
                <c:pt idx="8">
                  <c:v>-0.69464771235144196</c:v>
                </c:pt>
                <c:pt idx="9">
                  <c:v>-0.7163983260294754</c:v>
                </c:pt>
                <c:pt idx="10">
                  <c:v>-0.67705555733389045</c:v>
                </c:pt>
                <c:pt idx="11">
                  <c:v>-0.58706238440217795</c:v>
                </c:pt>
                <c:pt idx="12">
                  <c:v>-0.64709384916992085</c:v>
                </c:pt>
                <c:pt idx="13">
                  <c:v>-0.650716568797299</c:v>
                </c:pt>
                <c:pt idx="14">
                  <c:v>-0.66210355554181688</c:v>
                </c:pt>
                <c:pt idx="15">
                  <c:v>-0.74187604853581712</c:v>
                </c:pt>
                <c:pt idx="16">
                  <c:v>-0.79059207040619828</c:v>
                </c:pt>
                <c:pt idx="17">
                  <c:v>-0.67515449469882205</c:v>
                </c:pt>
                <c:pt idx="18">
                  <c:v>-0.56708104612162058</c:v>
                </c:pt>
                <c:pt idx="19">
                  <c:v>-0.27628594839074583</c:v>
                </c:pt>
                <c:pt idx="20">
                  <c:v>-0.40535084738456456</c:v>
                </c:pt>
                <c:pt idx="21">
                  <c:v>-0.34086001540122929</c:v>
                </c:pt>
                <c:pt idx="22">
                  <c:v>-0.21873472619102524</c:v>
                </c:pt>
                <c:pt idx="23">
                  <c:v>-0.18731151216287828</c:v>
                </c:pt>
                <c:pt idx="24">
                  <c:v>6.7031588973188033E-2</c:v>
                </c:pt>
                <c:pt idx="25">
                  <c:v>-0.10642760951149377</c:v>
                </c:pt>
                <c:pt idx="26">
                  <c:v>-0.11106026561913217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BCC-4913-A265-C33880CFEBE6}"/>
            </c:ext>
          </c:extLst>
        </c:ser>
        <c:ser>
          <c:idx val="14"/>
          <c:order val="14"/>
          <c:tx>
            <c:strRef>
              <c:f>'SATORI H4'!$CC$1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H4'!$CC$2:$CC$37</c:f>
              <c:numCache>
                <c:formatCode>0.00000</c:formatCode>
                <c:ptCount val="36"/>
                <c:pt idx="0">
                  <c:v>-0.78609052685304581</c:v>
                </c:pt>
                <c:pt idx="1">
                  <c:v>-0.91012619650471116</c:v>
                </c:pt>
                <c:pt idx="2">
                  <c:v>-0.97923924570663434</c:v>
                </c:pt>
                <c:pt idx="3">
                  <c:v>-0.98723255013867628</c:v>
                </c:pt>
                <c:pt idx="4">
                  <c:v>-1.0187455010208013</c:v>
                </c:pt>
                <c:pt idx="5">
                  <c:v>-1.0159235253556407</c:v>
                </c:pt>
                <c:pt idx="6">
                  <c:v>-1.1888328304204256</c:v>
                </c:pt>
                <c:pt idx="7">
                  <c:v>-1.3128970419050878</c:v>
                </c:pt>
                <c:pt idx="8">
                  <c:v>-1.2794156358746731</c:v>
                </c:pt>
                <c:pt idx="9">
                  <c:v>-1.5446676252645886</c:v>
                </c:pt>
                <c:pt idx="10">
                  <c:v>-1.4091521944482781</c:v>
                </c:pt>
                <c:pt idx="11">
                  <c:v>-1.330831835873153</c:v>
                </c:pt>
                <c:pt idx="12">
                  <c:v>-1.3053606183489563</c:v>
                </c:pt>
                <c:pt idx="13">
                  <c:v>-1.3695515296711014</c:v>
                </c:pt>
                <c:pt idx="14">
                  <c:v>-1.2493382571829565</c:v>
                </c:pt>
                <c:pt idx="15">
                  <c:v>-1.1786745364083122</c:v>
                </c:pt>
                <c:pt idx="16">
                  <c:v>-1.1010048163017327</c:v>
                </c:pt>
                <c:pt idx="17">
                  <c:v>-0.83106823966087406</c:v>
                </c:pt>
                <c:pt idx="18">
                  <c:v>-0.73070571521508376</c:v>
                </c:pt>
                <c:pt idx="19">
                  <c:v>-0.53738985676161222</c:v>
                </c:pt>
                <c:pt idx="20">
                  <c:v>-0.82702994257394269</c:v>
                </c:pt>
                <c:pt idx="21">
                  <c:v>-0.46686847797969422</c:v>
                </c:pt>
                <c:pt idx="22">
                  <c:v>-0.47154611839075433</c:v>
                </c:pt>
                <c:pt idx="23">
                  <c:v>-0.42853033814529273</c:v>
                </c:pt>
                <c:pt idx="24">
                  <c:v>-0.3248390206583644</c:v>
                </c:pt>
                <c:pt idx="25">
                  <c:v>-0.33371429041984912</c:v>
                </c:pt>
                <c:pt idx="26">
                  <c:v>-0.35941246304615798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BCC-4913-A265-C33880CFEBE6}"/>
            </c:ext>
          </c:extLst>
        </c:ser>
        <c:ser>
          <c:idx val="15"/>
          <c:order val="15"/>
          <c:tx>
            <c:strRef>
              <c:f>'SATORI H4'!$CD$1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H4'!$CD$2:$CD$37</c:f>
              <c:numCache>
                <c:formatCode>0.00000</c:formatCode>
                <c:ptCount val="36"/>
                <c:pt idx="0">
                  <c:v>0.81021236550396192</c:v>
                </c:pt>
                <c:pt idx="1">
                  <c:v>0.79560857750602054</c:v>
                </c:pt>
                <c:pt idx="2">
                  <c:v>0.63865273329173655</c:v>
                </c:pt>
                <c:pt idx="3">
                  <c:v>0.67914106759040727</c:v>
                </c:pt>
                <c:pt idx="4">
                  <c:v>0.74376814127650992</c:v>
                </c:pt>
                <c:pt idx="5">
                  <c:v>0.70722644720358296</c:v>
                </c:pt>
                <c:pt idx="6">
                  <c:v>0.4293014700351423</c:v>
                </c:pt>
                <c:pt idx="7">
                  <c:v>0.27968623525213848</c:v>
                </c:pt>
                <c:pt idx="8">
                  <c:v>0.40655687231190224</c:v>
                </c:pt>
                <c:pt idx="9">
                  <c:v>0.48487334976070084</c:v>
                </c:pt>
                <c:pt idx="10">
                  <c:v>0.50289979229859161</c:v>
                </c:pt>
                <c:pt idx="11">
                  <c:v>0.51416504968155841</c:v>
                </c:pt>
                <c:pt idx="12">
                  <c:v>0.45385957710082775</c:v>
                </c:pt>
                <c:pt idx="13">
                  <c:v>0.2233797497347329</c:v>
                </c:pt>
                <c:pt idx="14">
                  <c:v>0.20925521655056251</c:v>
                </c:pt>
                <c:pt idx="15">
                  <c:v>0.23693163962704425</c:v>
                </c:pt>
                <c:pt idx="16">
                  <c:v>0.26798736489116193</c:v>
                </c:pt>
                <c:pt idx="17">
                  <c:v>0.31708775543679291</c:v>
                </c:pt>
                <c:pt idx="18">
                  <c:v>0.24649141402159194</c:v>
                </c:pt>
                <c:pt idx="19">
                  <c:v>0.42238993410615921</c:v>
                </c:pt>
                <c:pt idx="20">
                  <c:v>0.21335629098873107</c:v>
                </c:pt>
                <c:pt idx="21">
                  <c:v>0.20714139104862961</c:v>
                </c:pt>
                <c:pt idx="22">
                  <c:v>0.24723966004588982</c:v>
                </c:pt>
                <c:pt idx="23">
                  <c:v>0.18394601710115252</c:v>
                </c:pt>
                <c:pt idx="24">
                  <c:v>0.22348890135912594</c:v>
                </c:pt>
                <c:pt idx="25">
                  <c:v>0.1041531096707758</c:v>
                </c:pt>
                <c:pt idx="26">
                  <c:v>2.6609597572297167E-2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BCC-4913-A265-C33880CFEBE6}"/>
            </c:ext>
          </c:extLst>
        </c:ser>
        <c:ser>
          <c:idx val="16"/>
          <c:order val="16"/>
          <c:tx>
            <c:strRef>
              <c:f>'SATORI H4'!$CE$1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H4'!$CE$2:$CE$37</c:f>
              <c:numCache>
                <c:formatCode>0.00000</c:formatCode>
                <c:ptCount val="36"/>
                <c:pt idx="0">
                  <c:v>-0.42775189884635473</c:v>
                </c:pt>
                <c:pt idx="1">
                  <c:v>-0.46269343896194054</c:v>
                </c:pt>
                <c:pt idx="2">
                  <c:v>-0.67008408752906279</c:v>
                </c:pt>
                <c:pt idx="3">
                  <c:v>-0.58217751965263598</c:v>
                </c:pt>
                <c:pt idx="4">
                  <c:v>-0.57679577453206965</c:v>
                </c:pt>
                <c:pt idx="5">
                  <c:v>-0.6270506384849841</c:v>
                </c:pt>
                <c:pt idx="6">
                  <c:v>-0.65308225343250825</c:v>
                </c:pt>
                <c:pt idx="7">
                  <c:v>-0.75551825339657841</c:v>
                </c:pt>
                <c:pt idx="8">
                  <c:v>-0.77259383531442805</c:v>
                </c:pt>
                <c:pt idx="9">
                  <c:v>-0.7869753406984985</c:v>
                </c:pt>
                <c:pt idx="10">
                  <c:v>-0.73666539550041243</c:v>
                </c:pt>
                <c:pt idx="11">
                  <c:v>-0.55283362398984381</c:v>
                </c:pt>
                <c:pt idx="12">
                  <c:v>-0.19452918137217995</c:v>
                </c:pt>
                <c:pt idx="13">
                  <c:v>-0.28306670250043625</c:v>
                </c:pt>
                <c:pt idx="14">
                  <c:v>-0.21693090963059308</c:v>
                </c:pt>
                <c:pt idx="15">
                  <c:v>-0.1910195443697012</c:v>
                </c:pt>
                <c:pt idx="16">
                  <c:v>-3.8464923570520178E-2</c:v>
                </c:pt>
                <c:pt idx="17">
                  <c:v>-8.7556287060831378E-2</c:v>
                </c:pt>
                <c:pt idx="18">
                  <c:v>-5.5434079908294062E-2</c:v>
                </c:pt>
                <c:pt idx="19">
                  <c:v>1.767967439383003E-2</c:v>
                </c:pt>
                <c:pt idx="20">
                  <c:v>-0.20393489497689515</c:v>
                </c:pt>
                <c:pt idx="21">
                  <c:v>6.9651944337634122E-2</c:v>
                </c:pt>
                <c:pt idx="22">
                  <c:v>-3.2936861885490651E-2</c:v>
                </c:pt>
                <c:pt idx="23">
                  <c:v>6.5095363980746945E-2</c:v>
                </c:pt>
                <c:pt idx="24">
                  <c:v>-0.30163749349434138</c:v>
                </c:pt>
                <c:pt idx="25">
                  <c:v>-0.18192195191551508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BCC-4913-A265-C33880CFEBE6}"/>
            </c:ext>
          </c:extLst>
        </c:ser>
        <c:ser>
          <c:idx val="17"/>
          <c:order val="17"/>
          <c:tx>
            <c:strRef>
              <c:f>'SATORI H4'!$CF$1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H4'!$CF$2:$CF$37</c:f>
              <c:numCache>
                <c:formatCode>0.00000</c:formatCode>
                <c:ptCount val="36"/>
                <c:pt idx="0">
                  <c:v>-8.2244814670909022E-2</c:v>
                </c:pt>
                <c:pt idx="1">
                  <c:v>-0.3226118063654192</c:v>
                </c:pt>
                <c:pt idx="2">
                  <c:v>-0.89934344970825009</c:v>
                </c:pt>
                <c:pt idx="3">
                  <c:v>-0.71743828223457451</c:v>
                </c:pt>
                <c:pt idx="4">
                  <c:v>-0.7363684142722462</c:v>
                </c:pt>
                <c:pt idx="5">
                  <c:v>-0.80214127165564397</c:v>
                </c:pt>
                <c:pt idx="6">
                  <c:v>-0.74061575434173754</c:v>
                </c:pt>
                <c:pt idx="7">
                  <c:v>-0.81113056508313564</c:v>
                </c:pt>
                <c:pt idx="8">
                  <c:v>-0.95394253810169327</c:v>
                </c:pt>
                <c:pt idx="9">
                  <c:v>-1.0441376443578538</c:v>
                </c:pt>
                <c:pt idx="10">
                  <c:v>-1.1814647310693407</c:v>
                </c:pt>
                <c:pt idx="11">
                  <c:v>-1.1566463802751552</c:v>
                </c:pt>
                <c:pt idx="12">
                  <c:v>-0.61099609011944911</c:v>
                </c:pt>
                <c:pt idx="13">
                  <c:v>-0.57214870260625295</c:v>
                </c:pt>
                <c:pt idx="14">
                  <c:v>-0.45574220271898463</c:v>
                </c:pt>
                <c:pt idx="15">
                  <c:v>-0.87329082896821131</c:v>
                </c:pt>
                <c:pt idx="16">
                  <c:v>-0.59657051601697242</c:v>
                </c:pt>
                <c:pt idx="17">
                  <c:v>-0.73433256625279819</c:v>
                </c:pt>
                <c:pt idx="18">
                  <c:v>-1.1678936819993566</c:v>
                </c:pt>
                <c:pt idx="19">
                  <c:v>-1.0982344843466578</c:v>
                </c:pt>
                <c:pt idx="20">
                  <c:v>-1.166356893450764</c:v>
                </c:pt>
                <c:pt idx="21">
                  <c:v>-0.1398528088634832</c:v>
                </c:pt>
                <c:pt idx="22">
                  <c:v>-0.28483951405370117</c:v>
                </c:pt>
                <c:pt idx="23">
                  <c:v>-0.19175788460225662</c:v>
                </c:pt>
                <c:pt idx="24">
                  <c:v>-0.58813536196148786</c:v>
                </c:pt>
                <c:pt idx="25">
                  <c:v>1.0438914478597166E-2</c:v>
                </c:pt>
                <c:pt idx="26">
                  <c:v>1.4613626162561762E-2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BCC-4913-A265-C33880CFEBE6}"/>
            </c:ext>
          </c:extLst>
        </c:ser>
        <c:ser>
          <c:idx val="18"/>
          <c:order val="18"/>
          <c:tx>
            <c:strRef>
              <c:f>'SATORI H4'!$CG$1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H4'!$CG$2:$CG$37</c:f>
              <c:numCache>
                <c:formatCode>0.00000</c:formatCode>
                <c:ptCount val="36"/>
                <c:pt idx="0">
                  <c:v>0.71125964408147135</c:v>
                </c:pt>
                <c:pt idx="1">
                  <c:v>0.61318546433823851</c:v>
                </c:pt>
                <c:pt idx="2">
                  <c:v>0.10576457383139015</c:v>
                </c:pt>
                <c:pt idx="3">
                  <c:v>0.2958255051299396</c:v>
                </c:pt>
                <c:pt idx="4">
                  <c:v>0.25220427165569037</c:v>
                </c:pt>
                <c:pt idx="5">
                  <c:v>0.2197574452909539</c:v>
                </c:pt>
                <c:pt idx="6">
                  <c:v>0.45973422893235427</c:v>
                </c:pt>
                <c:pt idx="7">
                  <c:v>0.51328175235939777</c:v>
                </c:pt>
                <c:pt idx="8">
                  <c:v>0.33447084489404622</c:v>
                </c:pt>
                <c:pt idx="9">
                  <c:v>0.51184899502958081</c:v>
                </c:pt>
                <c:pt idx="10">
                  <c:v>0.21646437964497009</c:v>
                </c:pt>
                <c:pt idx="11">
                  <c:v>0.17728819876295021</c:v>
                </c:pt>
                <c:pt idx="12">
                  <c:v>0.70283044256109983</c:v>
                </c:pt>
                <c:pt idx="13">
                  <c:v>0.80738408747913459</c:v>
                </c:pt>
                <c:pt idx="14">
                  <c:v>0.79959757150008604</c:v>
                </c:pt>
                <c:pt idx="15">
                  <c:v>0.31112201763364256</c:v>
                </c:pt>
                <c:pt idx="16">
                  <c:v>0.48742195068430239</c:v>
                </c:pt>
                <c:pt idx="17">
                  <c:v>9.9851101388870656E-2</c:v>
                </c:pt>
                <c:pt idx="18">
                  <c:v>-0.42940433755531976</c:v>
                </c:pt>
                <c:pt idx="19">
                  <c:v>-0.55116856593089936</c:v>
                </c:pt>
                <c:pt idx="20">
                  <c:v>-0.33404383733681242</c:v>
                </c:pt>
                <c:pt idx="21">
                  <c:v>0.33531965274007353</c:v>
                </c:pt>
                <c:pt idx="22">
                  <c:v>0.18423351125629001</c:v>
                </c:pt>
                <c:pt idx="23">
                  <c:v>0.24463146667365332</c:v>
                </c:pt>
                <c:pt idx="24">
                  <c:v>-0.2601011037528379</c:v>
                </c:pt>
                <c:pt idx="25">
                  <c:v>0.34770654300365578</c:v>
                </c:pt>
                <c:pt idx="26">
                  <c:v>0.38456363799444293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BCC-4913-A265-C33880CFEBE6}"/>
            </c:ext>
          </c:extLst>
        </c:ser>
        <c:ser>
          <c:idx val="19"/>
          <c:order val="19"/>
          <c:tx>
            <c:strRef>
              <c:f>'SATORI H4'!$CH$1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H4'!$CH$2:$CH$37</c:f>
              <c:numCache>
                <c:formatCode>0.00000</c:formatCode>
                <c:ptCount val="36"/>
                <c:pt idx="0">
                  <c:v>0.36561602252379655</c:v>
                </c:pt>
                <c:pt idx="1">
                  <c:v>0.47239455241225203</c:v>
                </c:pt>
                <c:pt idx="2">
                  <c:v>0.33300709346472118</c:v>
                </c:pt>
                <c:pt idx="3">
                  <c:v>0.42838689583778133</c:v>
                </c:pt>
                <c:pt idx="4">
                  <c:v>0.41884800578302922</c:v>
                </c:pt>
                <c:pt idx="5">
                  <c:v>0.39594942740310179</c:v>
                </c:pt>
                <c:pt idx="6">
                  <c:v>0.54837392964184117</c:v>
                </c:pt>
                <c:pt idx="7">
                  <c:v>0.56932790708773096</c:v>
                </c:pt>
                <c:pt idx="8">
                  <c:v>0.51596204599145379</c:v>
                </c:pt>
                <c:pt idx="9">
                  <c:v>0.76880895004269667</c:v>
                </c:pt>
                <c:pt idx="10">
                  <c:v>0.66413875630769514</c:v>
                </c:pt>
                <c:pt idx="11">
                  <c:v>0.78199155436121437</c:v>
                </c:pt>
                <c:pt idx="12">
                  <c:v>1.1192021783903137</c:v>
                </c:pt>
                <c:pt idx="13">
                  <c:v>1.0983589761165202</c:v>
                </c:pt>
                <c:pt idx="14">
                  <c:v>1.0395845183582859</c:v>
                </c:pt>
                <c:pt idx="15">
                  <c:v>0.99406099787269819</c:v>
                </c:pt>
                <c:pt idx="16">
                  <c:v>1.0509330357873841</c:v>
                </c:pt>
                <c:pt idx="17">
                  <c:v>0.74859993696819793</c:v>
                </c:pt>
                <c:pt idx="18">
                  <c:v>0.68581215965552622</c:v>
                </c:pt>
                <c:pt idx="19">
                  <c:v>0.56580072999555475</c:v>
                </c:pt>
                <c:pt idx="20">
                  <c:v>0.63052688126437917</c:v>
                </c:pt>
                <c:pt idx="21">
                  <c:v>0.5447864651375478</c:v>
                </c:pt>
                <c:pt idx="22">
                  <c:v>0.43606386037283501</c:v>
                </c:pt>
                <c:pt idx="23">
                  <c:v>0.50087390974284451</c:v>
                </c:pt>
                <c:pt idx="24">
                  <c:v>2.5896413716943373E-2</c:v>
                </c:pt>
                <c:pt idx="25">
                  <c:v>0.15596278582153469</c:v>
                </c:pt>
                <c:pt idx="26">
                  <c:v>0.36973180076628109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BCC-4913-A265-C33880CFEBE6}"/>
            </c:ext>
          </c:extLst>
        </c:ser>
        <c:ser>
          <c:idx val="20"/>
          <c:order val="20"/>
          <c:tx>
            <c:strRef>
              <c:f>'SATORI H4'!$CI$1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H4'!$CI$2:$CI$37</c:f>
              <c:numCache>
                <c:formatCode>0.00000</c:formatCode>
                <c:ptCount val="36"/>
                <c:pt idx="0">
                  <c:v>2.6328854359750467</c:v>
                </c:pt>
                <c:pt idx="1">
                  <c:v>2.8552519349200201</c:v>
                </c:pt>
                <c:pt idx="2">
                  <c:v>2.6959334279620313</c:v>
                </c:pt>
                <c:pt idx="3">
                  <c:v>2.7479287483831913</c:v>
                </c:pt>
                <c:pt idx="4">
                  <c:v>2.7901571063497399</c:v>
                </c:pt>
                <c:pt idx="5">
                  <c:v>2.7690384683394278</c:v>
                </c:pt>
                <c:pt idx="6">
                  <c:v>2.607952848892011</c:v>
                </c:pt>
                <c:pt idx="7">
                  <c:v>2.4857691824045425</c:v>
                </c:pt>
                <c:pt idx="8">
                  <c:v>2.5525183358299173</c:v>
                </c:pt>
                <c:pt idx="9">
                  <c:v>2.8835367041040851</c:v>
                </c:pt>
                <c:pt idx="10">
                  <c:v>2.73403072386487</c:v>
                </c:pt>
                <c:pt idx="11">
                  <c:v>2.5891904550152831</c:v>
                </c:pt>
                <c:pt idx="12">
                  <c:v>2.5826803562245453</c:v>
                </c:pt>
                <c:pt idx="13">
                  <c:v>2.4474130811267627</c:v>
                </c:pt>
                <c:pt idx="14">
                  <c:v>2.161395266302863</c:v>
                </c:pt>
                <c:pt idx="15">
                  <c:v>2.1319676337559086</c:v>
                </c:pt>
                <c:pt idx="16">
                  <c:v>2.0894429776331696</c:v>
                </c:pt>
                <c:pt idx="17">
                  <c:v>1.7563175058421729</c:v>
                </c:pt>
                <c:pt idx="18">
                  <c:v>1.420426571604342</c:v>
                </c:pt>
                <c:pt idx="19">
                  <c:v>1.3924278233130885</c:v>
                </c:pt>
                <c:pt idx="20">
                  <c:v>1.5338682127675516</c:v>
                </c:pt>
                <c:pt idx="21">
                  <c:v>1.1243231710699335</c:v>
                </c:pt>
                <c:pt idx="22">
                  <c:v>1.101198346570829</c:v>
                </c:pt>
                <c:pt idx="23">
                  <c:v>0.88268785972284469</c:v>
                </c:pt>
                <c:pt idx="24">
                  <c:v>0.59048923106413875</c:v>
                </c:pt>
                <c:pt idx="25">
                  <c:v>0.51073513951308191</c:v>
                </c:pt>
                <c:pt idx="26">
                  <c:v>0.44422919554434703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BCC-4913-A265-C33880CFEBE6}"/>
            </c:ext>
          </c:extLst>
        </c:ser>
        <c:ser>
          <c:idx val="21"/>
          <c:order val="21"/>
          <c:tx>
            <c:strRef>
              <c:f>'SATORI H4'!$CJ$1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H4'!$CJ$2:$CJ$37</c:f>
              <c:numCache>
                <c:formatCode>0.00000</c:formatCode>
                <c:ptCount val="36"/>
                <c:pt idx="0">
                  <c:v>1.5995348594354999</c:v>
                </c:pt>
                <c:pt idx="1">
                  <c:v>1.7214787891384136</c:v>
                </c:pt>
                <c:pt idx="2">
                  <c:v>1.6341289590517809</c:v>
                </c:pt>
                <c:pt idx="3">
                  <c:v>1.6819689820149866</c:v>
                </c:pt>
                <c:pt idx="4">
                  <c:v>1.7680069343117284</c:v>
                </c:pt>
                <c:pt idx="5">
                  <c:v>1.7333407457993844</c:v>
                </c:pt>
                <c:pt idx="6">
                  <c:v>1.6328274098335516</c:v>
                </c:pt>
                <c:pt idx="7">
                  <c:v>1.60649555666954</c:v>
                </c:pt>
                <c:pt idx="8">
                  <c:v>1.6973774699729893</c:v>
                </c:pt>
                <c:pt idx="9">
                  <c:v>2.0429652671486913</c:v>
                </c:pt>
                <c:pt idx="10">
                  <c:v>1.9152924912800504</c:v>
                </c:pt>
                <c:pt idx="11">
                  <c:v>1.8496232018217567</c:v>
                </c:pt>
                <c:pt idx="12">
                  <c:v>1.7695620207401004</c:v>
                </c:pt>
                <c:pt idx="13">
                  <c:v>1.6067852403690617</c:v>
                </c:pt>
                <c:pt idx="14">
                  <c:v>1.4665529581785608</c:v>
                </c:pt>
                <c:pt idx="15">
                  <c:v>1.4233859377821405</c:v>
                </c:pt>
                <c:pt idx="16">
                  <c:v>1.3681976377017555</c:v>
                </c:pt>
                <c:pt idx="17">
                  <c:v>1.1541858790781634</c:v>
                </c:pt>
                <c:pt idx="18">
                  <c:v>0.98799090105685472</c:v>
                </c:pt>
                <c:pt idx="19">
                  <c:v>0.97233240090026074</c:v>
                </c:pt>
                <c:pt idx="20">
                  <c:v>1.0493610218472416</c:v>
                </c:pt>
                <c:pt idx="21">
                  <c:v>0.68334384440741835</c:v>
                </c:pt>
                <c:pt idx="22">
                  <c:v>0.71715577760470595</c:v>
                </c:pt>
                <c:pt idx="23">
                  <c:v>0.62045683766683224</c:v>
                </c:pt>
                <c:pt idx="24">
                  <c:v>0.55151134089638931</c:v>
                </c:pt>
                <c:pt idx="25">
                  <c:v>0.44374358646155765</c:v>
                </c:pt>
                <c:pt idx="26">
                  <c:v>0.39649720262708943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BCC-4913-A265-C33880CFEBE6}"/>
            </c:ext>
          </c:extLst>
        </c:ser>
        <c:ser>
          <c:idx val="22"/>
          <c:order val="22"/>
          <c:tx>
            <c:strRef>
              <c:f>'SATORI H4'!$CK$1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H4'!$CK$2:$CK$37</c:f>
              <c:numCache>
                <c:formatCode>0.00000</c:formatCode>
                <c:ptCount val="36"/>
                <c:pt idx="0">
                  <c:v>-0.88099538926819709</c:v>
                </c:pt>
                <c:pt idx="1">
                  <c:v>-1.1028654368117785</c:v>
                </c:pt>
                <c:pt idx="2">
                  <c:v>-1.5241348620130541</c:v>
                </c:pt>
                <c:pt idx="3">
                  <c:v>-1.3811081169465369</c:v>
                </c:pt>
                <c:pt idx="4">
                  <c:v>-1.4812335076227099</c:v>
                </c:pt>
                <c:pt idx="5">
                  <c:v>-1.5065051780801282</c:v>
                </c:pt>
                <c:pt idx="6">
                  <c:v>-1.1669624414029793</c:v>
                </c:pt>
                <c:pt idx="7">
                  <c:v>-1.0905305077682739</c:v>
                </c:pt>
                <c:pt idx="8">
                  <c:v>-1.3568856479551865</c:v>
                </c:pt>
                <c:pt idx="9">
                  <c:v>-1.526331158585315</c:v>
                </c:pt>
                <c:pt idx="10">
                  <c:v>-1.6876108945366284</c:v>
                </c:pt>
                <c:pt idx="11">
                  <c:v>-1.6679236406273017</c:v>
                </c:pt>
                <c:pt idx="12">
                  <c:v>-1.0631732282974875</c:v>
                </c:pt>
                <c:pt idx="13">
                  <c:v>-0.79552767279355097</c:v>
                </c:pt>
                <c:pt idx="14">
                  <c:v>-0.66281059219808647</c:v>
                </c:pt>
                <c:pt idx="15">
                  <c:v>-1.1093515313324118</c:v>
                </c:pt>
                <c:pt idx="16">
                  <c:v>-0.87219517554208115</c:v>
                </c:pt>
                <c:pt idx="17">
                  <c:v>-1.050146038743522</c:v>
                </c:pt>
                <c:pt idx="18">
                  <c:v>-1.4129493488562015</c:v>
                </c:pt>
                <c:pt idx="19">
                  <c:v>-1.5196599478396333</c:v>
                </c:pt>
                <c:pt idx="20">
                  <c:v>-1.3785147084535718</c:v>
                </c:pt>
                <c:pt idx="21">
                  <c:v>-0.34611817937810369</c:v>
                </c:pt>
                <c:pt idx="22">
                  <c:v>-0.53519264135003297</c:v>
                </c:pt>
                <c:pt idx="23">
                  <c:v>-0.37418290673849919</c:v>
                </c:pt>
                <c:pt idx="24">
                  <c:v>-0.81099399988149334</c:v>
                </c:pt>
                <c:pt idx="25">
                  <c:v>-9.4038982580454303E-2</c:v>
                </c:pt>
                <c:pt idx="26">
                  <c:v>-1.1984107230108898E-2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BCC-4913-A265-C33880CFEBE6}"/>
            </c:ext>
          </c:extLst>
        </c:ser>
        <c:ser>
          <c:idx val="23"/>
          <c:order val="23"/>
          <c:tx>
            <c:strRef>
              <c:f>'SATORI H4'!$CL$1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H4'!$CL$2:$CL$37</c:f>
              <c:numCache>
                <c:formatCode>0.00000</c:formatCode>
                <c:ptCount val="36"/>
                <c:pt idx="0">
                  <c:v>-1.2274285516871299</c:v>
                </c:pt>
                <c:pt idx="1">
                  <c:v>-1.24497297096686</c:v>
                </c:pt>
                <c:pt idx="2">
                  <c:v>-1.2992305989510311</c:v>
                </c:pt>
                <c:pt idx="3">
                  <c:v>-1.2481906601989594</c:v>
                </c:pt>
                <c:pt idx="4">
                  <c:v>-1.3232118097783574</c:v>
                </c:pt>
                <c:pt idx="5">
                  <c:v>-1.3311934201480649</c:v>
                </c:pt>
                <c:pt idx="6">
                  <c:v>-1.0796090757004317</c:v>
                </c:pt>
                <c:pt idx="7">
                  <c:v>-1.0350443773079523</c:v>
                </c:pt>
                <c:pt idx="8">
                  <c:v>-1.1768973920829715</c:v>
                </c:pt>
                <c:pt idx="9">
                  <c:v>-1.2694264669517596</c:v>
                </c:pt>
                <c:pt idx="10">
                  <c:v>-1.2439077186463559</c:v>
                </c:pt>
                <c:pt idx="11">
                  <c:v>-1.0640057890787633</c:v>
                </c:pt>
                <c:pt idx="12">
                  <c:v>-0.64862068586667032</c:v>
                </c:pt>
                <c:pt idx="13">
                  <c:v>-0.50613445953521385</c:v>
                </c:pt>
                <c:pt idx="14">
                  <c:v>-0.42387680324565474</c:v>
                </c:pt>
                <c:pt idx="15">
                  <c:v>-0.42545870627500948</c:v>
                </c:pt>
                <c:pt idx="16">
                  <c:v>-0.3132695965192992</c:v>
                </c:pt>
                <c:pt idx="17">
                  <c:v>-0.40341810432425562</c:v>
                </c:pt>
                <c:pt idx="18">
                  <c:v>-0.29914446501625441</c:v>
                </c:pt>
                <c:pt idx="19">
                  <c:v>-0.40352694773778941</c:v>
                </c:pt>
                <c:pt idx="20">
                  <c:v>-0.41618097092628203</c:v>
                </c:pt>
                <c:pt idx="21">
                  <c:v>-0.13541944471924341</c:v>
                </c:pt>
                <c:pt idx="22">
                  <c:v>-0.28390692596085976</c:v>
                </c:pt>
                <c:pt idx="23">
                  <c:v>-0.11674350005684458</c:v>
                </c:pt>
                <c:pt idx="24">
                  <c:v>-0.52527516126057461</c:v>
                </c:pt>
                <c:pt idx="25">
                  <c:v>-0.28516774478478818</c:v>
                </c:pt>
                <c:pt idx="26">
                  <c:v>-2.520240682984248E-2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BCC-4913-A265-C33880CFEBE6}"/>
            </c:ext>
          </c:extLst>
        </c:ser>
        <c:ser>
          <c:idx val="24"/>
          <c:order val="24"/>
          <c:tx>
            <c:strRef>
              <c:f>'SATORI H4'!$CM$1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H4'!$CM$2:$CM$37</c:f>
              <c:numCache>
                <c:formatCode>0.00000</c:formatCode>
                <c:ptCount val="36"/>
                <c:pt idx="0">
                  <c:v>0.34055937784486923</c:v>
                </c:pt>
                <c:pt idx="1">
                  <c:v>0.13598031388176718</c:v>
                </c:pt>
                <c:pt idx="2">
                  <c:v>-0.22832375388700799</c:v>
                </c:pt>
                <c:pt idx="3">
                  <c:v>-0.13806258260176821</c:v>
                </c:pt>
                <c:pt idx="4">
                  <c:v>-0.16854967249179231</c:v>
                </c:pt>
                <c:pt idx="5">
                  <c:v>-0.17910400973804896</c:v>
                </c:pt>
                <c:pt idx="6">
                  <c:v>-9.5911283828789898E-2</c:v>
                </c:pt>
                <c:pt idx="7">
                  <c:v>-6.0771779998582701E-2</c:v>
                </c:pt>
                <c:pt idx="8">
                  <c:v>-0.18332439259746219</c:v>
                </c:pt>
                <c:pt idx="9">
                  <c:v>-0.25902417547404866</c:v>
                </c:pt>
                <c:pt idx="10">
                  <c:v>-0.45481784540002224</c:v>
                </c:pt>
                <c:pt idx="11">
                  <c:v>-0.61146258572897105</c:v>
                </c:pt>
                <c:pt idx="12">
                  <c:v>-0.42043893406207594</c:v>
                </c:pt>
                <c:pt idx="13">
                  <c:v>-0.29129760648922909</c:v>
                </c:pt>
                <c:pt idx="14">
                  <c:v>-0.24025414914570808</c:v>
                </c:pt>
                <c:pt idx="15">
                  <c:v>-0.68578032380846976</c:v>
                </c:pt>
                <c:pt idx="16">
                  <c:v>-0.56746708214337649</c:v>
                </c:pt>
                <c:pt idx="17">
                  <c:v>-0.64817352864442856</c:v>
                </c:pt>
                <c:pt idx="18">
                  <c:v>-1.1145478236084212</c:v>
                </c:pt>
                <c:pt idx="19">
                  <c:v>-1.1180990230260246</c:v>
                </c:pt>
                <c:pt idx="20">
                  <c:v>-0.96386011227185198</c:v>
                </c:pt>
                <c:pt idx="21">
                  <c:v>-0.21602882301070594</c:v>
                </c:pt>
                <c:pt idx="22">
                  <c:v>-0.25945121135941346</c:v>
                </c:pt>
                <c:pt idx="23">
                  <c:v>-0.2565173522785355</c:v>
                </c:pt>
                <c:pt idx="24">
                  <c:v>-0.28762593296421396</c:v>
                </c:pt>
                <c:pt idx="25">
                  <c:v>0.19195255201171829</c:v>
                </c:pt>
                <c:pt idx="26">
                  <c:v>7.023129506508366E-3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BCC-4913-A265-C33880CFEBE6}"/>
            </c:ext>
          </c:extLst>
        </c:ser>
        <c:ser>
          <c:idx val="25"/>
          <c:order val="25"/>
          <c:tx>
            <c:strRef>
              <c:f>'SATORI H4'!$CN$1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H4'!$CN$2:$CN$37</c:f>
              <c:numCache>
                <c:formatCode>0.00000</c:formatCode>
                <c:ptCount val="36"/>
                <c:pt idx="0">
                  <c:v>-1.0238395818281536</c:v>
                </c:pt>
                <c:pt idx="1">
                  <c:v>-1.1254753281512182</c:v>
                </c:pt>
                <c:pt idx="2">
                  <c:v>-1.05335127477942</c:v>
                </c:pt>
                <c:pt idx="3">
                  <c:v>-1.0577672281469488</c:v>
                </c:pt>
                <c:pt idx="4">
                  <c:v>-1.0114212072838897</c:v>
                </c:pt>
                <c:pt idx="5">
                  <c:v>-1.0349675862923002</c:v>
                </c:pt>
                <c:pt idx="6">
                  <c:v>-0.97319652162386572</c:v>
                </c:pt>
                <c:pt idx="7">
                  <c:v>-0.87548789902159629</c:v>
                </c:pt>
                <c:pt idx="8">
                  <c:v>-0.85345321643118521</c:v>
                </c:pt>
                <c:pt idx="9">
                  <c:v>-0.83876558561947478</c:v>
                </c:pt>
                <c:pt idx="10">
                  <c:v>-0.81380284617908016</c:v>
                </c:pt>
                <c:pt idx="11">
                  <c:v>-0.73603835520637562</c:v>
                </c:pt>
                <c:pt idx="12">
                  <c:v>-0.81092437428028674</c:v>
                </c:pt>
                <c:pt idx="13">
                  <c:v>-0.83883087282252644</c:v>
                </c:pt>
                <c:pt idx="14">
                  <c:v>-0.69290220920643353</c:v>
                </c:pt>
                <c:pt idx="15">
                  <c:v>-0.70683703821140698</c:v>
                </c:pt>
                <c:pt idx="16">
                  <c:v>-0.71783942939776513</c:v>
                </c:pt>
                <c:pt idx="17">
                  <c:v>-0.60061815959835663</c:v>
                </c:pt>
                <c:pt idx="18">
                  <c:v>-0.43166588313099258</c:v>
                </c:pt>
                <c:pt idx="19">
                  <c:v>-0.41923371159627731</c:v>
                </c:pt>
                <c:pt idx="20">
                  <c:v>-0.48436217566220036</c:v>
                </c:pt>
                <c:pt idx="21">
                  <c:v>-0.44047461559110734</c:v>
                </c:pt>
                <c:pt idx="22">
                  <c:v>-0.3841839510688515</c:v>
                </c:pt>
                <c:pt idx="23">
                  <c:v>-0.26151860840904884</c:v>
                </c:pt>
                <c:pt idx="24">
                  <c:v>-4.0044347506546174E-2</c:v>
                </c:pt>
                <c:pt idx="25">
                  <c:v>-6.7007364449521684E-2</c:v>
                </c:pt>
                <c:pt idx="26">
                  <c:v>-4.8063968772992779E-2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BCC-4913-A265-C33880CFEBE6}"/>
            </c:ext>
          </c:extLst>
        </c:ser>
        <c:ser>
          <c:idx val="26"/>
          <c:order val="26"/>
          <c:tx>
            <c:strRef>
              <c:f>'SATORI H4'!$CO$1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H4'!$CO$2:$CO$37</c:f>
              <c:numCache>
                <c:formatCode>0.00000</c:formatCode>
                <c:ptCount val="36"/>
                <c:pt idx="0">
                  <c:v>-2.2555966882565555</c:v>
                </c:pt>
                <c:pt idx="1">
                  <c:v>-2.3777713980916242</c:v>
                </c:pt>
                <c:pt idx="2">
                  <c:v>-2.3578045196194428</c:v>
                </c:pt>
                <c:pt idx="3">
                  <c:v>-2.313192584752862</c:v>
                </c:pt>
                <c:pt idx="4">
                  <c:v>-2.327282549175703</c:v>
                </c:pt>
                <c:pt idx="5">
                  <c:v>-2.3660449707699018</c:v>
                </c:pt>
                <c:pt idx="6">
                  <c:v>-2.0534022616681273</c:v>
                </c:pt>
                <c:pt idx="7">
                  <c:v>-1.9107505773259039</c:v>
                </c:pt>
                <c:pt idx="8">
                  <c:v>-2.0313312375928305</c:v>
                </c:pt>
                <c:pt idx="9">
                  <c:v>-2.109828771364338</c:v>
                </c:pt>
                <c:pt idx="10">
                  <c:v>-2.0512828186460559</c:v>
                </c:pt>
                <c:pt idx="11">
                  <c:v>-1.8001673989912992</c:v>
                </c:pt>
                <c:pt idx="12">
                  <c:v>-1.4567967798766253</c:v>
                </c:pt>
                <c:pt idx="13">
                  <c:v>-1.344019195874762</c:v>
                </c:pt>
                <c:pt idx="14">
                  <c:v>-1.1189716342766862</c:v>
                </c:pt>
                <c:pt idx="15">
                  <c:v>-1.1340544155415602</c:v>
                </c:pt>
                <c:pt idx="16">
                  <c:v>-1.021640174859191</c:v>
                </c:pt>
                <c:pt idx="17">
                  <c:v>-1.00310105732118</c:v>
                </c:pt>
                <c:pt idx="18">
                  <c:v>-0.73385206556043681</c:v>
                </c:pt>
                <c:pt idx="19">
                  <c:v>-0.82291058973345765</c:v>
                </c:pt>
                <c:pt idx="20">
                  <c:v>-0.90162158149195537</c:v>
                </c:pt>
                <c:pt idx="21">
                  <c:v>-0.57741450431682828</c:v>
                </c:pt>
                <c:pt idx="22">
                  <c:v>-0.66286583747309602</c:v>
                </c:pt>
                <c:pt idx="23">
                  <c:v>-0.38189903531287606</c:v>
                </c:pt>
                <c:pt idx="24">
                  <c:v>-0.5653238888037142</c:v>
                </c:pt>
                <c:pt idx="25">
                  <c:v>-0.35465700724915394</c:v>
                </c:pt>
                <c:pt idx="26">
                  <c:v>-7.1120491878493383E-2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BCC-4913-A265-C33880CFEBE6}"/>
            </c:ext>
          </c:extLst>
        </c:ser>
        <c:ser>
          <c:idx val="27"/>
          <c:order val="27"/>
          <c:tx>
            <c:strRef>
              <c:f>'SATORI H4'!$CP$1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H4'!$CP$2:$CP$37</c:f>
              <c:numCache>
                <c:formatCode>0.00000</c:formatCode>
                <c:ptCount val="36"/>
                <c:pt idx="0">
                  <c:v>-1.9109827520707068</c:v>
                </c:pt>
                <c:pt idx="1">
                  <c:v>-2.2371338939430165</c:v>
                </c:pt>
                <c:pt idx="2">
                  <c:v>-2.5837077734345342</c:v>
                </c:pt>
                <c:pt idx="3">
                  <c:v>-2.4467817960307521</c:v>
                </c:pt>
                <c:pt idx="4">
                  <c:v>-2.4894603576255623</c:v>
                </c:pt>
                <c:pt idx="5">
                  <c:v>-2.5438706942120222</c:v>
                </c:pt>
                <c:pt idx="6">
                  <c:v>-2.1425755742350847</c:v>
                </c:pt>
                <c:pt idx="7">
                  <c:v>-1.9672739321517345</c:v>
                </c:pt>
                <c:pt idx="8">
                  <c:v>-2.2137129230561317</c:v>
                </c:pt>
                <c:pt idx="9">
                  <c:v>-2.3677166768976439</c:v>
                </c:pt>
                <c:pt idx="10">
                  <c:v>-2.4978264096563789</c:v>
                </c:pt>
                <c:pt idx="11">
                  <c:v>-2.4049771761783894</c:v>
                </c:pt>
                <c:pt idx="12">
                  <c:v>-1.8754603773605658</c:v>
                </c:pt>
                <c:pt idx="13">
                  <c:v>-1.6359059077246072</c:v>
                </c:pt>
                <c:pt idx="14">
                  <c:v>-1.3582226571971348</c:v>
                </c:pt>
                <c:pt idx="15">
                  <c:v>-1.818371573146458</c:v>
                </c:pt>
                <c:pt idx="16">
                  <c:v>-1.5830405408276638</c:v>
                </c:pt>
                <c:pt idx="17">
                  <c:v>-1.6526651142065061</c:v>
                </c:pt>
                <c:pt idx="18">
                  <c:v>-1.8455278260477368</c:v>
                </c:pt>
                <c:pt idx="19">
                  <c:v>-1.9393114118665635</c:v>
                </c:pt>
                <c:pt idx="20">
                  <c:v>-1.8633838645315397</c:v>
                </c:pt>
                <c:pt idx="21">
                  <c:v>-0.78814415171324881</c:v>
                </c:pt>
                <c:pt idx="22">
                  <c:v>-0.91212957156988139</c:v>
                </c:pt>
                <c:pt idx="23">
                  <c:v>-0.63848646974088297</c:v>
                </c:pt>
                <c:pt idx="24">
                  <c:v>-0.85177394062544887</c:v>
                </c:pt>
                <c:pt idx="25">
                  <c:v>-0.16252686740387054</c:v>
                </c:pt>
                <c:pt idx="26">
                  <c:v>-6.0420932496393812E-2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BCC-4913-A265-C33880CFE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H4'!$DY$1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H4'!$DX$2:$DX$37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H4'!$DY$2:$DY$37</c:f>
              <c:numCache>
                <c:formatCode>0.00000</c:formatCode>
                <c:ptCount val="36"/>
                <c:pt idx="0">
                  <c:v>11.324088739678238</c:v>
                </c:pt>
                <c:pt idx="1">
                  <c:v>12.069278408361432</c:v>
                </c:pt>
                <c:pt idx="2">
                  <c:v>12.123659104131237</c:v>
                </c:pt>
                <c:pt idx="3">
                  <c:v>12.432008981880871</c:v>
                </c:pt>
                <c:pt idx="4">
                  <c:v>12.609164119858441</c:v>
                </c:pt>
                <c:pt idx="5">
                  <c:v>12.33733406386736</c:v>
                </c:pt>
                <c:pt idx="6">
                  <c:v>10.801083945708026</c:v>
                </c:pt>
                <c:pt idx="7">
                  <c:v>10.339173980708871</c:v>
                </c:pt>
                <c:pt idx="8">
                  <c:v>10.377527470633423</c:v>
                </c:pt>
                <c:pt idx="9">
                  <c:v>11.006058815435424</c:v>
                </c:pt>
                <c:pt idx="10">
                  <c:v>11.158921977019576</c:v>
                </c:pt>
                <c:pt idx="11">
                  <c:v>10.068205421739002</c:v>
                </c:pt>
                <c:pt idx="12">
                  <c:v>8.8751979806066004</c:v>
                </c:pt>
                <c:pt idx="13">
                  <c:v>7.528553479603552</c:v>
                </c:pt>
                <c:pt idx="14">
                  <c:v>7.3417689407967544</c:v>
                </c:pt>
                <c:pt idx="15">
                  <c:v>7.7767109073458762</c:v>
                </c:pt>
                <c:pt idx="16">
                  <c:v>7.9026053811338546</c:v>
                </c:pt>
                <c:pt idx="17">
                  <c:v>7.0839390006348673</c:v>
                </c:pt>
                <c:pt idx="18">
                  <c:v>4.5819879458219503</c:v>
                </c:pt>
                <c:pt idx="19">
                  <c:v>4.4639191584053322</c:v>
                </c:pt>
                <c:pt idx="20">
                  <c:v>4.6363656139404563</c:v>
                </c:pt>
                <c:pt idx="21">
                  <c:v>4.0359797293875879</c:v>
                </c:pt>
                <c:pt idx="22">
                  <c:v>3.7847033929834497</c:v>
                </c:pt>
                <c:pt idx="23">
                  <c:v>2.0260435177259453</c:v>
                </c:pt>
                <c:pt idx="24">
                  <c:v>1.2930107398126958</c:v>
                </c:pt>
                <c:pt idx="25">
                  <c:v>0.35614681705388418</c:v>
                </c:pt>
                <c:pt idx="26">
                  <c:v>0.45143174098020855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43F-4518-8A05-A899BFB252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H4'!$DH$1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H4'!$DG$2:$DG$37</c:f>
              <c:numCache>
                <c:formatCode>0.00000</c:formatCode>
                <c:ptCount val="36"/>
                <c:pt idx="0">
                  <c:v>-1.0238395818281536</c:v>
                </c:pt>
                <c:pt idx="1">
                  <c:v>-1.1254753281512182</c:v>
                </c:pt>
                <c:pt idx="2">
                  <c:v>-1.05335127477942</c:v>
                </c:pt>
                <c:pt idx="3">
                  <c:v>-1.0577672281469488</c:v>
                </c:pt>
                <c:pt idx="4">
                  <c:v>-1.0114212072838897</c:v>
                </c:pt>
                <c:pt idx="5">
                  <c:v>-1.0349675862923002</c:v>
                </c:pt>
                <c:pt idx="6">
                  <c:v>-0.97319652162386572</c:v>
                </c:pt>
                <c:pt idx="7">
                  <c:v>-0.87548789902159629</c:v>
                </c:pt>
                <c:pt idx="8">
                  <c:v>-0.85345321643118521</c:v>
                </c:pt>
                <c:pt idx="9">
                  <c:v>-0.83876558561947478</c:v>
                </c:pt>
                <c:pt idx="10">
                  <c:v>-0.81380284617908016</c:v>
                </c:pt>
                <c:pt idx="11">
                  <c:v>-0.73603835520637562</c:v>
                </c:pt>
                <c:pt idx="12">
                  <c:v>-0.81092437428028674</c:v>
                </c:pt>
                <c:pt idx="13">
                  <c:v>-0.83883087282252644</c:v>
                </c:pt>
                <c:pt idx="14">
                  <c:v>-0.69290220920643353</c:v>
                </c:pt>
                <c:pt idx="15">
                  <c:v>-0.70683703821140698</c:v>
                </c:pt>
                <c:pt idx="16">
                  <c:v>-0.71783942939776513</c:v>
                </c:pt>
                <c:pt idx="17">
                  <c:v>-0.60061815959835663</c:v>
                </c:pt>
                <c:pt idx="18">
                  <c:v>-0.43166588313099258</c:v>
                </c:pt>
                <c:pt idx="19">
                  <c:v>-0.41923371159627731</c:v>
                </c:pt>
                <c:pt idx="20">
                  <c:v>-0.48436217566220036</c:v>
                </c:pt>
                <c:pt idx="21">
                  <c:v>-0.44047461559110734</c:v>
                </c:pt>
                <c:pt idx="22">
                  <c:v>-0.3841839510688515</c:v>
                </c:pt>
                <c:pt idx="23">
                  <c:v>-0.26151860840904884</c:v>
                </c:pt>
                <c:pt idx="24">
                  <c:v>-4.0044347506546174E-2</c:v>
                </c:pt>
                <c:pt idx="25">
                  <c:v>-6.7007364449521684E-2</c:v>
                </c:pt>
                <c:pt idx="26">
                  <c:v>-4.8063968772992779E-2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H4'!$DH$2:$DH$37</c:f>
              <c:numCache>
                <c:formatCode>0.00000</c:formatCode>
                <c:ptCount val="36"/>
                <c:pt idx="0">
                  <c:v>0.38590601436898658</c:v>
                </c:pt>
                <c:pt idx="1">
                  <c:v>0.37466849957843373</c:v>
                </c:pt>
                <c:pt idx="2">
                  <c:v>0.4526092777972861</c:v>
                </c:pt>
                <c:pt idx="3">
                  <c:v>0.48826437416508728</c:v>
                </c:pt>
                <c:pt idx="4">
                  <c:v>0.56018308622631952</c:v>
                </c:pt>
                <c:pt idx="5">
                  <c:v>0.50472875682760598</c:v>
                </c:pt>
                <c:pt idx="6">
                  <c:v>0.37384389584318717</c:v>
                </c:pt>
                <c:pt idx="7">
                  <c:v>0.41349025036088477</c:v>
                </c:pt>
                <c:pt idx="8">
                  <c:v>0.44255579315989635</c:v>
                </c:pt>
                <c:pt idx="9">
                  <c:v>0.53429225213258003</c:v>
                </c:pt>
                <c:pt idx="10">
                  <c:v>0.57915038827702425</c:v>
                </c:pt>
                <c:pt idx="11">
                  <c:v>0.52040451368956164</c:v>
                </c:pt>
                <c:pt idx="12">
                  <c:v>0.29614031855986522</c:v>
                </c:pt>
                <c:pt idx="13">
                  <c:v>9.9274267016759066E-2</c:v>
                </c:pt>
                <c:pt idx="14">
                  <c:v>0.22307351362883296</c:v>
                </c:pt>
                <c:pt idx="15">
                  <c:v>0.26344092323230578</c:v>
                </c:pt>
                <c:pt idx="16">
                  <c:v>0.27005809346562648</c:v>
                </c:pt>
                <c:pt idx="17">
                  <c:v>0.28395222021976296</c:v>
                </c:pt>
                <c:pt idx="18">
                  <c:v>0.13884607407997493</c:v>
                </c:pt>
                <c:pt idx="19">
                  <c:v>0.13685827914090251</c:v>
                </c:pt>
                <c:pt idx="20">
                  <c:v>9.377083150872087E-2</c:v>
                </c:pt>
                <c:pt idx="21">
                  <c:v>6.1942281299195254E-2</c:v>
                </c:pt>
                <c:pt idx="22">
                  <c:v>9.3098026882700635E-2</c:v>
                </c:pt>
                <c:pt idx="23">
                  <c:v>-9.7553241458436524E-3</c:v>
                </c:pt>
                <c:pt idx="24">
                  <c:v>0.12145913860383445</c:v>
                </c:pt>
                <c:pt idx="25">
                  <c:v>-2.4547577705114423E-2</c:v>
                </c:pt>
                <c:pt idx="26">
                  <c:v>6.635039644361144E-3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A4F-42BC-8C49-95F165453A19}"/>
            </c:ext>
          </c:extLst>
        </c:ser>
        <c:ser>
          <c:idx val="1"/>
          <c:order val="1"/>
          <c:tx>
            <c:strRef>
              <c:f>'SATORI H4'!$DJ$1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H4'!$DI$2:$DI$37</c:f>
              <c:numCache>
                <c:formatCode>0.00000</c:formatCode>
                <c:ptCount val="36"/>
                <c:pt idx="0">
                  <c:v>-2.2555966882565555</c:v>
                </c:pt>
                <c:pt idx="1">
                  <c:v>-2.3777713980916242</c:v>
                </c:pt>
                <c:pt idx="2">
                  <c:v>-2.3578045196194428</c:v>
                </c:pt>
                <c:pt idx="3">
                  <c:v>-2.313192584752862</c:v>
                </c:pt>
                <c:pt idx="4">
                  <c:v>-2.327282549175703</c:v>
                </c:pt>
                <c:pt idx="5">
                  <c:v>-2.3660449707699018</c:v>
                </c:pt>
                <c:pt idx="6">
                  <c:v>-2.0534022616681273</c:v>
                </c:pt>
                <c:pt idx="7">
                  <c:v>-1.9107505773259039</c:v>
                </c:pt>
                <c:pt idx="8">
                  <c:v>-2.0313312375928305</c:v>
                </c:pt>
                <c:pt idx="9">
                  <c:v>-2.109828771364338</c:v>
                </c:pt>
                <c:pt idx="10">
                  <c:v>-2.0512828186460559</c:v>
                </c:pt>
                <c:pt idx="11">
                  <c:v>-1.8001673989912992</c:v>
                </c:pt>
                <c:pt idx="12">
                  <c:v>-1.4567967798766253</c:v>
                </c:pt>
                <c:pt idx="13">
                  <c:v>-1.344019195874762</c:v>
                </c:pt>
                <c:pt idx="14">
                  <c:v>-1.1189716342766862</c:v>
                </c:pt>
                <c:pt idx="15">
                  <c:v>-1.1340544155415602</c:v>
                </c:pt>
                <c:pt idx="16">
                  <c:v>-1.021640174859191</c:v>
                </c:pt>
                <c:pt idx="17">
                  <c:v>-1.00310105732118</c:v>
                </c:pt>
                <c:pt idx="18">
                  <c:v>-0.73385206556043681</c:v>
                </c:pt>
                <c:pt idx="19">
                  <c:v>-0.82291058973345765</c:v>
                </c:pt>
                <c:pt idx="20">
                  <c:v>-0.90162158149195537</c:v>
                </c:pt>
                <c:pt idx="21">
                  <c:v>-0.57741450431682828</c:v>
                </c:pt>
                <c:pt idx="22">
                  <c:v>-0.66286583747309602</c:v>
                </c:pt>
                <c:pt idx="23">
                  <c:v>-0.38189903531287606</c:v>
                </c:pt>
                <c:pt idx="24">
                  <c:v>-0.5653238888037142</c:v>
                </c:pt>
                <c:pt idx="25">
                  <c:v>-0.35465700724915394</c:v>
                </c:pt>
                <c:pt idx="26">
                  <c:v>-7.1120491878493383E-2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H4'!$DJ$2:$DJ$37</c:f>
              <c:numCache>
                <c:formatCode>0.00000</c:formatCode>
                <c:ptCount val="36"/>
                <c:pt idx="0">
                  <c:v>-0.84476574127081283</c:v>
                </c:pt>
                <c:pt idx="1">
                  <c:v>-0.87323234046109544</c:v>
                </c:pt>
                <c:pt idx="2">
                  <c:v>-0.84477384243738096</c:v>
                </c:pt>
                <c:pt idx="3">
                  <c:v>-0.76157566226592244</c:v>
                </c:pt>
                <c:pt idx="4">
                  <c:v>-0.75420421504022928</c:v>
                </c:pt>
                <c:pt idx="5">
                  <c:v>-0.82797306561614525</c:v>
                </c:pt>
                <c:pt idx="6">
                  <c:v>-0.70587679902526879</c:v>
                </c:pt>
                <c:pt idx="7">
                  <c:v>-0.62069254864667456</c:v>
                </c:pt>
                <c:pt idx="8">
                  <c:v>-0.73967122724630219</c:v>
                </c:pt>
                <c:pt idx="9">
                  <c:v>-0.73651260103813043</c:v>
                </c:pt>
                <c:pt idx="10">
                  <c:v>-0.65866047798968597</c:v>
                </c:pt>
                <c:pt idx="11">
                  <c:v>-0.54306811969540991</c:v>
                </c:pt>
                <c:pt idx="12">
                  <c:v>-0.35008676756737594</c:v>
                </c:pt>
                <c:pt idx="13">
                  <c:v>-0.40885473902293307</c:v>
                </c:pt>
                <c:pt idx="14">
                  <c:v>-0.20567933790860476</c:v>
                </c:pt>
                <c:pt idx="15">
                  <c:v>-0.16380504453731004</c:v>
                </c:pt>
                <c:pt idx="16">
                  <c:v>-3.2074777940337862E-2</c:v>
                </c:pt>
                <c:pt idx="17">
                  <c:v>-0.12101947526676668</c:v>
                </c:pt>
                <c:pt idx="18">
                  <c:v>-0.16184605651166356</c:v>
                </c:pt>
                <c:pt idx="19">
                  <c:v>-0.2666392994433594</c:v>
                </c:pt>
                <c:pt idx="20">
                  <c:v>-0.32325969117258652</c:v>
                </c:pt>
                <c:pt idx="21">
                  <c:v>-7.1201916602180476E-2</c:v>
                </c:pt>
                <c:pt idx="22">
                  <c:v>-0.18638154446727265</c:v>
                </c:pt>
                <c:pt idx="23">
                  <c:v>-0.12882487731225273</c:v>
                </c:pt>
                <c:pt idx="24">
                  <c:v>-0.40270548215815571</c:v>
                </c:pt>
                <c:pt idx="25">
                  <c:v>-0.30835300226047446</c:v>
                </c:pt>
                <c:pt idx="26">
                  <c:v>-1.3586672519383319E-2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A4F-42BC-8C49-95F165453A19}"/>
            </c:ext>
          </c:extLst>
        </c:ser>
        <c:ser>
          <c:idx val="2"/>
          <c:order val="2"/>
          <c:tx>
            <c:strRef>
              <c:f>'SATORI H4'!$DL$1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H4'!$DK$2:$DK$37</c:f>
              <c:numCache>
                <c:formatCode>0.00000</c:formatCode>
                <c:ptCount val="36"/>
                <c:pt idx="0">
                  <c:v>-1.8458873533274507</c:v>
                </c:pt>
                <c:pt idx="1">
                  <c:v>-1.9320554650257304</c:v>
                </c:pt>
                <c:pt idx="2">
                  <c:v>-1.7027660329756449</c:v>
                </c:pt>
                <c:pt idx="3">
                  <c:v>-1.7501300714474721</c:v>
                </c:pt>
                <c:pt idx="4">
                  <c:v>-1.7562411868024193</c:v>
                </c:pt>
                <c:pt idx="5">
                  <c:v>-1.7440174620806879</c:v>
                </c:pt>
                <c:pt idx="6">
                  <c:v>-1.4051929225984401</c:v>
                </c:pt>
                <c:pt idx="7">
                  <c:v>-1.1600572142407706</c:v>
                </c:pt>
                <c:pt idx="8">
                  <c:v>-1.2629236567507041</c:v>
                </c:pt>
                <c:pt idx="9">
                  <c:v>-1.3242987660751275</c:v>
                </c:pt>
                <c:pt idx="10">
                  <c:v>-1.3173935894944067</c:v>
                </c:pt>
                <c:pt idx="11">
                  <c:v>-1.2521354744558646</c:v>
                </c:pt>
                <c:pt idx="12">
                  <c:v>-1.2674879677007826</c:v>
                </c:pt>
                <c:pt idx="13">
                  <c:v>-1.0651942803406667</c:v>
                </c:pt>
                <c:pt idx="14">
                  <c:v>-0.90263399435782732</c:v>
                </c:pt>
                <c:pt idx="15">
                  <c:v>-0.94421979973625714</c:v>
                </c:pt>
                <c:pt idx="16">
                  <c:v>-0.98655777998366878</c:v>
                </c:pt>
                <c:pt idx="17">
                  <c:v>-0.91800026099554244</c:v>
                </c:pt>
                <c:pt idx="18">
                  <c:v>-0.67863280879182697</c:v>
                </c:pt>
                <c:pt idx="19">
                  <c:v>-0.84129209540366157</c:v>
                </c:pt>
                <c:pt idx="20">
                  <c:v>-0.698472449596373</c:v>
                </c:pt>
                <c:pt idx="21">
                  <c:v>-0.64749460178842955</c:v>
                </c:pt>
                <c:pt idx="22">
                  <c:v>-0.63358961916965262</c:v>
                </c:pt>
                <c:pt idx="23">
                  <c:v>-0.4470701042751774</c:v>
                </c:pt>
                <c:pt idx="24">
                  <c:v>-0.26486283769432761</c:v>
                </c:pt>
                <c:pt idx="25">
                  <c:v>-0.17251096931513984</c:v>
                </c:pt>
                <c:pt idx="26">
                  <c:v>-7.4630926745086562E-2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H4'!$DL$2:$DL$37</c:f>
              <c:numCache>
                <c:formatCode>0.00000</c:formatCode>
                <c:ptCount val="36"/>
                <c:pt idx="0">
                  <c:v>-0.42146539789416321</c:v>
                </c:pt>
                <c:pt idx="1">
                  <c:v>-0.41558110659820746</c:v>
                </c:pt>
                <c:pt idx="2">
                  <c:v>-0.18076215201219312</c:v>
                </c:pt>
                <c:pt idx="3">
                  <c:v>-0.19133012167038202</c:v>
                </c:pt>
                <c:pt idx="4">
                  <c:v>-0.17724148063721398</c:v>
                </c:pt>
                <c:pt idx="5">
                  <c:v>-0.19837890915160006</c:v>
                </c:pt>
                <c:pt idx="6">
                  <c:v>-5.5319070269812254E-2</c:v>
                </c:pt>
                <c:pt idx="7">
                  <c:v>0.13311725931820284</c:v>
                </c:pt>
                <c:pt idx="8">
                  <c:v>3.470589983555801E-2</c:v>
                </c:pt>
                <c:pt idx="9">
                  <c:v>4.9933910003178962E-2</c:v>
                </c:pt>
                <c:pt idx="10">
                  <c:v>8.2721947053667672E-2</c:v>
                </c:pt>
                <c:pt idx="11">
                  <c:v>1.0067116093340212E-2</c:v>
                </c:pt>
                <c:pt idx="12">
                  <c:v>-0.15778902063311792</c:v>
                </c:pt>
                <c:pt idx="13">
                  <c:v>-0.1225868427917193</c:v>
                </c:pt>
                <c:pt idx="14">
                  <c:v>1.4513427893430991E-2</c:v>
                </c:pt>
                <c:pt idx="15">
                  <c:v>2.6230026799099405E-2</c:v>
                </c:pt>
                <c:pt idx="16">
                  <c:v>-4.2424132229260149E-3</c:v>
                </c:pt>
                <c:pt idx="17">
                  <c:v>-3.2378733695618306E-2</c:v>
                </c:pt>
                <c:pt idx="18">
                  <c:v>-0.10629116506264852</c:v>
                </c:pt>
                <c:pt idx="19">
                  <c:v>-0.2849381492194778</c:v>
                </c:pt>
                <c:pt idx="20">
                  <c:v>-0.11832232775654668</c:v>
                </c:pt>
                <c:pt idx="21">
                  <c:v>-0.14531668241542764</c:v>
                </c:pt>
                <c:pt idx="22">
                  <c:v>-0.18053911205862055</c:v>
                </c:pt>
                <c:pt idx="23">
                  <c:v>-0.19463006918688455</c:v>
                </c:pt>
                <c:pt idx="24">
                  <c:v>-0.1031226606063049</c:v>
                </c:pt>
                <c:pt idx="25">
                  <c:v>-0.12776534173000323</c:v>
                </c:pt>
                <c:pt idx="26">
                  <c:v>-1.9923353686406822E-2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A4F-42BC-8C49-95F165453A19}"/>
            </c:ext>
          </c:extLst>
        </c:ser>
        <c:ser>
          <c:idx val="3"/>
          <c:order val="3"/>
          <c:tx>
            <c:strRef>
              <c:f>'SATORI H4'!$DN$1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H4'!$DM$2:$DM$37</c:f>
              <c:numCache>
                <c:formatCode>0.00000</c:formatCode>
                <c:ptCount val="36"/>
                <c:pt idx="0">
                  <c:v>-1.6964325428008038</c:v>
                </c:pt>
                <c:pt idx="1">
                  <c:v>-1.9810456468624749</c:v>
                </c:pt>
                <c:pt idx="2">
                  <c:v>-1.8221811567877915</c:v>
                </c:pt>
                <c:pt idx="3">
                  <c:v>-1.9437797331947082</c:v>
                </c:pt>
                <c:pt idx="4">
                  <c:v>-1.9526763984280155</c:v>
                </c:pt>
                <c:pt idx="5">
                  <c:v>-1.9141093139512779</c:v>
                </c:pt>
                <c:pt idx="6">
                  <c:v>-1.9378372729018998</c:v>
                </c:pt>
                <c:pt idx="7">
                  <c:v>-1.8294611334678299</c:v>
                </c:pt>
                <c:pt idx="8">
                  <c:v>-1.9569743296009308</c:v>
                </c:pt>
                <c:pt idx="9">
                  <c:v>-2.0428977096489165</c:v>
                </c:pt>
                <c:pt idx="10">
                  <c:v>-1.9910204956035369</c:v>
                </c:pt>
                <c:pt idx="11">
                  <c:v>-1.8381198364977864</c:v>
                </c:pt>
                <c:pt idx="12">
                  <c:v>-1.9152528612990154</c:v>
                </c:pt>
                <c:pt idx="13">
                  <c:v>-1.7160911241330561</c:v>
                </c:pt>
                <c:pt idx="14">
                  <c:v>-1.5672417299500903</c:v>
                </c:pt>
                <c:pt idx="15">
                  <c:v>-1.6891494368958626</c:v>
                </c:pt>
                <c:pt idx="16">
                  <c:v>-1.7723342259630055</c:v>
                </c:pt>
                <c:pt idx="17">
                  <c:v>-1.5937627973915798</c:v>
                </c:pt>
                <c:pt idx="18">
                  <c:v>-1.2473286796039815</c:v>
                </c:pt>
                <c:pt idx="19">
                  <c:v>-1.1202410788683659</c:v>
                </c:pt>
                <c:pt idx="20">
                  <c:v>-1.1037917428233766</c:v>
                </c:pt>
                <c:pt idx="21">
                  <c:v>-0.98851365314601469</c:v>
                </c:pt>
                <c:pt idx="22">
                  <c:v>-0.84758623076853146</c:v>
                </c:pt>
                <c:pt idx="23">
                  <c:v>-0.63273602493301317</c:v>
                </c:pt>
                <c:pt idx="24">
                  <c:v>-0.19208772867249918</c:v>
                </c:pt>
                <c:pt idx="25">
                  <c:v>-0.27803076502488966</c:v>
                </c:pt>
                <c:pt idx="26">
                  <c:v>-0.18597196812772393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H4'!$DN$2:$DN$37</c:f>
              <c:numCache>
                <c:formatCode>0.00000</c:formatCode>
                <c:ptCount val="36"/>
                <c:pt idx="0">
                  <c:v>-0.28080968726705824</c:v>
                </c:pt>
                <c:pt idx="1">
                  <c:v>-0.47091454765501262</c:v>
                </c:pt>
                <c:pt idx="2">
                  <c:v>-0.30650846462995074</c:v>
                </c:pt>
                <c:pt idx="3">
                  <c:v>-0.38817370971642284</c:v>
                </c:pt>
                <c:pt idx="4">
                  <c:v>-0.38091510373169507</c:v>
                </c:pt>
                <c:pt idx="5">
                  <c:v>-0.37063313588401314</c:v>
                </c:pt>
                <c:pt idx="6">
                  <c:v>-0.58519939685477995</c:v>
                </c:pt>
                <c:pt idx="7">
                  <c:v>-0.53612781899151529</c:v>
                </c:pt>
                <c:pt idx="8">
                  <c:v>-0.65804649135175419</c:v>
                </c:pt>
                <c:pt idx="9">
                  <c:v>-0.66593240044543189</c:v>
                </c:pt>
                <c:pt idx="10">
                  <c:v>-0.60046158648560133</c:v>
                </c:pt>
                <c:pt idx="11">
                  <c:v>-0.57985465164594119</c:v>
                </c:pt>
                <c:pt idx="12">
                  <c:v>-0.80461060919742633</c:v>
                </c:pt>
                <c:pt idx="13">
                  <c:v>-0.77424740454335772</c:v>
                </c:pt>
                <c:pt idx="14">
                  <c:v>-0.64749008718913315</c:v>
                </c:pt>
                <c:pt idx="15">
                  <c:v>-0.7148563106143685</c:v>
                </c:pt>
                <c:pt idx="16">
                  <c:v>-0.78773773860448626</c:v>
                </c:pt>
                <c:pt idx="17">
                  <c:v>-0.70763238793117733</c:v>
                </c:pt>
                <c:pt idx="18">
                  <c:v>-0.67426629516130321</c:v>
                </c:pt>
                <c:pt idx="19">
                  <c:v>-0.56095013094375812</c:v>
                </c:pt>
                <c:pt idx="20">
                  <c:v>-0.52399969299020666</c:v>
                </c:pt>
                <c:pt idx="21">
                  <c:v>-0.48524704388333556</c:v>
                </c:pt>
                <c:pt idx="22">
                  <c:v>-0.37214471349146694</c:v>
                </c:pt>
                <c:pt idx="23">
                  <c:v>-0.3800080606158992</c:v>
                </c:pt>
                <c:pt idx="24">
                  <c:v>-3.4012328298459821E-2</c:v>
                </c:pt>
                <c:pt idx="25">
                  <c:v>-0.23453659052621129</c:v>
                </c:pt>
                <c:pt idx="26">
                  <c:v>-0.13075833810370313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A4F-42BC-8C49-95F165453A19}"/>
            </c:ext>
          </c:extLst>
        </c:ser>
        <c:ser>
          <c:idx val="4"/>
          <c:order val="4"/>
          <c:tx>
            <c:strRef>
              <c:f>'SATORI H4'!$DP$1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H4'!$DO$2:$DO$37</c:f>
              <c:numCache>
                <c:formatCode>0.00000</c:formatCode>
                <c:ptCount val="36"/>
                <c:pt idx="0">
                  <c:v>-2.6328854359750467</c:v>
                </c:pt>
                <c:pt idx="1">
                  <c:v>-2.8552519349200201</c:v>
                </c:pt>
                <c:pt idx="2">
                  <c:v>-2.6959334279620313</c:v>
                </c:pt>
                <c:pt idx="3">
                  <c:v>-2.7479287483831913</c:v>
                </c:pt>
                <c:pt idx="4">
                  <c:v>-2.7901571063497399</c:v>
                </c:pt>
                <c:pt idx="5">
                  <c:v>-2.7690384683394278</c:v>
                </c:pt>
                <c:pt idx="6">
                  <c:v>-2.607952848892011</c:v>
                </c:pt>
                <c:pt idx="7">
                  <c:v>-2.4857691824045425</c:v>
                </c:pt>
                <c:pt idx="8">
                  <c:v>-2.5525183358299173</c:v>
                </c:pt>
                <c:pt idx="9">
                  <c:v>-2.8835367041040851</c:v>
                </c:pt>
                <c:pt idx="10">
                  <c:v>-2.73403072386487</c:v>
                </c:pt>
                <c:pt idx="11">
                  <c:v>-2.5891904550152831</c:v>
                </c:pt>
                <c:pt idx="12">
                  <c:v>-2.5826803562245453</c:v>
                </c:pt>
                <c:pt idx="13">
                  <c:v>-2.4474130811267627</c:v>
                </c:pt>
                <c:pt idx="14">
                  <c:v>-2.161395266302863</c:v>
                </c:pt>
                <c:pt idx="15">
                  <c:v>-2.1319676337559086</c:v>
                </c:pt>
                <c:pt idx="16">
                  <c:v>-2.0894429776331696</c:v>
                </c:pt>
                <c:pt idx="17">
                  <c:v>-1.7563175058421729</c:v>
                </c:pt>
                <c:pt idx="18">
                  <c:v>-1.420426571604342</c:v>
                </c:pt>
                <c:pt idx="19">
                  <c:v>-1.3924278233130885</c:v>
                </c:pt>
                <c:pt idx="20">
                  <c:v>-1.5338682127675516</c:v>
                </c:pt>
                <c:pt idx="21">
                  <c:v>-1.1243231710699335</c:v>
                </c:pt>
                <c:pt idx="22">
                  <c:v>-1.101198346570829</c:v>
                </c:pt>
                <c:pt idx="23">
                  <c:v>-0.88268785972284469</c:v>
                </c:pt>
                <c:pt idx="24">
                  <c:v>-0.59048923106413875</c:v>
                </c:pt>
                <c:pt idx="25">
                  <c:v>-0.51073513951308191</c:v>
                </c:pt>
                <c:pt idx="26">
                  <c:v>-0.44422919554434703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H4'!$DP$2:$DP$37</c:f>
              <c:numCache>
                <c:formatCode>0.00000</c:formatCode>
                <c:ptCount val="36"/>
                <c:pt idx="0">
                  <c:v>-1.2050749754424641</c:v>
                </c:pt>
                <c:pt idx="1">
                  <c:v>-1.3328044322881567</c:v>
                </c:pt>
                <c:pt idx="2">
                  <c:v>-1.1671967348423853</c:v>
                </c:pt>
                <c:pt idx="3">
                  <c:v>-1.1798949372186027</c:v>
                </c:pt>
                <c:pt idx="4">
                  <c:v>-1.1925947522430338</c:v>
                </c:pt>
                <c:pt idx="5">
                  <c:v>-1.2185532848679366</c:v>
                </c:pt>
                <c:pt idx="6">
                  <c:v>-1.244518557696658</c:v>
                </c:pt>
                <c:pt idx="7">
                  <c:v>-1.1799233543045875</c:v>
                </c:pt>
                <c:pt idx="8">
                  <c:v>-1.2434547028817606</c:v>
                </c:pt>
                <c:pt idx="9">
                  <c:v>-1.4948960600004857</c:v>
                </c:pt>
                <c:pt idx="10">
                  <c:v>-1.3295729888618</c:v>
                </c:pt>
                <c:pt idx="11">
                  <c:v>-1.3240440948617564</c:v>
                </c:pt>
                <c:pt idx="12">
                  <c:v>-1.4635666177833178</c:v>
                </c:pt>
                <c:pt idx="13">
                  <c:v>-1.4934732426545523</c:v>
                </c:pt>
                <c:pt idx="14">
                  <c:v>-1.2355035250954898</c:v>
                </c:pt>
                <c:pt idx="15">
                  <c:v>-1.1521609928071512</c:v>
                </c:pt>
                <c:pt idx="16">
                  <c:v>-1.0958950645848224</c:v>
                </c:pt>
                <c:pt idx="17">
                  <c:v>-0.86474736120236195</c:v>
                </c:pt>
                <c:pt idx="18">
                  <c:v>-0.83833745748847954</c:v>
                </c:pt>
                <c:pt idx="19">
                  <c:v>-0.82293405333615877</c:v>
                </c:pt>
                <c:pt idx="20">
                  <c:v>-0.94576184656685758</c:v>
                </c:pt>
                <c:pt idx="21">
                  <c:v>-0.61144771205071113</c:v>
                </c:pt>
                <c:pt idx="22">
                  <c:v>-0.62682083982335568</c:v>
                </c:pt>
                <c:pt idx="23">
                  <c:v>-0.62187972148357551</c:v>
                </c:pt>
                <c:pt idx="24">
                  <c:v>-0.42681229719548902</c:v>
                </c:pt>
                <c:pt idx="25">
                  <c:v>-0.46353790755320462</c:v>
                </c:pt>
                <c:pt idx="26">
                  <c:v>-0.37919501535876277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A4F-42BC-8C49-95F165453A19}"/>
            </c:ext>
          </c:extLst>
        </c:ser>
        <c:ser>
          <c:idx val="5"/>
          <c:order val="5"/>
          <c:tx>
            <c:strRef>
              <c:f>'SATORI H4'!$DR$1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H4'!$DQ$2:$DQ$37</c:f>
              <c:numCache>
                <c:formatCode>0.00000</c:formatCode>
                <c:ptCount val="36"/>
                <c:pt idx="0">
                  <c:v>-1.9109827520707068</c:v>
                </c:pt>
                <c:pt idx="1">
                  <c:v>-2.2371338939430165</c:v>
                </c:pt>
                <c:pt idx="2">
                  <c:v>-2.5837077734345342</c:v>
                </c:pt>
                <c:pt idx="3">
                  <c:v>-2.4467817960307521</c:v>
                </c:pt>
                <c:pt idx="4">
                  <c:v>-2.4894603576255623</c:v>
                </c:pt>
                <c:pt idx="5">
                  <c:v>-2.5438706942120222</c:v>
                </c:pt>
                <c:pt idx="6">
                  <c:v>-2.1425755742350847</c:v>
                </c:pt>
                <c:pt idx="7">
                  <c:v>-1.9672739321517345</c:v>
                </c:pt>
                <c:pt idx="8">
                  <c:v>-2.2137129230561317</c:v>
                </c:pt>
                <c:pt idx="9">
                  <c:v>-2.3677166768976439</c:v>
                </c:pt>
                <c:pt idx="10">
                  <c:v>-2.4978264096563789</c:v>
                </c:pt>
                <c:pt idx="11">
                  <c:v>-2.4049771761783894</c:v>
                </c:pt>
                <c:pt idx="12">
                  <c:v>-1.8754603773605658</c:v>
                </c:pt>
                <c:pt idx="13">
                  <c:v>-1.6359059077246072</c:v>
                </c:pt>
                <c:pt idx="14">
                  <c:v>-1.3582226571971348</c:v>
                </c:pt>
                <c:pt idx="15">
                  <c:v>-1.818371573146458</c:v>
                </c:pt>
                <c:pt idx="16">
                  <c:v>-1.5830405408276638</c:v>
                </c:pt>
                <c:pt idx="17">
                  <c:v>-1.6526651142065061</c:v>
                </c:pt>
                <c:pt idx="18">
                  <c:v>-1.8455278260477368</c:v>
                </c:pt>
                <c:pt idx="19">
                  <c:v>-1.9393114118665635</c:v>
                </c:pt>
                <c:pt idx="20">
                  <c:v>-1.8633838645315397</c:v>
                </c:pt>
                <c:pt idx="21">
                  <c:v>-0.78814415171324881</c:v>
                </c:pt>
                <c:pt idx="22">
                  <c:v>-0.91212957156988139</c:v>
                </c:pt>
                <c:pt idx="23">
                  <c:v>-0.63848646974088297</c:v>
                </c:pt>
                <c:pt idx="24">
                  <c:v>-0.85177394062544887</c:v>
                </c:pt>
                <c:pt idx="25">
                  <c:v>-0.16252686740387054</c:v>
                </c:pt>
                <c:pt idx="26">
                  <c:v>-6.0420932496393812E-2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H4'!$DR$2:$DR$37</c:f>
              <c:numCache>
                <c:formatCode>0.00000</c:formatCode>
                <c:ptCount val="36"/>
                <c:pt idx="0">
                  <c:v>-0.50105843205439582</c:v>
                </c:pt>
                <c:pt idx="1">
                  <c:v>-0.73399491064641542</c:v>
                </c:pt>
                <c:pt idx="2">
                  <c:v>-1.0722150195940978</c:v>
                </c:pt>
                <c:pt idx="3">
                  <c:v>-0.89876893601902363</c:v>
                </c:pt>
                <c:pt idx="4">
                  <c:v>-0.91667227036070342</c:v>
                </c:pt>
                <c:pt idx="5">
                  <c:v>-1.0062691462103177</c:v>
                </c:pt>
                <c:pt idx="6">
                  <c:v>-0.79785102739966129</c:v>
                </c:pt>
                <c:pt idx="7">
                  <c:v>-0.68021483733406696</c:v>
                </c:pt>
                <c:pt idx="8">
                  <c:v>-0.92099273515781421</c:v>
                </c:pt>
                <c:pt idx="9">
                  <c:v>-0.99575146833708739</c:v>
                </c:pt>
                <c:pt idx="10">
                  <c:v>-1.1052290068861828</c:v>
                </c:pt>
                <c:pt idx="11">
                  <c:v>-1.151639323590177</c:v>
                </c:pt>
                <c:pt idx="12">
                  <c:v>-0.77006110622004631</c:v>
                </c:pt>
                <c:pt idx="13">
                  <c:v>-0.69983595452755587</c:v>
                </c:pt>
                <c:pt idx="14">
                  <c:v>-0.44239220506518773</c:v>
                </c:pt>
                <c:pt idx="15">
                  <c:v>-0.84708566210967773</c:v>
                </c:pt>
                <c:pt idx="16">
                  <c:v>-0.59479039049228244</c:v>
                </c:pt>
                <c:pt idx="17">
                  <c:v>-0.76923945814524308</c:v>
                </c:pt>
                <c:pt idx="18">
                  <c:v>-1.2754101560040898</c:v>
                </c:pt>
                <c:pt idx="19">
                  <c:v>-1.3839487306134954</c:v>
                </c:pt>
                <c:pt idx="20">
                  <c:v>-1.2879068935500204</c:v>
                </c:pt>
                <c:pt idx="21">
                  <c:v>-0.28498092604850789</c:v>
                </c:pt>
                <c:pt idx="22">
                  <c:v>-0.43733847481213278</c:v>
                </c:pt>
                <c:pt idx="23">
                  <c:v>-0.3876012836739563</c:v>
                </c:pt>
                <c:pt idx="24">
                  <c:v>-0.69062412124878203</c:v>
                </c:pt>
                <c:pt idx="25">
                  <c:v>-0.11805478524549833</c:v>
                </c:pt>
                <c:pt idx="26">
                  <c:v>-5.504856506731908E-3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A4F-42BC-8C49-95F165453A19}"/>
            </c:ext>
          </c:extLst>
        </c:ser>
        <c:ser>
          <c:idx val="6"/>
          <c:order val="6"/>
          <c:tx>
            <c:strRef>
              <c:f>'SATORI H4'!$DT$1</c:f>
              <c:strCache>
                <c:ptCount val="1"/>
                <c:pt idx="0">
                  <c:v>EU-H4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H4'!$DS$2:$DS$37</c:f>
              <c:numCache>
                <c:formatCode>0.00000</c:formatCode>
                <c:ptCount val="36"/>
                <c:pt idx="0">
                  <c:v>-1.4128663024897152</c:v>
                </c:pt>
                <c:pt idx="1">
                  <c:v>-1.5062017897189013</c:v>
                </c:pt>
                <c:pt idx="2">
                  <c:v>-1.5133809271455467</c:v>
                </c:pt>
                <c:pt idx="3">
                  <c:v>-1.5519539063251022</c:v>
                </c:pt>
                <c:pt idx="4">
                  <c:v>-1.5716850249898335</c:v>
                </c:pt>
                <c:pt idx="5">
                  <c:v>-1.5411821765620752</c:v>
                </c:pt>
                <c:pt idx="6">
                  <c:v>-1.3479237495957945</c:v>
                </c:pt>
                <c:pt idx="7">
                  <c:v>-1.2903625458471235</c:v>
                </c:pt>
                <c:pt idx="8">
                  <c:v>-1.2957586175069506</c:v>
                </c:pt>
                <c:pt idx="9">
                  <c:v>-1.3739404847056067</c:v>
                </c:pt>
                <c:pt idx="10">
                  <c:v>-1.3928084092339126</c:v>
                </c:pt>
                <c:pt idx="11">
                  <c:v>-1.2578556427021934</c:v>
                </c:pt>
                <c:pt idx="12">
                  <c:v>-1.1082845333530988</c:v>
                </c:pt>
                <c:pt idx="13">
                  <c:v>-0.94041146705226542</c:v>
                </c:pt>
                <c:pt idx="14">
                  <c:v>-0.91693983162093562</c:v>
                </c:pt>
                <c:pt idx="15">
                  <c:v>-0.97017403504776278</c:v>
                </c:pt>
                <c:pt idx="16">
                  <c:v>-0.98821627192430883</c:v>
                </c:pt>
                <c:pt idx="17">
                  <c:v>-0.88526965065046692</c:v>
                </c:pt>
                <c:pt idx="18">
                  <c:v>-0.5709295836154219</c:v>
                </c:pt>
                <c:pt idx="19">
                  <c:v>-0.55552726601963287</c:v>
                </c:pt>
                <c:pt idx="20">
                  <c:v>-0.57817260379747859</c:v>
                </c:pt>
                <c:pt idx="21">
                  <c:v>-0.50293351573149603</c:v>
                </c:pt>
                <c:pt idx="22">
                  <c:v>-0.4766382470663777</c:v>
                </c:pt>
                <c:pt idx="23">
                  <c:v>-0.25217237587525709</c:v>
                </c:pt>
                <c:pt idx="24">
                  <c:v>-0.16212325817468889</c:v>
                </c:pt>
                <c:pt idx="25">
                  <c:v>-4.3736954559366367E-2</c:v>
                </c:pt>
                <c:pt idx="26">
                  <c:v>-5.4663726972898993E-2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H4'!$DT$2:$DT$37</c:f>
              <c:numCache>
                <c:formatCode>0.00000</c:formatCode>
                <c:ptCount val="36"/>
                <c:pt idx="0">
                  <c:v>1.4128663024897152</c:v>
                </c:pt>
                <c:pt idx="1">
                  <c:v>1.5062017897189013</c:v>
                </c:pt>
                <c:pt idx="2">
                  <c:v>1.5133809271455467</c:v>
                </c:pt>
                <c:pt idx="3">
                  <c:v>1.5519539063251022</c:v>
                </c:pt>
                <c:pt idx="4">
                  <c:v>1.5716850249898335</c:v>
                </c:pt>
                <c:pt idx="5">
                  <c:v>1.5411821765620752</c:v>
                </c:pt>
                <c:pt idx="6">
                  <c:v>1.3479237495957945</c:v>
                </c:pt>
                <c:pt idx="7">
                  <c:v>1.2903625458471235</c:v>
                </c:pt>
                <c:pt idx="8">
                  <c:v>1.2957586175069506</c:v>
                </c:pt>
                <c:pt idx="9">
                  <c:v>1.3739404847056067</c:v>
                </c:pt>
                <c:pt idx="10">
                  <c:v>1.3928084092339126</c:v>
                </c:pt>
                <c:pt idx="11">
                  <c:v>1.2578556427021934</c:v>
                </c:pt>
                <c:pt idx="12">
                  <c:v>1.1082845333530988</c:v>
                </c:pt>
                <c:pt idx="13">
                  <c:v>0.94041146705226542</c:v>
                </c:pt>
                <c:pt idx="14">
                  <c:v>0.91693983162093562</c:v>
                </c:pt>
                <c:pt idx="15">
                  <c:v>0.97017403504776278</c:v>
                </c:pt>
                <c:pt idx="16">
                  <c:v>0.98821627192430883</c:v>
                </c:pt>
                <c:pt idx="17">
                  <c:v>0.88526965065046692</c:v>
                </c:pt>
                <c:pt idx="18">
                  <c:v>0.5709295836154219</c:v>
                </c:pt>
                <c:pt idx="19">
                  <c:v>0.55552726601963287</c:v>
                </c:pt>
                <c:pt idx="20">
                  <c:v>0.57817260379747859</c:v>
                </c:pt>
                <c:pt idx="21">
                  <c:v>0.50293351573149603</c:v>
                </c:pt>
                <c:pt idx="22">
                  <c:v>0.4766382470663777</c:v>
                </c:pt>
                <c:pt idx="23">
                  <c:v>0.25217237587525709</c:v>
                </c:pt>
                <c:pt idx="24">
                  <c:v>0.16212325817468889</c:v>
                </c:pt>
                <c:pt idx="25">
                  <c:v>4.3736954559366367E-2</c:v>
                </c:pt>
                <c:pt idx="26">
                  <c:v>5.4663726972898993E-2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A4F-42BC-8C49-95F165453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H4'!$AI$1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H4'!$AI$2:$AI$37</c:f>
              <c:numCache>
                <c:formatCode>0.00000</c:formatCode>
                <c:ptCount val="36"/>
                <c:pt idx="0">
                  <c:v>-0.28461310406167106</c:v>
                </c:pt>
                <c:pt idx="1">
                  <c:v>0.15886449007468345</c:v>
                </c:pt>
                <c:pt idx="2">
                  <c:v>-0.12159857640691672</c:v>
                </c:pt>
                <c:pt idx="3">
                  <c:v>-8.8966652333074825E-3</c:v>
                </c:pt>
                <c:pt idx="4">
                  <c:v>3.8567084476737665E-2</c:v>
                </c:pt>
                <c:pt idx="5">
                  <c:v>-2.3727958950621818E-2</c:v>
                </c:pt>
                <c:pt idx="6">
                  <c:v>0.10837613943406997</c:v>
                </c:pt>
                <c:pt idx="7">
                  <c:v>-0.12751319613310047</c:v>
                </c:pt>
                <c:pt idx="8">
                  <c:v>-8.5923380047985831E-2</c:v>
                </c:pt>
                <c:pt idx="9">
                  <c:v>5.1877214045379441E-2</c:v>
                </c:pt>
                <c:pt idx="10">
                  <c:v>0.15290065910575015</c:v>
                </c:pt>
                <c:pt idx="11">
                  <c:v>-7.7133024801228925E-2</c:v>
                </c:pt>
                <c:pt idx="12">
                  <c:v>0.19916173716595939</c:v>
                </c:pt>
                <c:pt idx="13">
                  <c:v>0.14884939418296581</c:v>
                </c:pt>
                <c:pt idx="14">
                  <c:v>-0.12190770694577231</c:v>
                </c:pt>
                <c:pt idx="15">
                  <c:v>-8.3184789067142745E-2</c:v>
                </c:pt>
                <c:pt idx="16">
                  <c:v>0.17857142857142541</c:v>
                </c:pt>
                <c:pt idx="17">
                  <c:v>0.34643411778759836</c:v>
                </c:pt>
                <c:pt idx="18">
                  <c:v>0.12708760073561554</c:v>
                </c:pt>
                <c:pt idx="19">
                  <c:v>1.6449336044989608E-2</c:v>
                </c:pt>
                <c:pt idx="20">
                  <c:v>0.11527808967736168</c:v>
                </c:pt>
                <c:pt idx="21">
                  <c:v>0.14092742237748337</c:v>
                </c:pt>
                <c:pt idx="22">
                  <c:v>0.21485020583551825</c:v>
                </c:pt>
                <c:pt idx="23">
                  <c:v>0.44064829626051405</c:v>
                </c:pt>
                <c:pt idx="24">
                  <c:v>-8.5943036352390492E-2</c:v>
                </c:pt>
                <c:pt idx="25">
                  <c:v>9.2058796897165715E-2</c:v>
                </c:pt>
                <c:pt idx="26">
                  <c:v>0.18597196812772393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AE-4173-96A3-1ECE812B4A92}"/>
            </c:ext>
          </c:extLst>
        </c:ser>
        <c:ser>
          <c:idx val="1"/>
          <c:order val="1"/>
          <c:tx>
            <c:strRef>
              <c:f>'SATORI H4'!$AJ$1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H4'!$AJ$2:$AJ$37</c:f>
              <c:numCache>
                <c:formatCode>0.00000</c:formatCode>
                <c:ptCount val="36"/>
                <c:pt idx="0">
                  <c:v>-6.3931611441924802E-2</c:v>
                </c:pt>
                <c:pt idx="1">
                  <c:v>-9.1330039363845292E-4</c:v>
                </c:pt>
                <c:pt idx="2">
                  <c:v>-6.9362684700973259E-2</c:v>
                </c:pt>
                <c:pt idx="3">
                  <c:v>3.0127081507464536E-2</c:v>
                </c:pt>
                <c:pt idx="4">
                  <c:v>2.648232533079177E-2</c:v>
                </c:pt>
                <c:pt idx="5">
                  <c:v>-0.1886723663342888</c:v>
                </c:pt>
                <c:pt idx="6">
                  <c:v>-1.6403601501847134E-2</c:v>
                </c:pt>
                <c:pt idx="7">
                  <c:v>-5.7379662097537087E-2</c:v>
                </c:pt>
                <c:pt idx="8">
                  <c:v>0.24377328171791232</c:v>
                </c:pt>
                <c:pt idx="9">
                  <c:v>-9.0306220182988339E-2</c:v>
                </c:pt>
                <c:pt idx="10">
                  <c:v>7.2980049079155989E-3</c:v>
                </c:pt>
                <c:pt idx="11">
                  <c:v>-8.6588767158248384E-2</c:v>
                </c:pt>
                <c:pt idx="12">
                  <c:v>6.2017766265984528E-2</c:v>
                </c:pt>
                <c:pt idx="13">
                  <c:v>-0.1338883171058339</c:v>
                </c:pt>
                <c:pt idx="14">
                  <c:v>-0.1500572946033876</c:v>
                </c:pt>
                <c:pt idx="15">
                  <c:v>-0.1199018984467243</c:v>
                </c:pt>
                <c:pt idx="16">
                  <c:v>-0.16051946638613993</c:v>
                </c:pt>
                <c:pt idx="17">
                  <c:v>7.2556435302406162E-3</c:v>
                </c:pt>
                <c:pt idx="18">
                  <c:v>9.8047226080559408E-2</c:v>
                </c:pt>
                <c:pt idx="19">
                  <c:v>0.1600363719027037</c:v>
                </c:pt>
                <c:pt idx="20">
                  <c:v>-0.29555489070815683</c:v>
                </c:pt>
                <c:pt idx="21">
                  <c:v>0.14072231401956858</c:v>
                </c:pt>
                <c:pt idx="22">
                  <c:v>-2.3599462658382069E-2</c:v>
                </c:pt>
                <c:pt idx="23">
                  <c:v>0.15272171921022198</c:v>
                </c:pt>
                <c:pt idx="24">
                  <c:v>-0.1642691836456949</c:v>
                </c:pt>
                <c:pt idx="25">
                  <c:v>1.8154586302362635E-2</c:v>
                </c:pt>
                <c:pt idx="26">
                  <c:v>-0.24810076150634872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AE-4173-96A3-1ECE812B4A92}"/>
            </c:ext>
          </c:extLst>
        </c:ser>
        <c:ser>
          <c:idx val="2"/>
          <c:order val="2"/>
          <c:tx>
            <c:strRef>
              <c:f>'SATORI H4'!$AK$1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H4'!$AK$2:$AK$37</c:f>
              <c:numCache>
                <c:formatCode>0.00000</c:formatCode>
                <c:ptCount val="36"/>
                <c:pt idx="0">
                  <c:v>4.2749396928152099E-2</c:v>
                </c:pt>
                <c:pt idx="1">
                  <c:v>0.50535533436313951</c:v>
                </c:pt>
                <c:pt idx="2">
                  <c:v>-0.25814746035956992</c:v>
                </c:pt>
                <c:pt idx="3">
                  <c:v>3.3682749328898011E-2</c:v>
                </c:pt>
                <c:pt idx="4">
                  <c:v>9.2969085225060755E-2</c:v>
                </c:pt>
                <c:pt idx="5">
                  <c:v>-0.42320291358928647</c:v>
                </c:pt>
                <c:pt idx="6">
                  <c:v>-6.8113658313417438E-2</c:v>
                </c:pt>
                <c:pt idx="7">
                  <c:v>0.11704834605597443</c:v>
                </c:pt>
                <c:pt idx="8">
                  <c:v>6.9259131001607049E-2</c:v>
                </c:pt>
                <c:pt idx="9">
                  <c:v>0.18366972102610848</c:v>
                </c:pt>
                <c:pt idx="10">
                  <c:v>5.9217512047693294E-2</c:v>
                </c:pt>
                <c:pt idx="11">
                  <c:v>-0.60684784152949911</c:v>
                </c:pt>
                <c:pt idx="12">
                  <c:v>-4.0575358584723421E-2</c:v>
                </c:pt>
                <c:pt idx="13">
                  <c:v>-0.12967277884712808</c:v>
                </c:pt>
                <c:pt idx="14">
                  <c:v>0.33849375362127165</c:v>
                </c:pt>
                <c:pt idx="15">
                  <c:v>-0.31816477693002115</c:v>
                </c:pt>
                <c:pt idx="16">
                  <c:v>0.2458125526922614</c:v>
                </c:pt>
                <c:pt idx="17">
                  <c:v>0.54229048795930435</c:v>
                </c:pt>
                <c:pt idx="18">
                  <c:v>0.22210622204482347</c:v>
                </c:pt>
                <c:pt idx="19">
                  <c:v>-6.137416761285408E-2</c:v>
                </c:pt>
                <c:pt idx="20">
                  <c:v>-0.96140208692128271</c:v>
                </c:pt>
                <c:pt idx="21">
                  <c:v>0.27835344792554217</c:v>
                </c:pt>
                <c:pt idx="22">
                  <c:v>-7.3090510415386084E-2</c:v>
                </c:pt>
                <c:pt idx="23">
                  <c:v>0.65394204438631687</c:v>
                </c:pt>
                <c:pt idx="24">
                  <c:v>-0.77157833902808493</c:v>
                </c:pt>
                <c:pt idx="25">
                  <c:v>-9.1242725927130931E-3</c:v>
                </c:pt>
                <c:pt idx="26">
                  <c:v>0.12485408313455276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3AE-4173-96A3-1ECE812B4A92}"/>
            </c:ext>
          </c:extLst>
        </c:ser>
        <c:ser>
          <c:idx val="3"/>
          <c:order val="3"/>
          <c:tx>
            <c:strRef>
              <c:f>'SATORI H4'!$AL$1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H4'!$AL$2:$AL$37</c:f>
              <c:numCache>
                <c:formatCode>0.00000</c:formatCode>
                <c:ptCount val="36"/>
                <c:pt idx="0">
                  <c:v>-0.16195319030370339</c:v>
                </c:pt>
                <c:pt idx="1">
                  <c:v>0.1377626645740618</c:v>
                </c:pt>
                <c:pt idx="2">
                  <c:v>-0.16538997214484791</c:v>
                </c:pt>
                <c:pt idx="3">
                  <c:v>8.7054931661869062E-3</c:v>
                </c:pt>
                <c:pt idx="4">
                  <c:v>7.4923334262622224E-2</c:v>
                </c:pt>
                <c:pt idx="5">
                  <c:v>-0.33515672484153641</c:v>
                </c:pt>
                <c:pt idx="6">
                  <c:v>-3.6454535985842355E-2</c:v>
                </c:pt>
                <c:pt idx="7">
                  <c:v>-8.6788981270928284E-3</c:v>
                </c:pt>
                <c:pt idx="8">
                  <c:v>-5.2070677265898032E-3</c:v>
                </c:pt>
                <c:pt idx="9">
                  <c:v>-5.2067966051641866E-3</c:v>
                </c:pt>
                <c:pt idx="10">
                  <c:v>-9.8831362485707674E-2</c:v>
                </c:pt>
                <c:pt idx="11">
                  <c:v>-0.41956593055578367</c:v>
                </c:pt>
                <c:pt idx="12">
                  <c:v>8.4675468307180216E-2</c:v>
                </c:pt>
                <c:pt idx="13">
                  <c:v>-7.7702761038119489E-2</c:v>
                </c:pt>
                <c:pt idx="14">
                  <c:v>-0.10694264769296316</c:v>
                </c:pt>
                <c:pt idx="15">
                  <c:v>-0.19281422693546058</c:v>
                </c:pt>
                <c:pt idx="16">
                  <c:v>0.1569073729222647</c:v>
                </c:pt>
                <c:pt idx="17">
                  <c:v>7.5924903368304097E-2</c:v>
                </c:pt>
                <c:pt idx="18">
                  <c:v>0.21789506450386312</c:v>
                </c:pt>
                <c:pt idx="19">
                  <c:v>9.3470885550090865E-2</c:v>
                </c:pt>
                <c:pt idx="20">
                  <c:v>-0.20728252608304756</c:v>
                </c:pt>
                <c:pt idx="21">
                  <c:v>0.23547337073204999</c:v>
                </c:pt>
                <c:pt idx="22">
                  <c:v>-7.7853324336959823E-2</c:v>
                </c:pt>
                <c:pt idx="23">
                  <c:v>0.62497823891925453</c:v>
                </c:pt>
                <c:pt idx="24">
                  <c:v>-0.2950774144275366</c:v>
                </c:pt>
                <c:pt idx="25">
                  <c:v>-0.18711018711020111</c:v>
                </c:pt>
                <c:pt idx="26">
                  <c:v>0.11100319134176581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3AE-4173-96A3-1ECE812B4A92}"/>
            </c:ext>
          </c:extLst>
        </c:ser>
        <c:ser>
          <c:idx val="4"/>
          <c:order val="4"/>
          <c:tx>
            <c:strRef>
              <c:f>'SATORI H4'!$AM$1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H4'!$AM$2:$AM$37</c:f>
              <c:numCache>
                <c:formatCode>0.00000</c:formatCode>
                <c:ptCount val="36"/>
                <c:pt idx="0">
                  <c:v>-0.18015460540682626</c:v>
                </c:pt>
                <c:pt idx="1">
                  <c:v>8.5236586165446715E-2</c:v>
                </c:pt>
                <c:pt idx="2">
                  <c:v>-0.1167905519717973</c:v>
                </c:pt>
                <c:pt idx="3">
                  <c:v>-5.8906306247339391E-2</c:v>
                </c:pt>
                <c:pt idx="4">
                  <c:v>6.1125361567429454E-2</c:v>
                </c:pt>
                <c:pt idx="5">
                  <c:v>-8.397679186842226E-2</c:v>
                </c:pt>
                <c:pt idx="6">
                  <c:v>8.7256227913233477E-3</c:v>
                </c:pt>
                <c:pt idx="7">
                  <c:v>-0.15029077998737206</c:v>
                </c:pt>
                <c:pt idx="8">
                  <c:v>-0.10009356572447298</c:v>
                </c:pt>
                <c:pt idx="9">
                  <c:v>2.9383917202650264E-2</c:v>
                </c:pt>
                <c:pt idx="10">
                  <c:v>7.187898193223706E-2</c:v>
                </c:pt>
                <c:pt idx="11">
                  <c:v>-2.1781035252627342E-3</c:v>
                </c:pt>
                <c:pt idx="12">
                  <c:v>0.2303191721608463</c:v>
                </c:pt>
                <c:pt idx="13">
                  <c:v>0</c:v>
                </c:pt>
                <c:pt idx="14">
                  <c:v>-0.10685857594591439</c:v>
                </c:pt>
                <c:pt idx="15">
                  <c:v>-7.0825388177600479E-2</c:v>
                </c:pt>
                <c:pt idx="16">
                  <c:v>5.7783301716046252E-2</c:v>
                </c:pt>
                <c:pt idx="17">
                  <c:v>0.17802728295416292</c:v>
                </c:pt>
                <c:pt idx="18">
                  <c:v>0.1148118179631285</c:v>
                </c:pt>
                <c:pt idx="19">
                  <c:v>8.0980520901737144E-2</c:v>
                </c:pt>
                <c:pt idx="20">
                  <c:v>7.0086293749175826E-2</c:v>
                </c:pt>
                <c:pt idx="21">
                  <c:v>9.5364412631940107E-2</c:v>
                </c:pt>
                <c:pt idx="22">
                  <c:v>8.2278342146261091E-2</c:v>
                </c:pt>
                <c:pt idx="23">
                  <c:v>0.21878951129680033</c:v>
                </c:pt>
                <c:pt idx="24">
                  <c:v>-5.6040261081688074E-2</c:v>
                </c:pt>
                <c:pt idx="25">
                  <c:v>7.1474912305772798E-2</c:v>
                </c:pt>
                <c:pt idx="26">
                  <c:v>0.13764094432700014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3AE-4173-96A3-1ECE812B4A92}"/>
            </c:ext>
          </c:extLst>
        </c:ser>
        <c:ser>
          <c:idx val="5"/>
          <c:order val="5"/>
          <c:tx>
            <c:strRef>
              <c:f>'SATORI H4'!$AN$1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H4'!$AN$2:$AN$37</c:f>
              <c:numCache>
                <c:formatCode>0.00000</c:formatCode>
                <c:ptCount val="36"/>
                <c:pt idx="0">
                  <c:v>-9.3335487229186179E-2</c:v>
                </c:pt>
                <c:pt idx="1">
                  <c:v>-7.1791374266453687E-3</c:v>
                </c:pt>
                <c:pt idx="2">
                  <c:v>-3.8572979179555461E-2</c:v>
                </c:pt>
                <c:pt idx="3">
                  <c:v>-1.9731118664731252E-2</c:v>
                </c:pt>
                <c:pt idx="4">
                  <c:v>3.050284842775822E-2</c:v>
                </c:pt>
                <c:pt idx="5">
                  <c:v>0.19325842696628082</c:v>
                </c:pt>
                <c:pt idx="6">
                  <c:v>5.7561203748671047E-2</c:v>
                </c:pt>
                <c:pt idx="7">
                  <c:v>-5.3960716598270547E-3</c:v>
                </c:pt>
                <c:pt idx="8">
                  <c:v>-7.8181867198656205E-2</c:v>
                </c:pt>
                <c:pt idx="9">
                  <c:v>-1.8867924528305793E-2</c:v>
                </c:pt>
                <c:pt idx="10">
                  <c:v>0.13495276653171903</c:v>
                </c:pt>
                <c:pt idx="11">
                  <c:v>0.1495711093490949</c:v>
                </c:pt>
                <c:pt idx="12">
                  <c:v>0.16787306630083332</c:v>
                </c:pt>
                <c:pt idx="13">
                  <c:v>2.3471635431329844E-2</c:v>
                </c:pt>
                <c:pt idx="14">
                  <c:v>-5.3234203426827192E-2</c:v>
                </c:pt>
                <c:pt idx="15">
                  <c:v>-1.8042236876545995E-2</c:v>
                </c:pt>
                <c:pt idx="16">
                  <c:v>0.10294662127384172</c:v>
                </c:pt>
                <c:pt idx="17">
                  <c:v>0.31434006703504502</c:v>
                </c:pt>
                <c:pt idx="18">
                  <c:v>1.5402317595789139E-2</c:v>
                </c:pt>
                <c:pt idx="19">
                  <c:v>-2.2645337777845744E-2</c:v>
                </c:pt>
                <c:pt idx="20">
                  <c:v>7.5239088065982535E-2</c:v>
                </c:pt>
                <c:pt idx="21">
                  <c:v>2.6295268665118283E-2</c:v>
                </c:pt>
                <c:pt idx="22">
                  <c:v>0.22446587119112063</c:v>
                </c:pt>
                <c:pt idx="23">
                  <c:v>9.0049117700568171E-2</c:v>
                </c:pt>
                <c:pt idx="24">
                  <c:v>0.11838630361532253</c:v>
                </c:pt>
                <c:pt idx="25">
                  <c:v>-1.0926772413532623E-2</c:v>
                </c:pt>
                <c:pt idx="26">
                  <c:v>5.4663726972898993E-2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3AE-4173-96A3-1ECE812B4A92}"/>
            </c:ext>
          </c:extLst>
        </c:ser>
        <c:ser>
          <c:idx val="6"/>
          <c:order val="6"/>
          <c:tx>
            <c:strRef>
              <c:f>'SATORI H4'!$AO$1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H4'!$AO$2:$AO$37</c:f>
              <c:numCache>
                <c:formatCode>0.00000</c:formatCode>
                <c:ptCount val="36"/>
                <c:pt idx="0">
                  <c:v>1.1237514790552785E-2</c:v>
                </c:pt>
                <c:pt idx="1">
                  <c:v>-7.7940778218852341E-2</c:v>
                </c:pt>
                <c:pt idx="2">
                  <c:v>-3.5655096367801134E-2</c:v>
                </c:pt>
                <c:pt idx="3">
                  <c:v>-7.1918712061232209E-2</c:v>
                </c:pt>
                <c:pt idx="4">
                  <c:v>5.5454329398713448E-2</c:v>
                </c:pt>
                <c:pt idx="5">
                  <c:v>0.13088486098441893</c:v>
                </c:pt>
                <c:pt idx="6">
                  <c:v>-3.9646354517697734E-2</c:v>
                </c:pt>
                <c:pt idx="7">
                  <c:v>-2.9065542799011506E-2</c:v>
                </c:pt>
                <c:pt idx="8">
                  <c:v>-9.1736458972683815E-2</c:v>
                </c:pt>
                <c:pt idx="9">
                  <c:v>-4.4858136144444116E-2</c:v>
                </c:pt>
                <c:pt idx="10">
                  <c:v>5.874587458746254E-2</c:v>
                </c:pt>
                <c:pt idx="11">
                  <c:v>0.22426419512969645</c:v>
                </c:pt>
                <c:pt idx="12">
                  <c:v>0.19686605154310619</c:v>
                </c:pt>
                <c:pt idx="13">
                  <c:v>-0.12379924661207395</c:v>
                </c:pt>
                <c:pt idx="14">
                  <c:v>-4.0367409603472883E-2</c:v>
                </c:pt>
                <c:pt idx="15">
                  <c:v>-6.6171702333206938E-3</c:v>
                </c:pt>
                <c:pt idx="16">
                  <c:v>-1.389412675413638E-2</c:v>
                </c:pt>
                <c:pt idx="17">
                  <c:v>0.14510614613978801</c:v>
                </c:pt>
                <c:pt idx="18">
                  <c:v>1.9877949390723951E-3</c:v>
                </c:pt>
                <c:pt idx="19">
                  <c:v>4.3087447632181648E-2</c:v>
                </c:pt>
                <c:pt idx="20">
                  <c:v>3.1828550209525616E-2</c:v>
                </c:pt>
                <c:pt idx="21">
                  <c:v>-3.1155745583505381E-2</c:v>
                </c:pt>
                <c:pt idx="22">
                  <c:v>0.10285335102854429</c:v>
                </c:pt>
                <c:pt idx="23">
                  <c:v>-0.1312144627496781</c:v>
                </c:pt>
                <c:pt idx="24">
                  <c:v>0.14600671630894888</c:v>
                </c:pt>
                <c:pt idx="25">
                  <c:v>-3.1182617349475566E-2</c:v>
                </c:pt>
                <c:pt idx="26">
                  <c:v>6.635039644361144E-3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3AE-4173-96A3-1ECE812B4A92}"/>
            </c:ext>
          </c:extLst>
        </c:ser>
        <c:ser>
          <c:idx val="7"/>
          <c:order val="7"/>
          <c:tx>
            <c:strRef>
              <c:f>'SATORI H4'!$AP$1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H4'!$AP$2:$AP$37</c:f>
              <c:numCache>
                <c:formatCode>0.00000</c:formatCode>
                <c:ptCount val="36"/>
                <c:pt idx="0">
                  <c:v>-5.8842912959556669E-3</c:v>
                </c:pt>
                <c:pt idx="1">
                  <c:v>-0.23481895458601437</c:v>
                </c:pt>
                <c:pt idx="2">
                  <c:v>1.0567969658188943E-2</c:v>
                </c:pt>
                <c:pt idx="3">
                  <c:v>-1.4088641033168064E-2</c:v>
                </c:pt>
                <c:pt idx="4">
                  <c:v>2.1137428514386131E-2</c:v>
                </c:pt>
                <c:pt idx="5">
                  <c:v>-0.14305983888178786</c:v>
                </c:pt>
                <c:pt idx="6">
                  <c:v>-0.18843632958801501</c:v>
                </c:pt>
                <c:pt idx="7">
                  <c:v>9.8411359482644803E-2</c:v>
                </c:pt>
                <c:pt idx="8">
                  <c:v>-1.5228010167620973E-2</c:v>
                </c:pt>
                <c:pt idx="9">
                  <c:v>-3.2788037050488654E-2</c:v>
                </c:pt>
                <c:pt idx="10">
                  <c:v>7.2654830960327405E-2</c:v>
                </c:pt>
                <c:pt idx="11">
                  <c:v>0.16785613672645816</c:v>
                </c:pt>
                <c:pt idx="12">
                  <c:v>-3.5202177841398577E-2</c:v>
                </c:pt>
                <c:pt idx="13">
                  <c:v>-0.13710027068515032</c:v>
                </c:pt>
                <c:pt idx="14">
                  <c:v>-1.1716598905668372E-2</c:v>
                </c:pt>
                <c:pt idx="15">
                  <c:v>3.0472440022025357E-2</c:v>
                </c:pt>
                <c:pt idx="16">
                  <c:v>2.8136320472692291E-2</c:v>
                </c:pt>
                <c:pt idx="17">
                  <c:v>7.3912431367030296E-2</c:v>
                </c:pt>
                <c:pt idx="18">
                  <c:v>0.17864698415682922</c:v>
                </c:pt>
                <c:pt idx="19">
                  <c:v>-0.16661582146293114</c:v>
                </c:pt>
                <c:pt idx="20">
                  <c:v>2.6994354658880965E-2</c:v>
                </c:pt>
                <c:pt idx="21">
                  <c:v>3.5222429643192908E-2</c:v>
                </c:pt>
                <c:pt idx="22">
                  <c:v>1.4090957128263993E-2</c:v>
                </c:pt>
                <c:pt idx="23">
                  <c:v>-9.1507408580579652E-2</c:v>
                </c:pt>
                <c:pt idx="24">
                  <c:v>2.4642681123698332E-2</c:v>
                </c:pt>
                <c:pt idx="25">
                  <c:v>-0.1078419880435964</c:v>
                </c:pt>
                <c:pt idx="26">
                  <c:v>-1.9923353686406822E-2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3AE-4173-96A3-1ECE812B4A92}"/>
            </c:ext>
          </c:extLst>
        </c:ser>
        <c:ser>
          <c:idx val="8"/>
          <c:order val="8"/>
          <c:tx>
            <c:strRef>
              <c:f>'SATORI H4'!$AQ$1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H4'!$AQ$2:$AQ$37</c:f>
              <c:numCache>
                <c:formatCode>0.00000</c:formatCode>
                <c:ptCount val="36"/>
                <c:pt idx="0">
                  <c:v>2.8466599190282608E-2</c:v>
                </c:pt>
                <c:pt idx="1">
                  <c:v>-2.8458498023714623E-2</c:v>
                </c:pt>
                <c:pt idx="2">
                  <c:v>-8.3198180171458636E-2</c:v>
                </c:pt>
                <c:pt idx="3">
                  <c:v>-7.3714472256930187E-3</c:v>
                </c:pt>
                <c:pt idx="4">
                  <c:v>7.3768850575915826E-2</c:v>
                </c:pt>
                <c:pt idx="5">
                  <c:v>-0.12209626659087634</c:v>
                </c:pt>
                <c:pt idx="6">
                  <c:v>-8.5184250378594298E-2</c:v>
                </c:pt>
                <c:pt idx="7">
                  <c:v>0.11897867859962773</c:v>
                </c:pt>
                <c:pt idx="8">
                  <c:v>-3.158626208171839E-3</c:v>
                </c:pt>
                <c:pt idx="9">
                  <c:v>-7.7852123048444424E-2</c:v>
                </c:pt>
                <c:pt idx="10">
                  <c:v>-0.11559235829427605</c:v>
                </c:pt>
                <c:pt idx="11">
                  <c:v>-0.19298135212803399</c:v>
                </c:pt>
                <c:pt idx="12">
                  <c:v>5.876797145555724E-2</c:v>
                </c:pt>
                <c:pt idx="13">
                  <c:v>-0.20317540111432833</c:v>
                </c:pt>
                <c:pt idx="14">
                  <c:v>-4.1874293371294752E-2</c:v>
                </c:pt>
                <c:pt idx="15">
                  <c:v>-0.13173026659697218</c:v>
                </c:pt>
                <c:pt idx="16">
                  <c:v>8.8944697326428859E-2</c:v>
                </c:pt>
                <c:pt idx="17">
                  <c:v>4.0826581244896833E-2</c:v>
                </c:pt>
                <c:pt idx="18">
                  <c:v>0.10479324293169585</c:v>
                </c:pt>
                <c:pt idx="19">
                  <c:v>5.6620391729227122E-2</c:v>
                </c:pt>
                <c:pt idx="20">
                  <c:v>-0.25205777457040601</c:v>
                </c:pt>
                <c:pt idx="21">
                  <c:v>0.11517962786509217</c:v>
                </c:pt>
                <c:pt idx="22">
                  <c:v>-5.7556667155019926E-2</c:v>
                </c:pt>
                <c:pt idx="23">
                  <c:v>0.27388060484590293</c:v>
                </c:pt>
                <c:pt idx="24">
                  <c:v>-9.4352479897681224E-2</c:v>
                </c:pt>
                <c:pt idx="25">
                  <c:v>-0.29476632974109113</c:v>
                </c:pt>
                <c:pt idx="26">
                  <c:v>-1.3586672519383319E-2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3AE-4173-96A3-1ECE812B4A92}"/>
            </c:ext>
          </c:extLst>
        </c:ser>
        <c:ser>
          <c:idx val="9"/>
          <c:order val="9"/>
          <c:tx>
            <c:strRef>
              <c:f>'SATORI H4'!$AR$1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H4'!$AR$2:$AR$37</c:f>
              <c:numCache>
                <c:formatCode>0.00000</c:formatCode>
                <c:ptCount val="36"/>
                <c:pt idx="0">
                  <c:v>0.23293647859201969</c:v>
                </c:pt>
                <c:pt idx="1">
                  <c:v>0.33822010894768223</c:v>
                </c:pt>
                <c:pt idx="2">
                  <c:v>-0.17344608357507407</c:v>
                </c:pt>
                <c:pt idx="3">
                  <c:v>1.7903334341679802E-2</c:v>
                </c:pt>
                <c:pt idx="4">
                  <c:v>8.9596875849614302E-2</c:v>
                </c:pt>
                <c:pt idx="5">
                  <c:v>-0.20841811881065636</c:v>
                </c:pt>
                <c:pt idx="6">
                  <c:v>-0.11763619006559449</c:v>
                </c:pt>
                <c:pt idx="7">
                  <c:v>0.24077789782374737</c:v>
                </c:pt>
                <c:pt idx="8">
                  <c:v>7.4758733179273229E-2</c:v>
                </c:pt>
                <c:pt idx="9">
                  <c:v>0.10947753854909538</c:v>
                </c:pt>
                <c:pt idx="10">
                  <c:v>4.6410316703994155E-2</c:v>
                </c:pt>
                <c:pt idx="11">
                  <c:v>-0.3815782173701307</c:v>
                </c:pt>
                <c:pt idx="12">
                  <c:v>-7.0225151692490412E-2</c:v>
                </c:pt>
                <c:pt idx="13">
                  <c:v>-0.2574437494623682</c:v>
                </c:pt>
                <c:pt idx="14">
                  <c:v>0.40469345704449</c:v>
                </c:pt>
                <c:pt idx="15">
                  <c:v>-0.25229527161739518</c:v>
                </c:pt>
                <c:pt idx="16">
                  <c:v>0.1744490676529607</c:v>
                </c:pt>
                <c:pt idx="17">
                  <c:v>0.50617069785884672</c:v>
                </c:pt>
                <c:pt idx="18">
                  <c:v>0.10853857460940561</c:v>
                </c:pt>
                <c:pt idx="19">
                  <c:v>-9.6041837063475063E-2</c:v>
                </c:pt>
                <c:pt idx="20">
                  <c:v>-1.0029259675015125</c:v>
                </c:pt>
                <c:pt idx="21">
                  <c:v>0.15235754876362489</c:v>
                </c:pt>
                <c:pt idx="22">
                  <c:v>-4.9737191138176588E-2</c:v>
                </c:pt>
                <c:pt idx="23">
                  <c:v>0.30302283757482584</c:v>
                </c:pt>
                <c:pt idx="24">
                  <c:v>-0.57256933600328375</c:v>
                </c:pt>
                <c:pt idx="25">
                  <c:v>-0.11254992873876642</c:v>
                </c:pt>
                <c:pt idx="26">
                  <c:v>-5.504856506731908E-3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3AE-4173-96A3-1ECE812B4A92}"/>
            </c:ext>
          </c:extLst>
        </c:ser>
        <c:ser>
          <c:idx val="10"/>
          <c:order val="10"/>
          <c:tx>
            <c:strRef>
              <c:f>'SATORI H4'!$AS$1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H4'!$AS$2:$AS$37</c:f>
              <c:numCache>
                <c:formatCode>0.00000</c:formatCode>
                <c:ptCount val="36"/>
                <c:pt idx="0">
                  <c:v>0.19010486038795441</c:v>
                </c:pt>
                <c:pt idx="1">
                  <c:v>-0.16440608302506188</c:v>
                </c:pt>
                <c:pt idx="2">
                  <c:v>8.1665245086472146E-2</c:v>
                </c:pt>
                <c:pt idx="3">
                  <c:v>-7.2586059847278934E-3</c:v>
                </c:pt>
                <c:pt idx="4">
                  <c:v>-1.0281967847681929E-2</c:v>
                </c:pt>
                <c:pt idx="5">
                  <c:v>0.21456626097076678</c:v>
                </c:pt>
                <c:pt idx="6">
                  <c:v>-4.9071577863264618E-2</c:v>
                </c:pt>
                <c:pt idx="7">
                  <c:v>0.12191867236023905</c:v>
                </c:pt>
                <c:pt idx="8">
                  <c:v>7.8859090936776559E-3</c:v>
                </c:pt>
                <c:pt idx="9">
                  <c:v>-6.547081395983062E-2</c:v>
                </c:pt>
                <c:pt idx="10">
                  <c:v>-2.0606934839660286E-2</c:v>
                </c:pt>
                <c:pt idx="11">
                  <c:v>0.22475595755148517</c:v>
                </c:pt>
                <c:pt idx="12">
                  <c:v>-3.0363204654068665E-2</c:v>
                </c:pt>
                <c:pt idx="13">
                  <c:v>-0.12675731735422455</c:v>
                </c:pt>
                <c:pt idx="14">
                  <c:v>6.7366223425235294E-2</c:v>
                </c:pt>
                <c:pt idx="15">
                  <c:v>7.2881427990117889E-2</c:v>
                </c:pt>
                <c:pt idx="16">
                  <c:v>-8.0105350673309011E-2</c:v>
                </c:pt>
                <c:pt idx="17">
                  <c:v>-3.3366092769874088E-2</c:v>
                </c:pt>
                <c:pt idx="18">
                  <c:v>-0.11331616421754512</c:v>
                </c:pt>
                <c:pt idx="19">
                  <c:v>-3.6950437953551449E-2</c:v>
                </c:pt>
                <c:pt idx="20">
                  <c:v>-3.8752649106870964E-2</c:v>
                </c:pt>
                <c:pt idx="21">
                  <c:v>-0.11310233039186862</c:v>
                </c:pt>
                <c:pt idx="22">
                  <c:v>7.863347124432235E-3</c:v>
                </c:pt>
                <c:pt idx="23">
                  <c:v>-0.34599573231743941</c:v>
                </c:pt>
                <c:pt idx="24">
                  <c:v>0.20052426222775147</c:v>
                </c:pt>
                <c:pt idx="25">
                  <c:v>-0.10377825242250815</c:v>
                </c:pt>
                <c:pt idx="26">
                  <c:v>-0.13075833810370313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3AE-4173-96A3-1ECE812B4A92}"/>
            </c:ext>
          </c:extLst>
        </c:ser>
        <c:ser>
          <c:idx val="11"/>
          <c:order val="11"/>
          <c:tx>
            <c:strRef>
              <c:f>'SATORI H4'!$AT$1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H4'!$AT$2:$AT$37</c:f>
              <c:numCache>
                <c:formatCode>0.00000</c:formatCode>
                <c:ptCount val="36"/>
                <c:pt idx="0">
                  <c:v>0.12772945684569253</c:v>
                </c:pt>
                <c:pt idx="1">
                  <c:v>-0.16560769744577131</c:v>
                </c:pt>
                <c:pt idx="2">
                  <c:v>1.2698202376217507E-2</c:v>
                </c:pt>
                <c:pt idx="3">
                  <c:v>1.2699815024430714E-2</c:v>
                </c:pt>
                <c:pt idx="4">
                  <c:v>2.5958532624903094E-2</c:v>
                </c:pt>
                <c:pt idx="5">
                  <c:v>2.5965272828721481E-2</c:v>
                </c:pt>
                <c:pt idx="6">
                  <c:v>-6.4595203392070435E-2</c:v>
                </c:pt>
                <c:pt idx="7">
                  <c:v>6.3531348577173158E-2</c:v>
                </c:pt>
                <c:pt idx="8">
                  <c:v>0.25144135711872512</c:v>
                </c:pt>
                <c:pt idx="9">
                  <c:v>-0.16532307113868605</c:v>
                </c:pt>
                <c:pt idx="10">
                  <c:v>-5.5288940000436217E-3</c:v>
                </c:pt>
                <c:pt idx="11">
                  <c:v>0.13952252292156164</c:v>
                </c:pt>
                <c:pt idx="12">
                  <c:v>2.9906624871234532E-2</c:v>
                </c:pt>
                <c:pt idx="13">
                  <c:v>-0.25796971755906245</c:v>
                </c:pt>
                <c:pt idx="14">
                  <c:v>-8.3342532288338794E-2</c:v>
                </c:pt>
                <c:pt idx="15">
                  <c:v>-5.6265928222328794E-2</c:v>
                </c:pt>
                <c:pt idx="16">
                  <c:v>-0.23114770338246038</c:v>
                </c:pt>
                <c:pt idx="17">
                  <c:v>-2.6409903713882472E-2</c:v>
                </c:pt>
                <c:pt idx="18">
                  <c:v>-1.5403404152320853E-2</c:v>
                </c:pt>
                <c:pt idx="19">
                  <c:v>0.12282779323069892</c:v>
                </c:pt>
                <c:pt idx="20">
                  <c:v>-0.33431413451614639</c:v>
                </c:pt>
                <c:pt idx="21">
                  <c:v>1.5373127772644393E-2</c:v>
                </c:pt>
                <c:pt idx="22">
                  <c:v>-4.9411183397800361E-3</c:v>
                </c:pt>
                <c:pt idx="23">
                  <c:v>-0.19506742428808652</c:v>
                </c:pt>
                <c:pt idx="24">
                  <c:v>3.6725610357715578E-2</c:v>
                </c:pt>
                <c:pt idx="25">
                  <c:v>-8.4342892194441854E-2</c:v>
                </c:pt>
                <c:pt idx="26">
                  <c:v>-0.37919501535876277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3AE-4173-96A3-1ECE812B4A92}"/>
            </c:ext>
          </c:extLst>
        </c:ser>
        <c:ser>
          <c:idx val="12"/>
          <c:order val="12"/>
          <c:tx>
            <c:strRef>
              <c:f>'SATORI H4'!$AU$1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H4'!$AU$2:$AU$37</c:f>
              <c:numCache>
                <c:formatCode>0.00000</c:formatCode>
                <c:ptCount val="36"/>
                <c:pt idx="0">
                  <c:v>-8.6168111698280092E-2</c:v>
                </c:pt>
                <c:pt idx="1">
                  <c:v>0.22928943205008551</c:v>
                </c:pt>
                <c:pt idx="2">
                  <c:v>-4.7364038471827179E-2</c:v>
                </c:pt>
                <c:pt idx="3">
                  <c:v>-6.1111153549473296E-3</c:v>
                </c:pt>
                <c:pt idx="4">
                  <c:v>1.2223724721731492E-2</c:v>
                </c:pt>
                <c:pt idx="5">
                  <c:v>0.33882453948224761</c:v>
                </c:pt>
                <c:pt idx="6">
                  <c:v>0.2451357083576696</c:v>
                </c:pt>
                <c:pt idx="7">
                  <c:v>-0.10286644250993328</c:v>
                </c:pt>
                <c:pt idx="8">
                  <c:v>-6.1375109324423756E-2</c:v>
                </c:pt>
                <c:pt idx="9">
                  <c:v>6.9051765807211707E-3</c:v>
                </c:pt>
                <c:pt idx="10">
                  <c:v>6.5258115038542022E-2</c:v>
                </c:pt>
                <c:pt idx="11">
                  <c:v>-1.5352493244918325E-2</c:v>
                </c:pt>
                <c:pt idx="12">
                  <c:v>0.20229368736011602</c:v>
                </c:pt>
                <c:pt idx="13">
                  <c:v>0.16256028598283923</c:v>
                </c:pt>
                <c:pt idx="14">
                  <c:v>-4.1585805378429673E-2</c:v>
                </c:pt>
                <c:pt idx="15">
                  <c:v>-4.2337980247411644E-2</c:v>
                </c:pt>
                <c:pt idx="16">
                  <c:v>6.8557518988126259E-2</c:v>
                </c:pt>
                <c:pt idx="17">
                  <c:v>0.23936745220371564</c:v>
                </c:pt>
                <c:pt idx="18">
                  <c:v>-0.16265928661183451</c:v>
                </c:pt>
                <c:pt idx="19">
                  <c:v>0.1428196458072884</c:v>
                </c:pt>
                <c:pt idx="20">
                  <c:v>5.0977847807943497E-2</c:v>
                </c:pt>
                <c:pt idx="21">
                  <c:v>1.3904982618777057E-2</c:v>
                </c:pt>
                <c:pt idx="22">
                  <c:v>0.1865195148944751</c:v>
                </c:pt>
                <c:pt idx="23">
                  <c:v>0.18220726658084979</c:v>
                </c:pt>
                <c:pt idx="24">
                  <c:v>9.2351868379187796E-2</c:v>
                </c:pt>
                <c:pt idx="25">
                  <c:v>9.7880042570053283E-2</c:v>
                </c:pt>
                <c:pt idx="26">
                  <c:v>7.4630926745086562E-2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63AE-4173-96A3-1ECE812B4A92}"/>
            </c:ext>
          </c:extLst>
        </c:ser>
        <c:ser>
          <c:idx val="13"/>
          <c:order val="13"/>
          <c:tx>
            <c:strRef>
              <c:f>'SATORI H4'!$AV$1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H4'!$AV$2:$AV$37</c:f>
              <c:numCache>
                <c:formatCode>0.00000</c:formatCode>
                <c:ptCount val="36"/>
                <c:pt idx="0">
                  <c:v>0.19342857289839266</c:v>
                </c:pt>
                <c:pt idx="1">
                  <c:v>7.0527670527675335E-2</c:v>
                </c:pt>
                <c:pt idx="2">
                  <c:v>7.6764158865744711E-2</c:v>
                </c:pt>
                <c:pt idx="3">
                  <c:v>5.1519835135721104E-4</c:v>
                </c:pt>
                <c:pt idx="4">
                  <c:v>-2.9872578003482985E-2</c:v>
                </c:pt>
                <c:pt idx="5">
                  <c:v>0.36235442501435372</c:v>
                </c:pt>
                <c:pt idx="6">
                  <c:v>0.13924260306022418</c:v>
                </c:pt>
                <c:pt idx="7">
                  <c:v>2.4852438645543956E-2</c:v>
                </c:pt>
                <c:pt idx="8">
                  <c:v>2.1750613678033277E-2</c:v>
                </c:pt>
                <c:pt idx="9">
                  <c:v>-3.9342768695585013E-2</c:v>
                </c:pt>
                <c:pt idx="10">
                  <c:v>-8.9993172931712495E-2</c:v>
                </c:pt>
                <c:pt idx="11">
                  <c:v>6.0031464767742911E-2</c:v>
                </c:pt>
                <c:pt idx="12">
                  <c:v>3.6227196273781598E-3</c:v>
                </c:pt>
                <c:pt idx="13">
                  <c:v>1.138698674451789E-2</c:v>
                </c:pt>
                <c:pt idx="14">
                  <c:v>7.9772492994000216E-2</c:v>
                </c:pt>
                <c:pt idx="15">
                  <c:v>4.8716021870381224E-2</c:v>
                </c:pt>
                <c:pt idx="16">
                  <c:v>-0.11543757570737631</c:v>
                </c:pt>
                <c:pt idx="17">
                  <c:v>-0.10807344857720143</c:v>
                </c:pt>
                <c:pt idx="18">
                  <c:v>-0.29079509773087475</c:v>
                </c:pt>
                <c:pt idx="19">
                  <c:v>0.12906489899381876</c:v>
                </c:pt>
                <c:pt idx="20">
                  <c:v>-6.4490831983335328E-2</c:v>
                </c:pt>
                <c:pt idx="21">
                  <c:v>-0.12212528921020406</c:v>
                </c:pt>
                <c:pt idx="22">
                  <c:v>-3.1423214028146927E-2</c:v>
                </c:pt>
                <c:pt idx="23">
                  <c:v>-0.25434310113606634</c:v>
                </c:pt>
                <c:pt idx="24">
                  <c:v>0.1734591984846818</c:v>
                </c:pt>
                <c:pt idx="25">
                  <c:v>4.6326561076383988E-3</c:v>
                </c:pt>
                <c:pt idx="26">
                  <c:v>-0.11106026561913217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63AE-4173-96A3-1ECE812B4A92}"/>
            </c:ext>
          </c:extLst>
        </c:ser>
        <c:ser>
          <c:idx val="14"/>
          <c:order val="14"/>
          <c:tx>
            <c:strRef>
              <c:f>'SATORI H4'!$AW$1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H4'!$AW$2:$AW$37</c:f>
              <c:numCache>
                <c:formatCode>0.00000</c:formatCode>
                <c:ptCount val="36"/>
                <c:pt idx="0">
                  <c:v>0.12403566965166535</c:v>
                </c:pt>
                <c:pt idx="1">
                  <c:v>6.9113049201923155E-2</c:v>
                </c:pt>
                <c:pt idx="2">
                  <c:v>7.9933044320419332E-3</c:v>
                </c:pt>
                <c:pt idx="3">
                  <c:v>3.1512950882125024E-2</c:v>
                </c:pt>
                <c:pt idx="4">
                  <c:v>-2.8219756651607811E-3</c:v>
                </c:pt>
                <c:pt idx="5">
                  <c:v>0.17290930506478502</c:v>
                </c:pt>
                <c:pt idx="6">
                  <c:v>0.12406421148466226</c:v>
                </c:pt>
                <c:pt idx="7">
                  <c:v>-3.348140603041462E-2</c:v>
                </c:pt>
                <c:pt idx="8">
                  <c:v>0.26525198938991534</c:v>
                </c:pt>
                <c:pt idx="9">
                  <c:v>-0.13551543081631048</c:v>
                </c:pt>
                <c:pt idx="10">
                  <c:v>-7.8320358575124926E-2</c:v>
                </c:pt>
                <c:pt idx="11">
                  <c:v>-2.5471217524196947E-2</c:v>
                </c:pt>
                <c:pt idx="12">
                  <c:v>6.41909113221453E-2</c:v>
                </c:pt>
                <c:pt idx="13">
                  <c:v>-0.12021327248814481</c:v>
                </c:pt>
                <c:pt idx="14">
                  <c:v>-7.0663720774644584E-2</c:v>
                </c:pt>
                <c:pt idx="15">
                  <c:v>-7.7669720106579396E-2</c:v>
                </c:pt>
                <c:pt idx="16">
                  <c:v>-0.26993657664085863</c:v>
                </c:pt>
                <c:pt idx="17">
                  <c:v>-0.10036252444579029</c:v>
                </c:pt>
                <c:pt idx="18">
                  <c:v>-0.19331585845347157</c:v>
                </c:pt>
                <c:pt idx="19">
                  <c:v>0.28964008581233053</c:v>
                </c:pt>
                <c:pt idx="20">
                  <c:v>-0.36016146459424858</c:v>
                </c:pt>
                <c:pt idx="21">
                  <c:v>4.6776404110601376E-3</c:v>
                </c:pt>
                <c:pt idx="22">
                  <c:v>-4.3015780245461599E-2</c:v>
                </c:pt>
                <c:pt idx="23">
                  <c:v>-0.10369131748692831</c:v>
                </c:pt>
                <c:pt idx="24">
                  <c:v>8.8752697614847137E-3</c:v>
                </c:pt>
                <c:pt idx="25">
                  <c:v>2.5698172626308878E-2</c:v>
                </c:pt>
                <c:pt idx="26">
                  <c:v>-0.35941246304615798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63AE-4173-96A3-1ECE812B4A92}"/>
            </c:ext>
          </c:extLst>
        </c:ser>
        <c:ser>
          <c:idx val="15"/>
          <c:order val="15"/>
          <c:tx>
            <c:strRef>
              <c:f>'SATORI H4'!$AX$1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H4'!$AX$2:$AX$37</c:f>
              <c:numCache>
                <c:formatCode>0.00000</c:formatCode>
                <c:ptCount val="36"/>
                <c:pt idx="0">
                  <c:v>1.4603787997941372E-2</c:v>
                </c:pt>
                <c:pt idx="1">
                  <c:v>0.15695584421428399</c:v>
                </c:pt>
                <c:pt idx="2">
                  <c:v>-4.0488334298670742E-2</c:v>
                </c:pt>
                <c:pt idx="3">
                  <c:v>-6.4627073686102612E-2</c:v>
                </c:pt>
                <c:pt idx="4">
                  <c:v>3.6541694072926956E-2</c:v>
                </c:pt>
                <c:pt idx="5">
                  <c:v>0.27792497716844061</c:v>
                </c:pt>
                <c:pt idx="6">
                  <c:v>0.14961523478300379</c:v>
                </c:pt>
                <c:pt idx="7">
                  <c:v>-0.1268706370597637</c:v>
                </c:pt>
                <c:pt idx="8">
                  <c:v>-7.8316477448798619E-2</c:v>
                </c:pt>
                <c:pt idx="9">
                  <c:v>-1.8026442537890791E-2</c:v>
                </c:pt>
                <c:pt idx="10">
                  <c:v>-1.1265257382966817E-2</c:v>
                </c:pt>
                <c:pt idx="11">
                  <c:v>6.0305472580730678E-2</c:v>
                </c:pt>
                <c:pt idx="12">
                  <c:v>0.23047982736609482</c:v>
                </c:pt>
                <c:pt idx="13">
                  <c:v>1.4124533184170434E-2</c:v>
                </c:pt>
                <c:pt idx="14">
                  <c:v>-2.7676423076481788E-2</c:v>
                </c:pt>
                <c:pt idx="15">
                  <c:v>-3.1055725264117675E-2</c:v>
                </c:pt>
                <c:pt idx="16">
                  <c:v>-4.9100390545630992E-2</c:v>
                </c:pt>
                <c:pt idx="17">
                  <c:v>7.0596341415200992E-2</c:v>
                </c:pt>
                <c:pt idx="18">
                  <c:v>-0.17589852008456727</c:v>
                </c:pt>
                <c:pt idx="19">
                  <c:v>0.20903364311742814</c:v>
                </c:pt>
                <c:pt idx="20">
                  <c:v>6.2148999401014978E-3</c:v>
                </c:pt>
                <c:pt idx="21">
                  <c:v>-4.0098268997260239E-2</c:v>
                </c:pt>
                <c:pt idx="22">
                  <c:v>6.3293642944737299E-2</c:v>
                </c:pt>
                <c:pt idx="23">
                  <c:v>-3.9542884257973421E-2</c:v>
                </c:pt>
                <c:pt idx="24">
                  <c:v>0.11933579168835014</c:v>
                </c:pt>
                <c:pt idx="25">
                  <c:v>7.7543512098478637E-2</c:v>
                </c:pt>
                <c:pt idx="26">
                  <c:v>2.6609597572297167E-2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63AE-4173-96A3-1ECE812B4A92}"/>
            </c:ext>
          </c:extLst>
        </c:ser>
        <c:ser>
          <c:idx val="16"/>
          <c:order val="16"/>
          <c:tx>
            <c:strRef>
              <c:f>'SATORI H4'!$AY$1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H4'!$AY$2:$AY$37</c:f>
              <c:numCache>
                <c:formatCode>0.00000</c:formatCode>
                <c:ptCount val="36"/>
                <c:pt idx="0">
                  <c:v>3.4941540115585944E-2</c:v>
                </c:pt>
                <c:pt idx="1">
                  <c:v>0.20739064856712225</c:v>
                </c:pt>
                <c:pt idx="2">
                  <c:v>-8.7906567876426769E-2</c:v>
                </c:pt>
                <c:pt idx="3">
                  <c:v>-5.3817451205664304E-3</c:v>
                </c:pt>
                <c:pt idx="4">
                  <c:v>5.0254863952914418E-2</c:v>
                </c:pt>
                <c:pt idx="5">
                  <c:v>2.6031614947523984E-2</c:v>
                </c:pt>
                <c:pt idx="6">
                  <c:v>0.10243599996407021</c:v>
                </c:pt>
                <c:pt idx="7">
                  <c:v>1.7075581917849598E-2</c:v>
                </c:pt>
                <c:pt idx="8">
                  <c:v>1.4381505384070502E-2</c:v>
                </c:pt>
                <c:pt idx="9">
                  <c:v>-5.0309945198085883E-2</c:v>
                </c:pt>
                <c:pt idx="10">
                  <c:v>-0.18383177151056873</c:v>
                </c:pt>
                <c:pt idx="11">
                  <c:v>-0.35830444261766392</c:v>
                </c:pt>
                <c:pt idx="12">
                  <c:v>8.8537521128256372E-2</c:v>
                </c:pt>
                <c:pt idx="13">
                  <c:v>-6.6135792869843224E-2</c:v>
                </c:pt>
                <c:pt idx="14">
                  <c:v>-2.5911365260891838E-2</c:v>
                </c:pt>
                <c:pt idx="15">
                  <c:v>-0.15255462079918103</c:v>
                </c:pt>
                <c:pt idx="16">
                  <c:v>4.9091363490311186E-2</c:v>
                </c:pt>
                <c:pt idx="17">
                  <c:v>-3.2122207152537295E-2</c:v>
                </c:pt>
                <c:pt idx="18">
                  <c:v>-7.311375430212412E-2</c:v>
                </c:pt>
                <c:pt idx="19">
                  <c:v>0.22161456937072524</c:v>
                </c:pt>
                <c:pt idx="20">
                  <c:v>-0.27358683931452932</c:v>
                </c:pt>
                <c:pt idx="21">
                  <c:v>0.10258880622312479</c:v>
                </c:pt>
                <c:pt idx="22">
                  <c:v>-9.8032225866237596E-2</c:v>
                </c:pt>
                <c:pt idx="23">
                  <c:v>0.36673285747508833</c:v>
                </c:pt>
                <c:pt idx="24">
                  <c:v>-0.11971554157882631</c:v>
                </c:pt>
                <c:pt idx="25">
                  <c:v>-0.18192195191551508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63AE-4173-96A3-1ECE812B4A92}"/>
            </c:ext>
          </c:extLst>
        </c:ser>
        <c:ser>
          <c:idx val="17"/>
          <c:order val="17"/>
          <c:tx>
            <c:strRef>
              <c:f>'SATORI H4'!$AZ$1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H4'!$AZ$2:$AZ$37</c:f>
              <c:numCache>
                <c:formatCode>0.00000</c:formatCode>
                <c:ptCount val="36"/>
                <c:pt idx="0">
                  <c:v>0.2403669916945104</c:v>
                </c:pt>
                <c:pt idx="1">
                  <c:v>0.57673164334283078</c:v>
                </c:pt>
                <c:pt idx="2">
                  <c:v>-0.18190516747367561</c:v>
                </c:pt>
                <c:pt idx="3">
                  <c:v>1.8930132037671681E-2</c:v>
                </c:pt>
                <c:pt idx="4">
                  <c:v>6.5772857383397873E-2</c:v>
                </c:pt>
                <c:pt idx="5">
                  <c:v>-6.1525517313906465E-2</c:v>
                </c:pt>
                <c:pt idx="6">
                  <c:v>7.0514810741398051E-2</c:v>
                </c:pt>
                <c:pt idx="7">
                  <c:v>0.14281197301855766</c:v>
                </c:pt>
                <c:pt idx="8">
                  <c:v>9.0195106256160576E-2</c:v>
                </c:pt>
                <c:pt idx="9">
                  <c:v>0.13732708671148683</c:v>
                </c:pt>
                <c:pt idx="10">
                  <c:v>-2.4818350794185665E-2</c:v>
                </c:pt>
                <c:pt idx="11">
                  <c:v>-0.54565029015570587</c:v>
                </c:pt>
                <c:pt idx="12">
                  <c:v>-3.8847387513196184E-2</c:v>
                </c:pt>
                <c:pt idx="13">
                  <c:v>-0.11640649988726838</c:v>
                </c:pt>
                <c:pt idx="14">
                  <c:v>0.41754862624922667</c:v>
                </c:pt>
                <c:pt idx="15">
                  <c:v>-0.27672031295123883</c:v>
                </c:pt>
                <c:pt idx="16">
                  <c:v>0.13776205023582574</c:v>
                </c:pt>
                <c:pt idx="17">
                  <c:v>0.43356111574655842</c:v>
                </c:pt>
                <c:pt idx="18">
                  <c:v>-6.9659197652698762E-2</c:v>
                </c:pt>
                <c:pt idx="19">
                  <c:v>6.8122409104106177E-2</c:v>
                </c:pt>
                <c:pt idx="20">
                  <c:v>-1.0265040845872808</c:v>
                </c:pt>
                <c:pt idx="21">
                  <c:v>0.14498670519021797</c:v>
                </c:pt>
                <c:pt idx="22">
                  <c:v>-9.3081629451444478E-2</c:v>
                </c:pt>
                <c:pt idx="23">
                  <c:v>0.39637747735923112</c:v>
                </c:pt>
                <c:pt idx="24">
                  <c:v>-0.59857427644008498</c:v>
                </c:pt>
                <c:pt idx="25">
                  <c:v>-4.1747116839645961E-3</c:v>
                </c:pt>
                <c:pt idx="26">
                  <c:v>1.4613626162561762E-2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63AE-4173-96A3-1ECE812B4A92}"/>
            </c:ext>
          </c:extLst>
        </c:ser>
        <c:ser>
          <c:idx val="18"/>
          <c:order val="18"/>
          <c:tx>
            <c:strRef>
              <c:f>'SATORI H4'!$BA$1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H4'!$BA$2:$BA$37</c:f>
              <c:numCache>
                <c:formatCode>0.00000</c:formatCode>
                <c:ptCount val="36"/>
                <c:pt idx="0">
                  <c:v>9.8074179743232973E-2</c:v>
                </c:pt>
                <c:pt idx="1">
                  <c:v>0.50742089050684813</c:v>
                </c:pt>
                <c:pt idx="2">
                  <c:v>-0.1900609312985494</c:v>
                </c:pt>
                <c:pt idx="3">
                  <c:v>4.3621233474249226E-2</c:v>
                </c:pt>
                <c:pt idx="4">
                  <c:v>3.2446826364736538E-2</c:v>
                </c:pt>
                <c:pt idx="5">
                  <c:v>-0.23997678364140038</c:v>
                </c:pt>
                <c:pt idx="6">
                  <c:v>-5.3547523427043525E-2</c:v>
                </c:pt>
                <c:pt idx="7">
                  <c:v>0.17881090746535155</c:v>
                </c:pt>
                <c:pt idx="8">
                  <c:v>-0.17737815013553457</c:v>
                </c:pt>
                <c:pt idx="9">
                  <c:v>0.29538461538461069</c:v>
                </c:pt>
                <c:pt idx="10">
                  <c:v>3.9176180882019913E-2</c:v>
                </c:pt>
                <c:pt idx="11">
                  <c:v>-0.52554224379814973</c:v>
                </c:pt>
                <c:pt idx="12">
                  <c:v>-0.10455364491803472</c:v>
                </c:pt>
                <c:pt idx="13">
                  <c:v>7.7865159790487127E-3</c:v>
                </c:pt>
                <c:pt idx="14">
                  <c:v>0.48847555386644342</c:v>
                </c:pt>
                <c:pt idx="15">
                  <c:v>-0.17629993305065972</c:v>
                </c:pt>
                <c:pt idx="16">
                  <c:v>0.38757084929543162</c:v>
                </c:pt>
                <c:pt idx="17">
                  <c:v>0.52925543894419036</c:v>
                </c:pt>
                <c:pt idx="18">
                  <c:v>0.12176422837557961</c:v>
                </c:pt>
                <c:pt idx="19">
                  <c:v>-0.21712472859408682</c:v>
                </c:pt>
                <c:pt idx="20">
                  <c:v>-0.669363490076886</c:v>
                </c:pt>
                <c:pt idx="21">
                  <c:v>0.15108614148378355</c:v>
                </c:pt>
                <c:pt idx="22">
                  <c:v>-6.0397955417363348E-2</c:v>
                </c:pt>
                <c:pt idx="23">
                  <c:v>0.50473257042649122</c:v>
                </c:pt>
                <c:pt idx="24">
                  <c:v>-0.60780764675649368</c:v>
                </c:pt>
                <c:pt idx="25">
                  <c:v>-3.6857094990787126E-2</c:v>
                </c:pt>
                <c:pt idx="26">
                  <c:v>0.38456363799444293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63AE-4173-96A3-1ECE812B4A92}"/>
            </c:ext>
          </c:extLst>
        </c:ser>
        <c:ser>
          <c:idx val="19"/>
          <c:order val="19"/>
          <c:tx>
            <c:strRef>
              <c:f>'SATORI H4'!$BB$1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H4'!$BB$2:$BB$37</c:f>
              <c:numCache>
                <c:formatCode>0.00000</c:formatCode>
                <c:ptCount val="36"/>
                <c:pt idx="0">
                  <c:v>-0.10677852988845551</c:v>
                </c:pt>
                <c:pt idx="1">
                  <c:v>0.13938745894753082</c:v>
                </c:pt>
                <c:pt idx="2">
                  <c:v>-9.5379802373060152E-2</c:v>
                </c:pt>
                <c:pt idx="3">
                  <c:v>9.538890054752178E-3</c:v>
                </c:pt>
                <c:pt idx="4">
                  <c:v>2.2898578379927294E-2</c:v>
                </c:pt>
                <c:pt idx="5">
                  <c:v>-0.15242450223873924</c:v>
                </c:pt>
                <c:pt idx="6">
                  <c:v>-2.0953977445889872E-2</c:v>
                </c:pt>
                <c:pt idx="7">
                  <c:v>5.3365861096277147E-2</c:v>
                </c:pt>
                <c:pt idx="8">
                  <c:v>-0.25284690405124283</c:v>
                </c:pt>
                <c:pt idx="9">
                  <c:v>0.1046701937350016</c:v>
                </c:pt>
                <c:pt idx="10">
                  <c:v>-0.11785279805351923</c:v>
                </c:pt>
                <c:pt idx="11">
                  <c:v>-0.33721062402909935</c:v>
                </c:pt>
                <c:pt idx="12">
                  <c:v>2.084320227379317E-2</c:v>
                </c:pt>
                <c:pt idx="13">
                  <c:v>5.8774457758234581E-2</c:v>
                </c:pt>
                <c:pt idx="14">
                  <c:v>4.552352048558763E-2</c:v>
                </c:pt>
                <c:pt idx="15">
                  <c:v>-5.6872037914685682E-2</c:v>
                </c:pt>
                <c:pt idx="16">
                  <c:v>0.30233309881918585</c:v>
                </c:pt>
                <c:pt idx="17">
                  <c:v>6.2787777312671988E-2</c:v>
                </c:pt>
                <c:pt idx="18">
                  <c:v>0.12001142965997132</c:v>
                </c:pt>
                <c:pt idx="19">
                  <c:v>-6.4726151268824264E-2</c:v>
                </c:pt>
                <c:pt idx="20">
                  <c:v>8.5740416126831323E-2</c:v>
                </c:pt>
                <c:pt idx="21">
                  <c:v>0.10872260476471272</c:v>
                </c:pt>
                <c:pt idx="22">
                  <c:v>-6.4810049370009518E-2</c:v>
                </c:pt>
                <c:pt idx="23">
                  <c:v>0.47497749602590117</c:v>
                </c:pt>
                <c:pt idx="24">
                  <c:v>-0.13006637210459132</c:v>
                </c:pt>
                <c:pt idx="25">
                  <c:v>-0.2137690149447464</c:v>
                </c:pt>
                <c:pt idx="26">
                  <c:v>0.36973180076628109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63AE-4173-96A3-1ECE812B4A92}"/>
            </c:ext>
          </c:extLst>
        </c:ser>
        <c:ser>
          <c:idx val="20"/>
          <c:order val="20"/>
          <c:tx>
            <c:strRef>
              <c:f>'SATORI H4'!$BC$1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H4'!$BC$2:$BC$37</c:f>
              <c:numCache>
                <c:formatCode>0.00000</c:formatCode>
                <c:ptCount val="36"/>
                <c:pt idx="0">
                  <c:v>-0.2223664989449736</c:v>
                </c:pt>
                <c:pt idx="1">
                  <c:v>0.15931850695798883</c:v>
                </c:pt>
                <c:pt idx="2">
                  <c:v>-5.199532042115998E-2</c:v>
                </c:pt>
                <c:pt idx="3">
                  <c:v>-4.2228357966548315E-2</c:v>
                </c:pt>
                <c:pt idx="4">
                  <c:v>2.11186380103115E-2</c:v>
                </c:pt>
                <c:pt idx="5">
                  <c:v>0.16108561944741701</c:v>
                </c:pt>
                <c:pt idx="6">
                  <c:v>0.12218366648746859</c:v>
                </c:pt>
                <c:pt idx="7">
                  <c:v>-6.6749153425374685E-2</c:v>
                </c:pt>
                <c:pt idx="8">
                  <c:v>-0.33101836827416786</c:v>
                </c:pt>
                <c:pt idx="9">
                  <c:v>0.14950598023921474</c:v>
                </c:pt>
                <c:pt idx="10">
                  <c:v>0.14484026884958703</c:v>
                </c:pt>
                <c:pt idx="11">
                  <c:v>6.5100987907375906E-3</c:v>
                </c:pt>
                <c:pt idx="12">
                  <c:v>0.13526727509778314</c:v>
                </c:pt>
                <c:pt idx="13">
                  <c:v>0.28601781482389954</c:v>
                </c:pt>
                <c:pt idx="14">
                  <c:v>2.9427632546954723E-2</c:v>
                </c:pt>
                <c:pt idx="15">
                  <c:v>4.252465612273891E-2</c:v>
                </c:pt>
                <c:pt idx="16">
                  <c:v>0.33312547179099677</c:v>
                </c:pt>
                <c:pt idx="17">
                  <c:v>0.33589093423783084</c:v>
                </c:pt>
                <c:pt idx="18">
                  <c:v>2.7998748291253435E-2</c:v>
                </c:pt>
                <c:pt idx="19">
                  <c:v>-0.14144038945446311</c:v>
                </c:pt>
                <c:pt idx="20">
                  <c:v>0.40954504169761813</c:v>
                </c:pt>
                <c:pt idx="21">
                  <c:v>2.3124824499104572E-2</c:v>
                </c:pt>
                <c:pt idx="22">
                  <c:v>0.21851048684798421</c:v>
                </c:pt>
                <c:pt idx="23">
                  <c:v>0.29219862865870599</c:v>
                </c:pt>
                <c:pt idx="24">
                  <c:v>7.9754091551056894E-2</c:v>
                </c:pt>
                <c:pt idx="25">
                  <c:v>6.6505943968734882E-2</c:v>
                </c:pt>
                <c:pt idx="26">
                  <c:v>0.44422919554434703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63AE-4173-96A3-1ECE812B4A92}"/>
            </c:ext>
          </c:extLst>
        </c:ser>
        <c:ser>
          <c:idx val="21"/>
          <c:order val="21"/>
          <c:tx>
            <c:strRef>
              <c:f>'SATORI H4'!$BD$1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H4'!$BD$2:$BD$37</c:f>
              <c:numCache>
                <c:formatCode>0.00000</c:formatCode>
                <c:ptCount val="36"/>
                <c:pt idx="0">
                  <c:v>-0.12194392970291361</c:v>
                </c:pt>
                <c:pt idx="1">
                  <c:v>8.7349830086632899E-2</c:v>
                </c:pt>
                <c:pt idx="2">
                  <c:v>-4.7840022963205754E-2</c:v>
                </c:pt>
                <c:pt idx="3">
                  <c:v>-8.6037952296741785E-2</c:v>
                </c:pt>
                <c:pt idx="4">
                  <c:v>3.4666188512343848E-2</c:v>
                </c:pt>
                <c:pt idx="5">
                  <c:v>0.10051333596583301</c:v>
                </c:pt>
                <c:pt idx="6">
                  <c:v>2.6331853164011296E-2</c:v>
                </c:pt>
                <c:pt idx="7">
                  <c:v>-9.0881913303449191E-2</c:v>
                </c:pt>
                <c:pt idx="8">
                  <c:v>-0.34558779717570193</c:v>
                </c:pt>
                <c:pt idx="9">
                  <c:v>0.12767277586864073</c:v>
                </c:pt>
                <c:pt idx="10">
                  <c:v>6.5669289458294089E-2</c:v>
                </c:pt>
                <c:pt idx="11">
                  <c:v>8.0061181081656232E-2</c:v>
                </c:pt>
                <c:pt idx="12">
                  <c:v>0.16277678037103863</c:v>
                </c:pt>
                <c:pt idx="13">
                  <c:v>0.14023228219050068</c:v>
                </c:pt>
                <c:pt idx="14">
                  <c:v>4.3167020396420369E-2</c:v>
                </c:pt>
                <c:pt idx="15">
                  <c:v>5.5188300080384875E-2</c:v>
                </c:pt>
                <c:pt idx="16">
                  <c:v>0.21401175862359226</c:v>
                </c:pt>
                <c:pt idx="17">
                  <c:v>0.1661949780213087</c:v>
                </c:pt>
                <c:pt idx="18">
                  <c:v>1.5658500156593976E-2</c:v>
                </c:pt>
                <c:pt idx="19">
                  <c:v>-7.7028620946980833E-2</c:v>
                </c:pt>
                <c:pt idx="20">
                  <c:v>0.3660171774398232</c:v>
                </c:pt>
                <c:pt idx="21">
                  <c:v>-3.3811933197287557E-2</c:v>
                </c:pt>
                <c:pt idx="22">
                  <c:v>9.6698939937873707E-2</c:v>
                </c:pt>
                <c:pt idx="23">
                  <c:v>6.8945496770442871E-2</c:v>
                </c:pt>
                <c:pt idx="24">
                  <c:v>0.10776775443483168</c:v>
                </c:pt>
                <c:pt idx="25">
                  <c:v>4.7246383834468234E-2</c:v>
                </c:pt>
                <c:pt idx="26">
                  <c:v>0.39649720262708943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63AE-4173-96A3-1ECE812B4A92}"/>
            </c:ext>
          </c:extLst>
        </c:ser>
        <c:ser>
          <c:idx val="22"/>
          <c:order val="22"/>
          <c:tx>
            <c:strRef>
              <c:f>'SATORI H4'!$BE$1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H4'!$BE$2:$BE$37</c:f>
              <c:numCache>
                <c:formatCode>0.00000</c:formatCode>
                <c:ptCount val="36"/>
                <c:pt idx="0">
                  <c:v>0.22187004754358119</c:v>
                </c:pt>
                <c:pt idx="1">
                  <c:v>0.42126942520127586</c:v>
                </c:pt>
                <c:pt idx="2">
                  <c:v>-0.14302674506651752</c:v>
                </c:pt>
                <c:pt idx="3">
                  <c:v>0.10012539067617326</c:v>
                </c:pt>
                <c:pt idx="4">
                  <c:v>2.5271670457418193E-2</c:v>
                </c:pt>
                <c:pt idx="5">
                  <c:v>-0.33954273667714924</c:v>
                </c:pt>
                <c:pt idx="6">
                  <c:v>-7.6431933634705351E-2</c:v>
                </c:pt>
                <c:pt idx="7">
                  <c:v>0.2663551401869127</c:v>
                </c:pt>
                <c:pt idx="8">
                  <c:v>0.16944551063012889</c:v>
                </c:pt>
                <c:pt idx="9">
                  <c:v>0.16127973595131323</c:v>
                </c:pt>
                <c:pt idx="10">
                  <c:v>-1.9687253909326879E-2</c:v>
                </c:pt>
                <c:pt idx="11">
                  <c:v>-0.60475041232981419</c:v>
                </c:pt>
                <c:pt idx="12">
                  <c:v>-0.26764555550393654</c:v>
                </c:pt>
                <c:pt idx="13">
                  <c:v>-0.13271708059546411</c:v>
                </c:pt>
                <c:pt idx="14">
                  <c:v>0.44654093913432508</c:v>
                </c:pt>
                <c:pt idx="15">
                  <c:v>-0.23715635579033095</c:v>
                </c:pt>
                <c:pt idx="16">
                  <c:v>0.17795086320144085</c:v>
                </c:pt>
                <c:pt idx="17">
                  <c:v>0.36280331011267963</c:v>
                </c:pt>
                <c:pt idx="18">
                  <c:v>0.10671059898343188</c:v>
                </c:pt>
                <c:pt idx="19">
                  <c:v>-0.14114523938606144</c:v>
                </c:pt>
                <c:pt idx="20">
                  <c:v>-1.0323965290754682</c:v>
                </c:pt>
                <c:pt idx="21">
                  <c:v>0.1890744619719294</c:v>
                </c:pt>
                <c:pt idx="22">
                  <c:v>-0.16100973461153384</c:v>
                </c:pt>
                <c:pt idx="23">
                  <c:v>0.43681109314299416</c:v>
                </c:pt>
                <c:pt idx="24">
                  <c:v>-0.71695501730103905</c:v>
                </c:pt>
                <c:pt idx="25">
                  <c:v>-8.2054875350345405E-2</c:v>
                </c:pt>
                <c:pt idx="26">
                  <c:v>-1.1984107230108898E-2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63AE-4173-96A3-1ECE812B4A92}"/>
            </c:ext>
          </c:extLst>
        </c:ser>
        <c:ser>
          <c:idx val="23"/>
          <c:order val="23"/>
          <c:tx>
            <c:strRef>
              <c:f>'SATORI H4'!$BF$1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H4'!$BF$2:$BF$37</c:f>
              <c:numCache>
                <c:formatCode>0.00000</c:formatCode>
                <c:ptCount val="36"/>
                <c:pt idx="0">
                  <c:v>1.7544419279730532E-2</c:v>
                </c:pt>
                <c:pt idx="1">
                  <c:v>5.425762798417065E-2</c:v>
                </c:pt>
                <c:pt idx="2">
                  <c:v>-5.1039938752071419E-2</c:v>
                </c:pt>
                <c:pt idx="3">
                  <c:v>7.5021149579397983E-2</c:v>
                </c:pt>
                <c:pt idx="4">
                  <c:v>7.9816103697073135E-3</c:v>
                </c:pt>
                <c:pt idx="5">
                  <c:v>-0.25158434444763317</c:v>
                </c:pt>
                <c:pt idx="6">
                  <c:v>-4.4564698392479223E-2</c:v>
                </c:pt>
                <c:pt idx="7">
                  <c:v>0.14185301477501894</c:v>
                </c:pt>
                <c:pt idx="8">
                  <c:v>9.2529074868788183E-2</c:v>
                </c:pt>
                <c:pt idx="9">
                  <c:v>-2.5518748305403433E-2</c:v>
                </c:pt>
                <c:pt idx="10">
                  <c:v>-0.17990192956759288</c:v>
                </c:pt>
                <c:pt idx="11">
                  <c:v>-0.41538510321209304</c:v>
                </c:pt>
                <c:pt idx="12">
                  <c:v>-0.14248622633145652</c:v>
                </c:pt>
                <c:pt idx="13">
                  <c:v>-8.2257656289558959E-2</c:v>
                </c:pt>
                <c:pt idx="14">
                  <c:v>1.5819030293546645E-3</c:v>
                </c:pt>
                <c:pt idx="15">
                  <c:v>-0.11218910975571034</c:v>
                </c:pt>
                <c:pt idx="16">
                  <c:v>9.0148507804956493E-2</c:v>
                </c:pt>
                <c:pt idx="17">
                  <c:v>-0.10427363930800125</c:v>
                </c:pt>
                <c:pt idx="18">
                  <c:v>0.10438248272153504</c:v>
                </c:pt>
                <c:pt idx="19">
                  <c:v>1.2654023188492586E-2</c:v>
                </c:pt>
                <c:pt idx="20">
                  <c:v>-0.28076152620703854</c:v>
                </c:pt>
                <c:pt idx="21">
                  <c:v>0.14848748124161629</c:v>
                </c:pt>
                <c:pt idx="22">
                  <c:v>-0.16716342590401506</c:v>
                </c:pt>
                <c:pt idx="23">
                  <c:v>0.40853166120372991</c:v>
                </c:pt>
                <c:pt idx="24">
                  <c:v>-0.2401074164757864</c:v>
                </c:pt>
                <c:pt idx="25">
                  <c:v>-0.2599653379549457</c:v>
                </c:pt>
                <c:pt idx="26">
                  <c:v>-2.520240682984248E-2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63AE-4173-96A3-1ECE812B4A92}"/>
            </c:ext>
          </c:extLst>
        </c:ser>
        <c:ser>
          <c:idx val="24"/>
          <c:order val="24"/>
          <c:tx>
            <c:strRef>
              <c:f>'SATORI H4'!$BG$1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H4'!$BG$2:$BG$37</c:f>
              <c:numCache>
                <c:formatCode>0.00000</c:formatCode>
                <c:ptCount val="36"/>
                <c:pt idx="0">
                  <c:v>0.2045790639631023</c:v>
                </c:pt>
                <c:pt idx="1">
                  <c:v>0.36430406776877505</c:v>
                </c:pt>
                <c:pt idx="2">
                  <c:v>-9.0261171285239819E-2</c:v>
                </c:pt>
                <c:pt idx="3">
                  <c:v>3.0487089890024226E-2</c:v>
                </c:pt>
                <c:pt idx="4">
                  <c:v>1.0554337246256542E-2</c:v>
                </c:pt>
                <c:pt idx="5">
                  <c:v>-8.3192725909258955E-2</c:v>
                </c:pt>
                <c:pt idx="6">
                  <c:v>-3.5139503830207253E-2</c:v>
                </c:pt>
                <c:pt idx="7">
                  <c:v>0.12255261259887955</c:v>
                </c:pt>
                <c:pt idx="8">
                  <c:v>7.5699782876586283E-2</c:v>
                </c:pt>
                <c:pt idx="9">
                  <c:v>0.19579366992597377</c:v>
                </c:pt>
                <c:pt idx="10">
                  <c:v>0.15664474032894873</c:v>
                </c:pt>
                <c:pt idx="11">
                  <c:v>-0.19102365166689508</c:v>
                </c:pt>
                <c:pt idx="12">
                  <c:v>-0.1291413275728468</c:v>
                </c:pt>
                <c:pt idx="13">
                  <c:v>-5.1043457343521004E-2</c:v>
                </c:pt>
                <c:pt idx="14">
                  <c:v>0.44552617466276156</c:v>
                </c:pt>
                <c:pt idx="15">
                  <c:v>-0.11831324166509312</c:v>
                </c:pt>
                <c:pt idx="16">
                  <c:v>8.0706446501051812E-2</c:v>
                </c:pt>
                <c:pt idx="17">
                  <c:v>0.46637429496399269</c:v>
                </c:pt>
                <c:pt idx="18">
                  <c:v>3.5511994176034302E-3</c:v>
                </c:pt>
                <c:pt idx="19">
                  <c:v>-0.15423891075417254</c:v>
                </c:pt>
                <c:pt idx="20">
                  <c:v>-0.74783128926114606</c:v>
                </c:pt>
                <c:pt idx="21">
                  <c:v>4.3422388348707514E-2</c:v>
                </c:pt>
                <c:pt idx="22">
                  <c:v>-2.9338590808779589E-3</c:v>
                </c:pt>
                <c:pt idx="23">
                  <c:v>3.1108580685678473E-2</c:v>
                </c:pt>
                <c:pt idx="24">
                  <c:v>-0.47957848497593225</c:v>
                </c:pt>
                <c:pt idx="25">
                  <c:v>0.18492942250520991</c:v>
                </c:pt>
                <c:pt idx="26">
                  <c:v>7.023129506508366E-3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63AE-4173-96A3-1ECE812B4A92}"/>
            </c:ext>
          </c:extLst>
        </c:ser>
        <c:ser>
          <c:idx val="25"/>
          <c:order val="25"/>
          <c:tx>
            <c:strRef>
              <c:f>'SATORI H4'!$BH$1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H4'!$BH$2:$BH$37</c:f>
              <c:numCache>
                <c:formatCode>0.00000</c:formatCode>
                <c:ptCount val="36"/>
                <c:pt idx="0">
                  <c:v>0.10163574632306445</c:v>
                </c:pt>
                <c:pt idx="1">
                  <c:v>-7.2124053371798086E-2</c:v>
                </c:pt>
                <c:pt idx="2">
                  <c:v>4.4159533675286839E-3</c:v>
                </c:pt>
                <c:pt idx="3">
                  <c:v>-4.6346020863059161E-2</c:v>
                </c:pt>
                <c:pt idx="4">
                  <c:v>2.3546379008410327E-2</c:v>
                </c:pt>
                <c:pt idx="5">
                  <c:v>-6.1771064668434537E-2</c:v>
                </c:pt>
                <c:pt idx="6">
                  <c:v>-9.7708622602269438E-2</c:v>
                </c:pt>
                <c:pt idx="7">
                  <c:v>-2.2034682590411168E-2</c:v>
                </c:pt>
                <c:pt idx="8">
                  <c:v>-1.4687630811710298E-2</c:v>
                </c:pt>
                <c:pt idx="9">
                  <c:v>-2.4962739440394628E-2</c:v>
                </c:pt>
                <c:pt idx="10">
                  <c:v>-7.7764490972704589E-2</c:v>
                </c:pt>
                <c:pt idx="11">
                  <c:v>7.4886019073911098E-2</c:v>
                </c:pt>
                <c:pt idx="12">
                  <c:v>2.7906498542239783E-2</c:v>
                </c:pt>
                <c:pt idx="13">
                  <c:v>-0.14592866361609294</c:v>
                </c:pt>
                <c:pt idx="14">
                  <c:v>1.3934829004973446E-2</c:v>
                </c:pt>
                <c:pt idx="15">
                  <c:v>1.1002391186358099E-2</c:v>
                </c:pt>
                <c:pt idx="16">
                  <c:v>-0.11722126979940846</c:v>
                </c:pt>
                <c:pt idx="17">
                  <c:v>-0.16895227646736399</c:v>
                </c:pt>
                <c:pt idx="18">
                  <c:v>-1.2432171534715264E-2</c:v>
                </c:pt>
                <c:pt idx="19">
                  <c:v>6.5128464065922986E-2</c:v>
                </c:pt>
                <c:pt idx="20">
                  <c:v>-4.3887560071093012E-2</c:v>
                </c:pt>
                <c:pt idx="21">
                  <c:v>-5.6290664522255826E-2</c:v>
                </c:pt>
                <c:pt idx="22">
                  <c:v>-0.1226653426598027</c:v>
                </c:pt>
                <c:pt idx="23">
                  <c:v>-0.22147426090250263</c:v>
                </c:pt>
                <c:pt idx="24">
                  <c:v>2.6963016942975513E-2</c:v>
                </c:pt>
                <c:pt idx="25">
                  <c:v>-1.8943395676528911E-2</c:v>
                </c:pt>
                <c:pt idx="26">
                  <c:v>-4.8063968772992779E-2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63AE-4173-96A3-1ECE812B4A92}"/>
            </c:ext>
          </c:extLst>
        </c:ser>
        <c:ser>
          <c:idx val="26"/>
          <c:order val="26"/>
          <c:tx>
            <c:strRef>
              <c:f>'SATORI H4'!$BI$1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H4'!$BI$2:$BI$37</c:f>
              <c:numCache>
                <c:formatCode>0.00000</c:formatCode>
                <c:ptCount val="36"/>
                <c:pt idx="0">
                  <c:v>0.12217470983506895</c:v>
                </c:pt>
                <c:pt idx="1">
                  <c:v>-1.996687847218185E-2</c:v>
                </c:pt>
                <c:pt idx="2">
                  <c:v>-4.4611934866580605E-2</c:v>
                </c:pt>
                <c:pt idx="3">
                  <c:v>1.4089964422840887E-2</c:v>
                </c:pt>
                <c:pt idx="4">
                  <c:v>3.8762421594198848E-2</c:v>
                </c:pt>
                <c:pt idx="5">
                  <c:v>-0.31264270910177411</c:v>
                </c:pt>
                <c:pt idx="6">
                  <c:v>-0.14265168434222358</c:v>
                </c:pt>
                <c:pt idx="7">
                  <c:v>0.12058066026692653</c:v>
                </c:pt>
                <c:pt idx="8">
                  <c:v>7.8497533771507547E-2</c:v>
                </c:pt>
                <c:pt idx="9">
                  <c:v>-5.854595271828214E-2</c:v>
                </c:pt>
                <c:pt idx="10">
                  <c:v>-0.2511154196547567</c:v>
                </c:pt>
                <c:pt idx="11">
                  <c:v>-0.34337061911467381</c:v>
                </c:pt>
                <c:pt idx="12">
                  <c:v>-0.11277758400186332</c:v>
                </c:pt>
                <c:pt idx="13">
                  <c:v>-0.22504756159807582</c:v>
                </c:pt>
                <c:pt idx="14">
                  <c:v>1.5082781264873885E-2</c:v>
                </c:pt>
                <c:pt idx="15">
                  <c:v>-0.11241424068236909</c:v>
                </c:pt>
                <c:pt idx="16">
                  <c:v>-1.8539117538010866E-2</c:v>
                </c:pt>
                <c:pt idx="17">
                  <c:v>-0.26924899176074318</c:v>
                </c:pt>
                <c:pt idx="18">
                  <c:v>8.9058524173020751E-2</c:v>
                </c:pt>
                <c:pt idx="19">
                  <c:v>7.8710991758497773E-2</c:v>
                </c:pt>
                <c:pt idx="20">
                  <c:v>-0.32420707717512709</c:v>
                </c:pt>
                <c:pt idx="21">
                  <c:v>8.5451333156267725E-2</c:v>
                </c:pt>
                <c:pt idx="22">
                  <c:v>-0.28096680216021991</c:v>
                </c:pt>
                <c:pt idx="23">
                  <c:v>0.18342485349083801</c:v>
                </c:pt>
                <c:pt idx="24">
                  <c:v>-0.2106668815545602</c:v>
                </c:pt>
                <c:pt idx="25">
                  <c:v>-0.28353651537066055</c:v>
                </c:pt>
                <c:pt idx="26">
                  <c:v>-7.1120491878493383E-2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63AE-4173-96A3-1ECE812B4A92}"/>
            </c:ext>
          </c:extLst>
        </c:ser>
        <c:ser>
          <c:idx val="27"/>
          <c:order val="27"/>
          <c:tx>
            <c:strRef>
              <c:f>'SATORI H4'!$BJ$1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H4'!$BJ$2:$BJ$37</c:f>
              <c:numCache>
                <c:formatCode>0.00000</c:formatCode>
                <c:ptCount val="36"/>
                <c:pt idx="0">
                  <c:v>0.32615114187230965</c:v>
                </c:pt>
                <c:pt idx="1">
                  <c:v>0.3465738794915178</c:v>
                </c:pt>
                <c:pt idx="2">
                  <c:v>-0.13692597740378182</c:v>
                </c:pt>
                <c:pt idx="3">
                  <c:v>4.2678561594809615E-2</c:v>
                </c:pt>
                <c:pt idx="4">
                  <c:v>5.4410336586460301E-2</c:v>
                </c:pt>
                <c:pt idx="5">
                  <c:v>-0.40129511997693723</c:v>
                </c:pt>
                <c:pt idx="6">
                  <c:v>-0.17530164208335061</c:v>
                </c:pt>
                <c:pt idx="7">
                  <c:v>0.24643899090439705</c:v>
                </c:pt>
                <c:pt idx="8">
                  <c:v>0.15400375384151224</c:v>
                </c:pt>
                <c:pt idx="9">
                  <c:v>0.13010973275873453</c:v>
                </c:pt>
                <c:pt idx="10">
                  <c:v>-9.2849233477988485E-2</c:v>
                </c:pt>
                <c:pt idx="11">
                  <c:v>-0.52951679881782365</c:v>
                </c:pt>
                <c:pt idx="12">
                  <c:v>-0.2395544696359585</c:v>
                </c:pt>
                <c:pt idx="13">
                  <c:v>-0.27768325052747256</c:v>
                </c:pt>
                <c:pt idx="14">
                  <c:v>0.46014891594932333</c:v>
                </c:pt>
                <c:pt idx="15">
                  <c:v>-0.23533103231879432</c:v>
                </c:pt>
                <c:pt idx="16">
                  <c:v>6.9624573378842231E-2</c:v>
                </c:pt>
                <c:pt idx="17">
                  <c:v>0.19286271184123069</c:v>
                </c:pt>
                <c:pt idx="18">
                  <c:v>9.3783585818826856E-2</c:v>
                </c:pt>
                <c:pt idx="19">
                  <c:v>-7.592754733502409E-2</c:v>
                </c:pt>
                <c:pt idx="20">
                  <c:v>-1.0752397128182909</c:v>
                </c:pt>
                <c:pt idx="21">
                  <c:v>0.12398541985663268</c:v>
                </c:pt>
                <c:pt idx="22">
                  <c:v>-0.27364310182899859</c:v>
                </c:pt>
                <c:pt idx="23">
                  <c:v>0.21328747088456596</c:v>
                </c:pt>
                <c:pt idx="24">
                  <c:v>-0.6892470732215783</c:v>
                </c:pt>
                <c:pt idx="25">
                  <c:v>-0.10210593490747673</c:v>
                </c:pt>
                <c:pt idx="26">
                  <c:v>-6.0420932496393812E-2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63AE-4173-96A3-1ECE812B4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Market-D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'SATORI (D)'!$CW$1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(D)'!$CW$2:$CW$37</c:f>
              <c:numCache>
                <c:formatCode>0.00000</c:formatCode>
                <c:ptCount val="36"/>
                <c:pt idx="0">
                  <c:v>-17.980552919411579</c:v>
                </c:pt>
                <c:pt idx="1">
                  <c:v>-19.102020402299352</c:v>
                </c:pt>
                <c:pt idx="2">
                  <c:v>-18.000695065846685</c:v>
                </c:pt>
                <c:pt idx="3">
                  <c:v>-14.364471084839057</c:v>
                </c:pt>
                <c:pt idx="4">
                  <c:v>-10.212758536051178</c:v>
                </c:pt>
                <c:pt idx="5">
                  <c:v>-4.6596430336278338</c:v>
                </c:pt>
                <c:pt idx="6">
                  <c:v>-7.1267222635073413</c:v>
                </c:pt>
                <c:pt idx="7">
                  <c:v>-9.5301039620151489</c:v>
                </c:pt>
                <c:pt idx="8">
                  <c:v>-5.9580450273736361</c:v>
                </c:pt>
                <c:pt idx="9">
                  <c:v>-5.7160772350360114</c:v>
                </c:pt>
                <c:pt idx="10">
                  <c:v>-5.5452027275410556</c:v>
                </c:pt>
                <c:pt idx="11">
                  <c:v>-4.5296160692060212</c:v>
                </c:pt>
                <c:pt idx="12">
                  <c:v>-6.5359295072039405</c:v>
                </c:pt>
                <c:pt idx="13">
                  <c:v>-6.508188184559045</c:v>
                </c:pt>
                <c:pt idx="14">
                  <c:v>-4.2953437803528827</c:v>
                </c:pt>
                <c:pt idx="15">
                  <c:v>1.2082328878112305</c:v>
                </c:pt>
                <c:pt idx="16">
                  <c:v>-0.1187125790304866</c:v>
                </c:pt>
                <c:pt idx="17">
                  <c:v>3.6800015747408135</c:v>
                </c:pt>
                <c:pt idx="18">
                  <c:v>4.9280894067740455</c:v>
                </c:pt>
                <c:pt idx="19">
                  <c:v>3.863212598548567</c:v>
                </c:pt>
                <c:pt idx="20">
                  <c:v>4.0208501457389589</c:v>
                </c:pt>
                <c:pt idx="21">
                  <c:v>2.4891636216398783</c:v>
                </c:pt>
                <c:pt idx="22">
                  <c:v>3.0202641161034669</c:v>
                </c:pt>
                <c:pt idx="23">
                  <c:v>2.2327984477141989</c:v>
                </c:pt>
                <c:pt idx="24">
                  <c:v>1.3636136533352641</c:v>
                </c:pt>
                <c:pt idx="25">
                  <c:v>-0.33344954379672048</c:v>
                </c:pt>
                <c:pt idx="26">
                  <c:v>-3.6061603139747755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7995-4FF1-9897-F889D6E32680}"/>
            </c:ext>
          </c:extLst>
        </c:ser>
        <c:ser>
          <c:idx val="6"/>
          <c:order val="6"/>
          <c:tx>
            <c:strRef>
              <c:f>'SATORI (D)'!$DB$1</c:f>
              <c:strCache>
                <c:ptCount val="1"/>
                <c:pt idx="0">
                  <c:v>NZD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(D)'!$DB$2:$DB$37</c:f>
              <c:numCache>
                <c:formatCode>0.00000</c:formatCode>
                <c:ptCount val="36"/>
                <c:pt idx="0">
                  <c:v>-5.0306957078103487</c:v>
                </c:pt>
                <c:pt idx="1">
                  <c:v>-4.9937804981018994</c:v>
                </c:pt>
                <c:pt idx="2">
                  <c:v>-4.2462069211857365</c:v>
                </c:pt>
                <c:pt idx="3">
                  <c:v>-5.7427412691620621</c:v>
                </c:pt>
                <c:pt idx="4">
                  <c:v>-9.4496666754283982</c:v>
                </c:pt>
                <c:pt idx="5">
                  <c:v>-13.279406498632563</c:v>
                </c:pt>
                <c:pt idx="6">
                  <c:v>-14.110226168197801</c:v>
                </c:pt>
                <c:pt idx="7">
                  <c:v>-5.8414898791979617</c:v>
                </c:pt>
                <c:pt idx="8">
                  <c:v>-10.117108316728407</c:v>
                </c:pt>
                <c:pt idx="9">
                  <c:v>-12.301721608840621</c:v>
                </c:pt>
                <c:pt idx="10">
                  <c:v>-10.338702001050272</c:v>
                </c:pt>
                <c:pt idx="11">
                  <c:v>-11.901092776530282</c:v>
                </c:pt>
                <c:pt idx="12">
                  <c:v>-19.34837154332612</c:v>
                </c:pt>
                <c:pt idx="13">
                  <c:v>-21.246288530621708</c:v>
                </c:pt>
                <c:pt idx="14">
                  <c:v>-16.523028217464855</c:v>
                </c:pt>
                <c:pt idx="15">
                  <c:v>-12.12588504496304</c:v>
                </c:pt>
                <c:pt idx="16">
                  <c:v>-13.332972388734738</c:v>
                </c:pt>
                <c:pt idx="17">
                  <c:v>-15.943623159061596</c:v>
                </c:pt>
                <c:pt idx="18">
                  <c:v>-18.382028075592018</c:v>
                </c:pt>
                <c:pt idx="19">
                  <c:v>-17.833598717707904</c:v>
                </c:pt>
                <c:pt idx="20">
                  <c:v>-17.790377700258638</c:v>
                </c:pt>
                <c:pt idx="21">
                  <c:v>-13.525514970086617</c:v>
                </c:pt>
                <c:pt idx="22">
                  <c:v>-9.4941595855683616</c:v>
                </c:pt>
                <c:pt idx="23">
                  <c:v>-7.2381811973603476</c:v>
                </c:pt>
                <c:pt idx="24">
                  <c:v>-4.0677618252637719</c:v>
                </c:pt>
                <c:pt idx="25">
                  <c:v>-0.99654468523767037</c:v>
                </c:pt>
                <c:pt idx="26">
                  <c:v>0.58227716874046753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95-4FF1-9897-F889D6E32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'SATORI (D)'!$CV$1</c15:sqref>
                        </c15:formulaRef>
                      </c:ext>
                    </c:extLst>
                    <c:strCache>
                      <c:ptCount val="1"/>
                      <c:pt idx="0">
                        <c:v>EUR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(D)'!$CV$2:$CV$37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-0.85009273013544029</c:v>
                      </c:pt>
                      <c:pt idx="1">
                        <c:v>-0.68497871110066844</c:v>
                      </c:pt>
                      <c:pt idx="2">
                        <c:v>-1.0329936385642178</c:v>
                      </c:pt>
                      <c:pt idx="3">
                        <c:v>-0.65041008175585913</c:v>
                      </c:pt>
                      <c:pt idx="4">
                        <c:v>-0.62191896584064787</c:v>
                      </c:pt>
                      <c:pt idx="5">
                        <c:v>0.77750576555830309</c:v>
                      </c:pt>
                      <c:pt idx="6">
                        <c:v>1.3055883928524616</c:v>
                      </c:pt>
                      <c:pt idx="7">
                        <c:v>-2.532326662730541</c:v>
                      </c:pt>
                      <c:pt idx="8">
                        <c:v>-3.4156867570289364</c:v>
                      </c:pt>
                      <c:pt idx="9">
                        <c:v>-4.4264477285332955</c:v>
                      </c:pt>
                      <c:pt idx="10">
                        <c:v>-3.9918065458278553</c:v>
                      </c:pt>
                      <c:pt idx="11">
                        <c:v>-2.6365147821720254</c:v>
                      </c:pt>
                      <c:pt idx="12">
                        <c:v>-4.0863082347900166</c:v>
                      </c:pt>
                      <c:pt idx="13">
                        <c:v>-2.6041393008527751</c:v>
                      </c:pt>
                      <c:pt idx="14">
                        <c:v>-3.3814488521436692</c:v>
                      </c:pt>
                      <c:pt idx="15">
                        <c:v>-6.6412208657995393</c:v>
                      </c:pt>
                      <c:pt idx="16">
                        <c:v>-5.4047006639978843</c:v>
                      </c:pt>
                      <c:pt idx="17">
                        <c:v>-2.4794734327891339</c:v>
                      </c:pt>
                      <c:pt idx="18">
                        <c:v>-0.73548703036956464</c:v>
                      </c:pt>
                      <c:pt idx="19">
                        <c:v>0.69739409239341743</c:v>
                      </c:pt>
                      <c:pt idx="20">
                        <c:v>9.7730970598563616E-2</c:v>
                      </c:pt>
                      <c:pt idx="21">
                        <c:v>-1.8524004822606479</c:v>
                      </c:pt>
                      <c:pt idx="22">
                        <c:v>-0.31204857706391209</c:v>
                      </c:pt>
                      <c:pt idx="23">
                        <c:v>1.655047245222748</c:v>
                      </c:pt>
                      <c:pt idx="24">
                        <c:v>0.11479332897947148</c:v>
                      </c:pt>
                      <c:pt idx="25">
                        <c:v>-0.53254136454328793</c:v>
                      </c:pt>
                      <c:pt idx="26">
                        <c:v>-0.59089156280697841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995-4FF1-9897-F889D6E32680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-13.158116587406765</c:v>
                      </c:pt>
                      <c:pt idx="1">
                        <c:v>-14.414045779416901</c:v>
                      </c:pt>
                      <c:pt idx="2">
                        <c:v>-14.898768279602962</c:v>
                      </c:pt>
                      <c:pt idx="3">
                        <c:v>-12.037451235913894</c:v>
                      </c:pt>
                      <c:pt idx="4">
                        <c:v>-10.549962489043615</c:v>
                      </c:pt>
                      <c:pt idx="5">
                        <c:v>-7.8857025944764372</c:v>
                      </c:pt>
                      <c:pt idx="6">
                        <c:v>-9.4918613802862186</c:v>
                      </c:pt>
                      <c:pt idx="7">
                        <c:v>-11.462981939883306</c:v>
                      </c:pt>
                      <c:pt idx="8">
                        <c:v>-9.9973089687729697</c:v>
                      </c:pt>
                      <c:pt idx="9">
                        <c:v>-9.0045614425298695</c:v>
                      </c:pt>
                      <c:pt idx="10">
                        <c:v>-9.0929743465323298</c:v>
                      </c:pt>
                      <c:pt idx="11">
                        <c:v>-9.4006253690325394</c:v>
                      </c:pt>
                      <c:pt idx="12">
                        <c:v>-13.03595889450582</c:v>
                      </c:pt>
                      <c:pt idx="13">
                        <c:v>-15.403908254999459</c:v>
                      </c:pt>
                      <c:pt idx="14">
                        <c:v>-15.935305399133275</c:v>
                      </c:pt>
                      <c:pt idx="15">
                        <c:v>-10.426111037362929</c:v>
                      </c:pt>
                      <c:pt idx="16">
                        <c:v>-7.9831008533408614</c:v>
                      </c:pt>
                      <c:pt idx="17">
                        <c:v>-6.6465383965421214</c:v>
                      </c:pt>
                      <c:pt idx="18">
                        <c:v>-5.4626963424873285</c:v>
                      </c:pt>
                      <c:pt idx="19">
                        <c:v>-5.5767438311105675</c:v>
                      </c:pt>
                      <c:pt idx="20">
                        <c:v>-4.7868157011605277</c:v>
                      </c:pt>
                      <c:pt idx="21">
                        <c:v>-5.3107108554611253</c:v>
                      </c:pt>
                      <c:pt idx="22">
                        <c:v>-3.4509634828303701</c:v>
                      </c:pt>
                      <c:pt idx="23">
                        <c:v>-2.6690465179024985</c:v>
                      </c:pt>
                      <c:pt idx="24">
                        <c:v>-1.9824151022612626</c:v>
                      </c:pt>
                      <c:pt idx="25">
                        <c:v>-2.2392186485701195</c:v>
                      </c:pt>
                      <c:pt idx="26">
                        <c:v>-4.203827589333911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995-4FF1-9897-F889D6E32680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15.572963459119389</c:v>
                      </c:pt>
                      <c:pt idx="1">
                        <c:v>14.958940681342874</c:v>
                      </c:pt>
                      <c:pt idx="2">
                        <c:v>13.899061400286199</c:v>
                      </c:pt>
                      <c:pt idx="3">
                        <c:v>10.244364222450763</c:v>
                      </c:pt>
                      <c:pt idx="4">
                        <c:v>11.53369537036777</c:v>
                      </c:pt>
                      <c:pt idx="5">
                        <c:v>11.44599896961482</c:v>
                      </c:pt>
                      <c:pt idx="6">
                        <c:v>15.139745241569468</c:v>
                      </c:pt>
                      <c:pt idx="7">
                        <c:v>13.034123339147502</c:v>
                      </c:pt>
                      <c:pt idx="8">
                        <c:v>16.019208062665392</c:v>
                      </c:pt>
                      <c:pt idx="9">
                        <c:v>16.336604178220476</c:v>
                      </c:pt>
                      <c:pt idx="10">
                        <c:v>15.281925233055606</c:v>
                      </c:pt>
                      <c:pt idx="11">
                        <c:v>20.244365227266123</c:v>
                      </c:pt>
                      <c:pt idx="12">
                        <c:v>26.624269498481322</c:v>
                      </c:pt>
                      <c:pt idx="13">
                        <c:v>25.440523547004837</c:v>
                      </c:pt>
                      <c:pt idx="14">
                        <c:v>22.739885541082753</c:v>
                      </c:pt>
                      <c:pt idx="15">
                        <c:v>16.183729113005327</c:v>
                      </c:pt>
                      <c:pt idx="16">
                        <c:v>11.203063099503492</c:v>
                      </c:pt>
                      <c:pt idx="17">
                        <c:v>11.056157271997154</c:v>
                      </c:pt>
                      <c:pt idx="18">
                        <c:v>9.6076123173161498</c:v>
                      </c:pt>
                      <c:pt idx="19">
                        <c:v>10.55962695995164</c:v>
                      </c:pt>
                      <c:pt idx="20">
                        <c:v>12.449350193447703</c:v>
                      </c:pt>
                      <c:pt idx="21">
                        <c:v>8.2781026402687239</c:v>
                      </c:pt>
                      <c:pt idx="22">
                        <c:v>4.0912363859211069</c:v>
                      </c:pt>
                      <c:pt idx="23">
                        <c:v>4.8520282643516452</c:v>
                      </c:pt>
                      <c:pt idx="24">
                        <c:v>4.7306557114530667</c:v>
                      </c:pt>
                      <c:pt idx="25">
                        <c:v>4.1248486835199483</c:v>
                      </c:pt>
                      <c:pt idx="26">
                        <c:v>4.5394024019846384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995-4FF1-9897-F889D6E32680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-9.8979395632680447</c:v>
                      </c:pt>
                      <c:pt idx="1">
                        <c:v>-11.675262981002618</c:v>
                      </c:pt>
                      <c:pt idx="2">
                        <c:v>-14.0901793323353</c:v>
                      </c:pt>
                      <c:pt idx="3">
                        <c:v>-13.092242487423555</c:v>
                      </c:pt>
                      <c:pt idx="4">
                        <c:v>-11.765443584881314</c:v>
                      </c:pt>
                      <c:pt idx="5">
                        <c:v>-11.91815618651928</c:v>
                      </c:pt>
                      <c:pt idx="6">
                        <c:v>-16.104209579414249</c:v>
                      </c:pt>
                      <c:pt idx="7">
                        <c:v>-16.216642126662649</c:v>
                      </c:pt>
                      <c:pt idx="8">
                        <c:v>-18.756326388401789</c:v>
                      </c:pt>
                      <c:pt idx="9">
                        <c:v>-19.018172084667693</c:v>
                      </c:pt>
                      <c:pt idx="10">
                        <c:v>-19.399159221265492</c:v>
                      </c:pt>
                      <c:pt idx="11">
                        <c:v>-21.904479182224797</c:v>
                      </c:pt>
                      <c:pt idx="12">
                        <c:v>-23.988865675393026</c:v>
                      </c:pt>
                      <c:pt idx="13">
                        <c:v>-18.662638084440381</c:v>
                      </c:pt>
                      <c:pt idx="14">
                        <c:v>-14.666793259419814</c:v>
                      </c:pt>
                      <c:pt idx="15">
                        <c:v>-13.302314683283614</c:v>
                      </c:pt>
                      <c:pt idx="16">
                        <c:v>-7.3585729391972263</c:v>
                      </c:pt>
                      <c:pt idx="17">
                        <c:v>-4.7926234525206404</c:v>
                      </c:pt>
                      <c:pt idx="18">
                        <c:v>-1.9667302158634978</c:v>
                      </c:pt>
                      <c:pt idx="19">
                        <c:v>-2.7890848503613861</c:v>
                      </c:pt>
                      <c:pt idx="20">
                        <c:v>-3.5993837561239523</c:v>
                      </c:pt>
                      <c:pt idx="21">
                        <c:v>-1.6020983148547427</c:v>
                      </c:pt>
                      <c:pt idx="22">
                        <c:v>-1.0436573224636823</c:v>
                      </c:pt>
                      <c:pt idx="23">
                        <c:v>-0.19518443575317199</c:v>
                      </c:pt>
                      <c:pt idx="24">
                        <c:v>-2.4102776894663163</c:v>
                      </c:pt>
                      <c:pt idx="25">
                        <c:v>-2.1893084036511259</c:v>
                      </c:pt>
                      <c:pt idx="26">
                        <c:v>-1.4494008374059264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995-4FF1-9897-F889D6E32680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-18.577040596505629</c:v>
                      </c:pt>
                      <c:pt idx="1">
                        <c:v>-17.645993289026308</c:v>
                      </c:pt>
                      <c:pt idx="2">
                        <c:v>-16.245096572187489</c:v>
                      </c:pt>
                      <c:pt idx="3">
                        <c:v>-14.357099179839773</c:v>
                      </c:pt>
                      <c:pt idx="4">
                        <c:v>-17.650784497626052</c:v>
                      </c:pt>
                      <c:pt idx="5">
                        <c:v>-19.271978931521993</c:v>
                      </c:pt>
                      <c:pt idx="6">
                        <c:v>-23.414647094535258</c:v>
                      </c:pt>
                      <c:pt idx="7">
                        <c:v>-21.339533358596114</c:v>
                      </c:pt>
                      <c:pt idx="8">
                        <c:v>-23.574482414280869</c:v>
                      </c:pt>
                      <c:pt idx="9">
                        <c:v>-25.021518315969107</c:v>
                      </c:pt>
                      <c:pt idx="10">
                        <c:v>-22.391609779007979</c:v>
                      </c:pt>
                      <c:pt idx="11">
                        <c:v>-30.293661489531551</c:v>
                      </c:pt>
                      <c:pt idx="12">
                        <c:v>-32.5244966626245</c:v>
                      </c:pt>
                      <c:pt idx="13">
                        <c:v>-35.144975321890378</c:v>
                      </c:pt>
                      <c:pt idx="14">
                        <c:v>-31.252990510629203</c:v>
                      </c:pt>
                      <c:pt idx="15">
                        <c:v>-26.763833684985116</c:v>
                      </c:pt>
                      <c:pt idx="16">
                        <c:v>-23.210839646109413</c:v>
                      </c:pt>
                      <c:pt idx="17">
                        <c:v>-19.920879079783013</c:v>
                      </c:pt>
                      <c:pt idx="18">
                        <c:v>-17.246806365942795</c:v>
                      </c:pt>
                      <c:pt idx="19">
                        <c:v>-18.632169852175196</c:v>
                      </c:pt>
                      <c:pt idx="20">
                        <c:v>-19.523852375014563</c:v>
                      </c:pt>
                      <c:pt idx="21">
                        <c:v>-15.834305324592332</c:v>
                      </c:pt>
                      <c:pt idx="22">
                        <c:v>-11.087726658145824</c:v>
                      </c:pt>
                      <c:pt idx="23">
                        <c:v>-8.6647139824462354</c:v>
                      </c:pt>
                      <c:pt idx="24">
                        <c:v>-4.5240739278982058</c:v>
                      </c:pt>
                      <c:pt idx="25">
                        <c:v>-3.6002942682277603</c:v>
                      </c:pt>
                      <c:pt idx="26">
                        <c:v>-4.1451694580385929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995-4FF1-9897-F889D6E32680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45.827578921079528</c:v>
                      </c:pt>
                      <c:pt idx="1">
                        <c:v>49.367473574951852</c:v>
                      </c:pt>
                      <c:pt idx="2">
                        <c:v>50.504957093237536</c:v>
                      </c:pt>
                      <c:pt idx="3">
                        <c:v>46.817665116152426</c:v>
                      </c:pt>
                      <c:pt idx="4">
                        <c:v>45.564466805231902</c:v>
                      </c:pt>
                      <c:pt idx="5">
                        <c:v>42.032370018152335</c:v>
                      </c:pt>
                      <c:pt idx="6">
                        <c:v>50.290308311873531</c:v>
                      </c:pt>
                      <c:pt idx="7">
                        <c:v>50.392780422776568</c:v>
                      </c:pt>
                      <c:pt idx="8">
                        <c:v>52.0859529718781</c:v>
                      </c:pt>
                      <c:pt idx="9">
                        <c:v>55.531730358114515</c:v>
                      </c:pt>
                      <c:pt idx="10">
                        <c:v>52.00315658397848</c:v>
                      </c:pt>
                      <c:pt idx="11">
                        <c:v>56.195251892696582</c:v>
                      </c:pt>
                      <c:pt idx="12">
                        <c:v>67.227829519815359</c:v>
                      </c:pt>
                      <c:pt idx="13">
                        <c:v>68.297933307298962</c:v>
                      </c:pt>
                      <c:pt idx="14">
                        <c:v>57.792240198917696</c:v>
                      </c:pt>
                      <c:pt idx="15">
                        <c:v>48.065961779138988</c:v>
                      </c:pt>
                      <c:pt idx="16">
                        <c:v>43.454973196421101</c:v>
                      </c:pt>
                      <c:pt idx="17">
                        <c:v>32.52520737915242</c:v>
                      </c:pt>
                      <c:pt idx="18">
                        <c:v>27.111450875045009</c:v>
                      </c:pt>
                      <c:pt idx="19">
                        <c:v>27.401927221106053</c:v>
                      </c:pt>
                      <c:pt idx="20">
                        <c:v>26.677232103558524</c:v>
                      </c:pt>
                      <c:pt idx="21">
                        <c:v>25.421949723497292</c:v>
                      </c:pt>
                      <c:pt idx="22">
                        <c:v>17.204163344556044</c:v>
                      </c:pt>
                      <c:pt idx="23">
                        <c:v>8.9589995480267017</c:v>
                      </c:pt>
                      <c:pt idx="24">
                        <c:v>5.8168860580948163</c:v>
                      </c:pt>
                      <c:pt idx="25">
                        <c:v>4.8619632976839071</c:v>
                      </c:pt>
                      <c:pt idx="26">
                        <c:v>7.6330829939314482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995-4FF1-9897-F889D6E32680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(D)'!$BO$1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(D)'!$BO$2:$BO$37</c:f>
              <c:numCache>
                <c:formatCode>0.00000</c:formatCode>
                <c:ptCount val="36"/>
                <c:pt idx="0">
                  <c:v>-7.039806536928167E-2</c:v>
                </c:pt>
                <c:pt idx="1">
                  <c:v>0.1861224488579703</c:v>
                </c:pt>
                <c:pt idx="2">
                  <c:v>0.2246598078631199</c:v>
                </c:pt>
                <c:pt idx="3">
                  <c:v>6.2997365618769896E-3</c:v>
                </c:pt>
                <c:pt idx="4">
                  <c:v>-0.92172233207278076</c:v>
                </c:pt>
                <c:pt idx="5">
                  <c:v>-1.8248446847292055</c:v>
                </c:pt>
                <c:pt idx="6">
                  <c:v>-2.0355624896257418</c:v>
                </c:pt>
                <c:pt idx="7">
                  <c:v>-1.4747894670289923</c:v>
                </c:pt>
                <c:pt idx="8">
                  <c:v>-2.2005824490056405</c:v>
                </c:pt>
                <c:pt idx="9">
                  <c:v>-2.4090362392128748</c:v>
                </c:pt>
                <c:pt idx="10">
                  <c:v>-2.1041350666327494</c:v>
                </c:pt>
                <c:pt idx="11">
                  <c:v>-3.222336128080125</c:v>
                </c:pt>
                <c:pt idx="12">
                  <c:v>-3.2468842885023439</c:v>
                </c:pt>
                <c:pt idx="13">
                  <c:v>-3.5809308702975757</c:v>
                </c:pt>
                <c:pt idx="14">
                  <c:v>-3.3643476624084139</c:v>
                </c:pt>
                <c:pt idx="15">
                  <c:v>-3.4935426545644415</c:v>
                </c:pt>
                <c:pt idx="16">
                  <c:v>-2.8866482113939109</c:v>
                </c:pt>
                <c:pt idx="17">
                  <c:v>-2.9493642758843843</c:v>
                </c:pt>
                <c:pt idx="18">
                  <c:v>-2.7707137742887444</c:v>
                </c:pt>
                <c:pt idx="19">
                  <c:v>-2.811957816815934</c:v>
                </c:pt>
                <c:pt idx="20">
                  <c:v>-2.9404374742035069</c:v>
                </c:pt>
                <c:pt idx="21">
                  <c:v>-2.2900606203255665</c:v>
                </c:pt>
                <c:pt idx="22">
                  <c:v>-1.762527630619263</c:v>
                </c:pt>
                <c:pt idx="23">
                  <c:v>-1.3605644847683565</c:v>
                </c:pt>
                <c:pt idx="24">
                  <c:v>-0.73818267746734789</c:v>
                </c:pt>
                <c:pt idx="25">
                  <c:v>-0.41011825754489345</c:v>
                </c:pt>
                <c:pt idx="26">
                  <c:v>-6.8314126173206743E-2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B0-4FEB-9B42-9CA97C467252}"/>
            </c:ext>
          </c:extLst>
        </c:ser>
        <c:ser>
          <c:idx val="1"/>
          <c:order val="1"/>
          <c:tx>
            <c:strRef>
              <c:f>'SATORI (D)'!$BP$1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(D)'!$BP$2:$BP$37</c:f>
              <c:numCache>
                <c:formatCode>0.00000</c:formatCode>
                <c:ptCount val="36"/>
                <c:pt idx="0">
                  <c:v>-1.674997720528874</c:v>
                </c:pt>
                <c:pt idx="1">
                  <c:v>-1.570922348048601</c:v>
                </c:pt>
                <c:pt idx="2">
                  <c:v>-1.4879136002036186</c:v>
                </c:pt>
                <c:pt idx="3">
                  <c:v>-1.0673486079245824</c:v>
                </c:pt>
                <c:pt idx="4">
                  <c:v>-1.0165069976981449</c:v>
                </c:pt>
                <c:pt idx="5">
                  <c:v>-0.73856072190664024</c:v>
                </c:pt>
                <c:pt idx="6">
                  <c:v>-1.1558562107514954</c:v>
                </c:pt>
                <c:pt idx="7">
                  <c:v>-1.9300272979808646</c:v>
                </c:pt>
                <c:pt idx="8">
                  <c:v>-1.6768881902733785</c:v>
                </c:pt>
                <c:pt idx="9">
                  <c:v>-1.5874100850179109</c:v>
                </c:pt>
                <c:pt idx="10">
                  <c:v>-1.5016577450737465</c:v>
                </c:pt>
                <c:pt idx="11">
                  <c:v>-2.2951844794767546</c:v>
                </c:pt>
                <c:pt idx="12">
                  <c:v>-1.6492982358488375</c:v>
                </c:pt>
                <c:pt idx="13">
                  <c:v>-1.7370768873492897</c:v>
                </c:pt>
                <c:pt idx="14">
                  <c:v>-1.8359254842483701</c:v>
                </c:pt>
                <c:pt idx="15">
                  <c:v>-1.8194534318306528</c:v>
                </c:pt>
                <c:pt idx="16">
                  <c:v>-1.2308595979651309</c:v>
                </c:pt>
                <c:pt idx="17">
                  <c:v>-0.49578460044848904</c:v>
                </c:pt>
                <c:pt idx="18">
                  <c:v>0.14218108758538778</c:v>
                </c:pt>
                <c:pt idx="19">
                  <c:v>-9.7967858727376997E-2</c:v>
                </c:pt>
                <c:pt idx="20">
                  <c:v>-0.21593273941174645</c:v>
                </c:pt>
                <c:pt idx="21">
                  <c:v>-0.29523916863976973</c:v>
                </c:pt>
                <c:pt idx="22">
                  <c:v>-0.1962043083689653</c:v>
                </c:pt>
                <c:pt idx="23">
                  <c:v>-0.17820121183636367</c:v>
                </c:pt>
                <c:pt idx="24">
                  <c:v>-6.0419817700245737E-2</c:v>
                </c:pt>
                <c:pt idx="25">
                  <c:v>-0.32183887244501286</c:v>
                </c:pt>
                <c:pt idx="26">
                  <c:v>-0.59572479850483984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B0-4FEB-9B42-9CA97C467252}"/>
            </c:ext>
          </c:extLst>
        </c:ser>
        <c:ser>
          <c:idx val="2"/>
          <c:order val="2"/>
          <c:tx>
            <c:strRef>
              <c:f>'SATORI (D)'!$BQ$1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(D)'!$BQ$2:$BQ$37</c:f>
              <c:numCache>
                <c:formatCode>0.00000</c:formatCode>
                <c:ptCount val="36"/>
                <c:pt idx="0">
                  <c:v>-8.0267159270279613</c:v>
                </c:pt>
                <c:pt idx="1">
                  <c:v>-8.3492537690864896</c:v>
                </c:pt>
                <c:pt idx="2">
                  <c:v>-8.3196625362545102</c:v>
                </c:pt>
                <c:pt idx="3">
                  <c:v>-7.6215239015259062</c:v>
                </c:pt>
                <c:pt idx="4">
                  <c:v>-7.8805754680259623</c:v>
                </c:pt>
                <c:pt idx="5">
                  <c:v>-7.6353333674564441</c:v>
                </c:pt>
                <c:pt idx="6">
                  <c:v>-9.186207599480392</c:v>
                </c:pt>
                <c:pt idx="7">
                  <c:v>-8.9418769934788944</c:v>
                </c:pt>
                <c:pt idx="8">
                  <c:v>-9.4308644593065161</c:v>
                </c:pt>
                <c:pt idx="9">
                  <c:v>-10.044291346294813</c:v>
                </c:pt>
                <c:pt idx="10">
                  <c:v>-9.2738880174932632</c:v>
                </c:pt>
                <c:pt idx="11">
                  <c:v>-10.787835573011636</c:v>
                </c:pt>
                <c:pt idx="12">
                  <c:v>-12.44484784914493</c:v>
                </c:pt>
                <c:pt idx="13">
                  <c:v>-12.910416087994244</c:v>
                </c:pt>
                <c:pt idx="14">
                  <c:v>-11.124402160651343</c:v>
                </c:pt>
                <c:pt idx="15">
                  <c:v>-9.3474622057701708</c:v>
                </c:pt>
                <c:pt idx="16">
                  <c:v>-8.3117104192002778</c:v>
                </c:pt>
                <c:pt idx="17">
                  <c:v>-6.5432168432582083</c:v>
                </c:pt>
                <c:pt idx="18">
                  <c:v>-5.5350483988313774</c:v>
                </c:pt>
                <c:pt idx="19">
                  <c:v>-5.7476410355761258</c:v>
                </c:pt>
                <c:pt idx="20">
                  <c:v>-5.764532088286157</c:v>
                </c:pt>
                <c:pt idx="21">
                  <c:v>-5.1434447410894384</c:v>
                </c:pt>
                <c:pt idx="22">
                  <c:v>-3.5317167238354901</c:v>
                </c:pt>
                <c:pt idx="23">
                  <c:v>-2.1983706098061284</c:v>
                </c:pt>
                <c:pt idx="24">
                  <c:v>-1.2903158985599248</c:v>
                </c:pt>
                <c:pt idx="25">
                  <c:v>-1.0581434275814794</c:v>
                </c:pt>
                <c:pt idx="26">
                  <c:v>-1.4663416463528904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B0-4FEB-9B42-9CA97C467252}"/>
            </c:ext>
          </c:extLst>
        </c:ser>
        <c:ser>
          <c:idx val="3"/>
          <c:order val="3"/>
          <c:tx>
            <c:strRef>
              <c:f>'SATORI (D)'!$BR$1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(D)'!$BR$2:$BR$37</c:f>
              <c:numCache>
                <c:formatCode>0.00000</c:formatCode>
                <c:ptCount val="36"/>
                <c:pt idx="0">
                  <c:v>-4.7638572068984217</c:v>
                </c:pt>
                <c:pt idx="1">
                  <c:v>-4.5827829490417082</c:v>
                </c:pt>
                <c:pt idx="2">
                  <c:v>-4.266903954994822</c:v>
                </c:pt>
                <c:pt idx="3">
                  <c:v>-3.4577728241049437</c:v>
                </c:pt>
                <c:pt idx="4">
                  <c:v>-4.0308734543425011</c:v>
                </c:pt>
                <c:pt idx="5">
                  <c:v>-4.1695793285362583</c:v>
                </c:pt>
                <c:pt idx="6">
                  <c:v>-5.24383059468071</c:v>
                </c:pt>
                <c:pt idx="7">
                  <c:v>-4.7208453951618559</c:v>
                </c:pt>
                <c:pt idx="8">
                  <c:v>-5.3983117412313186</c:v>
                </c:pt>
                <c:pt idx="9">
                  <c:v>-5.6093675479041956</c:v>
                </c:pt>
                <c:pt idx="10">
                  <c:v>-5.1262842160294495</c:v>
                </c:pt>
                <c:pt idx="11">
                  <c:v>-6.8371009930713935</c:v>
                </c:pt>
                <c:pt idx="12">
                  <c:v>-8.0953480998241041</c:v>
                </c:pt>
                <c:pt idx="13">
                  <c:v>-8.2958430152008091</c:v>
                </c:pt>
                <c:pt idx="14">
                  <c:v>-7.4380657149608345</c:v>
                </c:pt>
                <c:pt idx="15">
                  <c:v>-5.8397996662198821</c:v>
                </c:pt>
                <c:pt idx="16">
                  <c:v>-4.6505671825870643</c:v>
                </c:pt>
                <c:pt idx="17">
                  <c:v>-4.1791960471371921</c:v>
                </c:pt>
                <c:pt idx="18">
                  <c:v>-3.6157041204083753</c:v>
                </c:pt>
                <c:pt idx="19">
                  <c:v>-3.9320504072290086</c:v>
                </c:pt>
                <c:pt idx="20">
                  <c:v>-4.2963933754097212</c:v>
                </c:pt>
                <c:pt idx="21">
                  <c:v>-3.2491471180274942</c:v>
                </c:pt>
                <c:pt idx="22">
                  <c:v>-2.0298210542969284</c:v>
                </c:pt>
                <c:pt idx="23">
                  <c:v>-1.8199752232905113</c:v>
                </c:pt>
                <c:pt idx="24">
                  <c:v>-1.2796803333692943</c:v>
                </c:pt>
                <c:pt idx="25">
                  <c:v>-1.0797844807882819</c:v>
                </c:pt>
                <c:pt idx="26">
                  <c:v>-1.2362500415406603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0B0-4FEB-9B42-9CA97C467252}"/>
            </c:ext>
          </c:extLst>
        </c:ser>
        <c:ser>
          <c:idx val="4"/>
          <c:order val="4"/>
          <c:tx>
            <c:strRef>
              <c:f>'SATORI (D)'!$BS$1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(D)'!$BS$2:$BS$37</c:f>
              <c:numCache>
                <c:formatCode>0.00000</c:formatCode>
                <c:ptCount val="36"/>
                <c:pt idx="0">
                  <c:v>-0.67913946998435271</c:v>
                </c:pt>
                <c:pt idx="1">
                  <c:v>-0.40860680425581963</c:v>
                </c:pt>
                <c:pt idx="2">
                  <c:v>-0.17353546663461772</c:v>
                </c:pt>
                <c:pt idx="3">
                  <c:v>-0.29557305857142102</c:v>
                </c:pt>
                <c:pt idx="4">
                  <c:v>-0.89406695853743068</c:v>
                </c:pt>
                <c:pt idx="5">
                  <c:v>-1.4296454604604534</c:v>
                </c:pt>
                <c:pt idx="6">
                  <c:v>-1.7447088047749317</c:v>
                </c:pt>
                <c:pt idx="7">
                  <c:v>-1.2398527272536779</c:v>
                </c:pt>
                <c:pt idx="8">
                  <c:v>-1.7006262079166623</c:v>
                </c:pt>
                <c:pt idx="9">
                  <c:v>-2.0065315102752348</c:v>
                </c:pt>
                <c:pt idx="10">
                  <c:v>-1.665219502499073</c:v>
                </c:pt>
                <c:pt idx="11">
                  <c:v>-2.6163791813572268</c:v>
                </c:pt>
                <c:pt idx="12">
                  <c:v>-2.4416182254036709</c:v>
                </c:pt>
                <c:pt idx="13">
                  <c:v>-2.4727955016231977</c:v>
                </c:pt>
                <c:pt idx="14">
                  <c:v>-1.9169385185314465</c:v>
                </c:pt>
                <c:pt idx="15">
                  <c:v>-2.0466588990445631</c:v>
                </c:pt>
                <c:pt idx="16">
                  <c:v>-1.9060492955193593</c:v>
                </c:pt>
                <c:pt idx="17">
                  <c:v>-1.6597601985057455</c:v>
                </c:pt>
                <c:pt idx="18">
                  <c:v>-1.4734583454086183</c:v>
                </c:pt>
                <c:pt idx="19">
                  <c:v>-1.636876884579384</c:v>
                </c:pt>
                <c:pt idx="20">
                  <c:v>-1.8415681879650783</c:v>
                </c:pt>
                <c:pt idx="21">
                  <c:v>-1.3165673624920888</c:v>
                </c:pt>
                <c:pt idx="22">
                  <c:v>-0.95576636233855505</c:v>
                </c:pt>
                <c:pt idx="23">
                  <c:v>-0.74892641705812291</c:v>
                </c:pt>
                <c:pt idx="24">
                  <c:v>-0.32067255950428064</c:v>
                </c:pt>
                <c:pt idx="25">
                  <c:v>-0.17269205811153202</c:v>
                </c:pt>
                <c:pt idx="26">
                  <c:v>8.6897016173794039E-3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0B0-4FEB-9B42-9CA97C467252}"/>
            </c:ext>
          </c:extLst>
        </c:ser>
        <c:ser>
          <c:idx val="5"/>
          <c:order val="5"/>
          <c:tx>
            <c:strRef>
              <c:f>'SATORI (D)'!$BT$1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(D)'!$BT$2:$BT$37</c:f>
              <c:numCache>
                <c:formatCode>0.00000</c:formatCode>
                <c:ptCount val="36"/>
                <c:pt idx="0">
                  <c:v>2.1374153368743158</c:v>
                </c:pt>
                <c:pt idx="1">
                  <c:v>2.2961611552224475</c:v>
                </c:pt>
                <c:pt idx="2">
                  <c:v>2.1173651085018781</c:v>
                </c:pt>
                <c:pt idx="3">
                  <c:v>1.7123168906238369</c:v>
                </c:pt>
                <c:pt idx="4">
                  <c:v>1.2000125183553574</c:v>
                </c:pt>
                <c:pt idx="5">
                  <c:v>0.67682453527238962</c:v>
                </c:pt>
                <c:pt idx="6">
                  <c:v>1.0500435721674828</c:v>
                </c:pt>
                <c:pt idx="7">
                  <c:v>0.87265473583825848</c:v>
                </c:pt>
                <c:pt idx="8">
                  <c:v>0.3174091746011658</c:v>
                </c:pt>
                <c:pt idx="9">
                  <c:v>0.16624936661993439</c:v>
                </c:pt>
                <c:pt idx="10">
                  <c:v>0.19555661650086259</c:v>
                </c:pt>
                <c:pt idx="11">
                  <c:v>0.23858311899548162</c:v>
                </c:pt>
                <c:pt idx="12">
                  <c:v>0.30993785265021634</c:v>
                </c:pt>
                <c:pt idx="13">
                  <c:v>0.49165309846804051</c:v>
                </c:pt>
                <c:pt idx="14">
                  <c:v>0.11861794884153232</c:v>
                </c:pt>
                <c:pt idx="15">
                  <c:v>-0.98597556630494243</c:v>
                </c:pt>
                <c:pt idx="16">
                  <c:v>-0.66637165346628513</c:v>
                </c:pt>
                <c:pt idx="17">
                  <c:v>-0.77363703356486291</c:v>
                </c:pt>
                <c:pt idx="18">
                  <c:v>-0.7098733105027184</c:v>
                </c:pt>
                <c:pt idx="19">
                  <c:v>-0.39482273659480349</c:v>
                </c:pt>
                <c:pt idx="20">
                  <c:v>-0.49164243986546485</c:v>
                </c:pt>
                <c:pt idx="21">
                  <c:v>-0.54422934664824951</c:v>
                </c:pt>
                <c:pt idx="22">
                  <c:v>-0.41707556428393211</c:v>
                </c:pt>
                <c:pt idx="23">
                  <c:v>-7.2738756974796481E-2</c:v>
                </c:pt>
                <c:pt idx="24">
                  <c:v>-0.14717086753864062</c:v>
                </c:pt>
                <c:pt idx="25">
                  <c:v>-2.3271052011702764E-2</c:v>
                </c:pt>
                <c:pt idx="26">
                  <c:v>0.37619510762850206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0B0-4FEB-9B42-9CA97C467252}"/>
            </c:ext>
          </c:extLst>
        </c:ser>
        <c:ser>
          <c:idx val="6"/>
          <c:order val="6"/>
          <c:tx>
            <c:strRef>
              <c:f>'SATORI (D)'!$BU$1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(D)'!$BU$2:$BU$37</c:f>
              <c:numCache>
                <c:formatCode>0.00000</c:formatCode>
                <c:ptCount val="36"/>
                <c:pt idx="0">
                  <c:v>1.5352604407336035</c:v>
                </c:pt>
                <c:pt idx="1">
                  <c:v>1.7094488809552963</c:v>
                </c:pt>
                <c:pt idx="2">
                  <c:v>1.7285795566639497</c:v>
                </c:pt>
                <c:pt idx="3">
                  <c:v>1.4195577067678424</c:v>
                </c:pt>
                <c:pt idx="4">
                  <c:v>1.2425665563253676</c:v>
                </c:pt>
                <c:pt idx="5">
                  <c:v>1.0798947549841511</c:v>
                </c:pt>
                <c:pt idx="6">
                  <c:v>1.3487404402095546</c:v>
                </c:pt>
                <c:pt idx="7">
                  <c:v>1.1157732613690872</c:v>
                </c:pt>
                <c:pt idx="8">
                  <c:v>0.82354688244665586</c:v>
                </c:pt>
                <c:pt idx="9">
                  <c:v>0.57530526060139664</c:v>
                </c:pt>
                <c:pt idx="10">
                  <c:v>0.63999305861540901</c:v>
                </c:pt>
                <c:pt idx="11">
                  <c:v>0.8496213178357388</c:v>
                </c:pt>
                <c:pt idx="12">
                  <c:v>1.12106648126696</c:v>
                </c:pt>
                <c:pt idx="13">
                  <c:v>1.6025597046956686</c:v>
                </c:pt>
                <c:pt idx="14">
                  <c:v>1.5741508014775245</c:v>
                </c:pt>
                <c:pt idx="15">
                  <c:v>0.46797532303659684</c:v>
                </c:pt>
                <c:pt idx="16">
                  <c:v>0.31879348174467176</c:v>
                </c:pt>
                <c:pt idx="17">
                  <c:v>0.51975086676166016</c:v>
                </c:pt>
                <c:pt idx="18">
                  <c:v>0.59113654959573214</c:v>
                </c:pt>
                <c:pt idx="19">
                  <c:v>0.78490273839459412</c:v>
                </c:pt>
                <c:pt idx="20">
                  <c:v>0.61080988887485022</c:v>
                </c:pt>
                <c:pt idx="21">
                  <c:v>0.43306656093172091</c:v>
                </c:pt>
                <c:pt idx="22">
                  <c:v>0.39295800042796186</c:v>
                </c:pt>
                <c:pt idx="23">
                  <c:v>0.542472744984692</c:v>
                </c:pt>
                <c:pt idx="24">
                  <c:v>0.27074088944429525</c:v>
                </c:pt>
                <c:pt idx="25">
                  <c:v>0.21448888044397704</c:v>
                </c:pt>
                <c:pt idx="26">
                  <c:v>0.45298973223273831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0B0-4FEB-9B42-9CA97C467252}"/>
            </c:ext>
          </c:extLst>
        </c:ser>
        <c:ser>
          <c:idx val="7"/>
          <c:order val="7"/>
          <c:tx>
            <c:strRef>
              <c:f>'SATORI (D)'!$BV$1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(D)'!$BV$2:$BV$37</c:f>
              <c:numCache>
                <c:formatCode>0.00000</c:formatCode>
                <c:ptCount val="36"/>
                <c:pt idx="0">
                  <c:v>1.1498804924335098</c:v>
                </c:pt>
                <c:pt idx="1">
                  <c:v>1.3940836036750677</c:v>
                </c:pt>
                <c:pt idx="2">
                  <c:v>1.6540458974324599</c:v>
                </c:pt>
                <c:pt idx="3">
                  <c:v>1.5673166450620599</c:v>
                </c:pt>
                <c:pt idx="4">
                  <c:v>1.3912044968460693</c:v>
                </c:pt>
                <c:pt idx="5">
                  <c:v>1.5997550703601471</c:v>
                </c:pt>
                <c:pt idx="6">
                  <c:v>2.1763690069442636</c:v>
                </c:pt>
                <c:pt idx="7">
                  <c:v>1.7270465010352101</c:v>
                </c:pt>
                <c:pt idx="8">
                  <c:v>1.9267358731230719</c:v>
                </c:pt>
                <c:pt idx="9">
                  <c:v>1.8379062040135916</c:v>
                </c:pt>
                <c:pt idx="10">
                  <c:v>1.9336569717712637</c:v>
                </c:pt>
                <c:pt idx="11">
                  <c:v>2.4066597842204214</c:v>
                </c:pt>
                <c:pt idx="12">
                  <c:v>2.4949066897730079</c:v>
                </c:pt>
                <c:pt idx="13">
                  <c:v>2.0118712671753469</c:v>
                </c:pt>
                <c:pt idx="14">
                  <c:v>1.4109040856175383</c:v>
                </c:pt>
                <c:pt idx="15">
                  <c:v>0.83718197488679968</c:v>
                </c:pt>
                <c:pt idx="16">
                  <c:v>0.2446228080321205</c:v>
                </c:pt>
                <c:pt idx="17">
                  <c:v>0.29209998931186276</c:v>
                </c:pt>
                <c:pt idx="18">
                  <c:v>0.15422633387715196</c:v>
                </c:pt>
                <c:pt idx="19">
                  <c:v>0.42803331773319864</c:v>
                </c:pt>
                <c:pt idx="20">
                  <c:v>0.46239554298351115</c:v>
                </c:pt>
                <c:pt idx="21">
                  <c:v>-3.1769734463498497E-2</c:v>
                </c:pt>
                <c:pt idx="22">
                  <c:v>9.1916103508058622E-2</c:v>
                </c:pt>
                <c:pt idx="23">
                  <c:v>0.23679889095788395</c:v>
                </c:pt>
                <c:pt idx="24">
                  <c:v>0.31393100046173794</c:v>
                </c:pt>
                <c:pt idx="25">
                  <c:v>0.207018514271266</c:v>
                </c:pt>
                <c:pt idx="26">
                  <c:v>0.10594355232302753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0B0-4FEB-9B42-9CA97C467252}"/>
            </c:ext>
          </c:extLst>
        </c:ser>
        <c:ser>
          <c:idx val="8"/>
          <c:order val="8"/>
          <c:tx>
            <c:strRef>
              <c:f>'SATORI (D)'!$BW$1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(D)'!$BW$2:$BW$37</c:f>
              <c:numCache>
                <c:formatCode>0.00000</c:formatCode>
                <c:ptCount val="36"/>
                <c:pt idx="0">
                  <c:v>-2.6084504292291242</c:v>
                </c:pt>
                <c:pt idx="1">
                  <c:v>-2.5178869347419166</c:v>
                </c:pt>
                <c:pt idx="2">
                  <c:v>-2.4221498645066686</c:v>
                </c:pt>
                <c:pt idx="3">
                  <c:v>-1.7969538373242342</c:v>
                </c:pt>
                <c:pt idx="4">
                  <c:v>-1.9508757036530375</c:v>
                </c:pt>
                <c:pt idx="5">
                  <c:v>-1.7158347542965304</c:v>
                </c:pt>
                <c:pt idx="6">
                  <c:v>-2.1986831399034545</c:v>
                </c:pt>
                <c:pt idx="7">
                  <c:v>-2.414329605931246</c:v>
                </c:pt>
                <c:pt idx="8">
                  <c:v>-2.9239457021873587</c:v>
                </c:pt>
                <c:pt idx="9">
                  <c:v>-3.0785493978510439</c:v>
                </c:pt>
                <c:pt idx="10">
                  <c:v>-2.8735382490488863</c:v>
                </c:pt>
                <c:pt idx="11">
                  <c:v>-3.414337229074377</c:v>
                </c:pt>
                <c:pt idx="12">
                  <c:v>-4.5631695898227944</c:v>
                </c:pt>
                <c:pt idx="13">
                  <c:v>-4.2567530561866054</c:v>
                </c:pt>
                <c:pt idx="14">
                  <c:v>-3.9779009439619859</c:v>
                </c:pt>
                <c:pt idx="15">
                  <c:v>-3.3377803507623409</c:v>
                </c:pt>
                <c:pt idx="16">
                  <c:v>-2.4289285125463858</c:v>
                </c:pt>
                <c:pt idx="17">
                  <c:v>-2.0161858691078351</c:v>
                </c:pt>
                <c:pt idx="18">
                  <c:v>-1.5687889059842006</c:v>
                </c:pt>
                <c:pt idx="19">
                  <c:v>-1.5270909658624361</c:v>
                </c:pt>
                <c:pt idx="20">
                  <c:v>-1.8596921582063404</c:v>
                </c:pt>
                <c:pt idx="21">
                  <c:v>-1.5115724216933735</c:v>
                </c:pt>
                <c:pt idx="22">
                  <c:v>-0.68874835719057448</c:v>
                </c:pt>
                <c:pt idx="23">
                  <c:v>-0.53805579066909393</c:v>
                </c:pt>
                <c:pt idx="24">
                  <c:v>-0.70140042717558904</c:v>
                </c:pt>
                <c:pt idx="25">
                  <c:v>-0.69726529092285683</c:v>
                </c:pt>
                <c:pt idx="26">
                  <c:v>-0.79764300086231099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0B0-4FEB-9B42-9CA97C467252}"/>
            </c:ext>
          </c:extLst>
        </c:ser>
        <c:ser>
          <c:idx val="9"/>
          <c:order val="9"/>
          <c:tx>
            <c:strRef>
              <c:f>'SATORI (D)'!$BX$1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(D)'!$BX$2:$BX$37</c:f>
              <c:numCache>
                <c:formatCode>0.00000</c:formatCode>
                <c:ptCount val="36"/>
                <c:pt idx="0">
                  <c:v>-5.8769612858800189</c:v>
                </c:pt>
                <c:pt idx="1">
                  <c:v>-6.2924421138783639</c:v>
                </c:pt>
                <c:pt idx="2">
                  <c:v>-6.4804713326293335</c:v>
                </c:pt>
                <c:pt idx="3">
                  <c:v>-5.9691118918633288</c:v>
                </c:pt>
                <c:pt idx="4">
                  <c:v>-5.8050817889605515</c:v>
                </c:pt>
                <c:pt idx="5">
                  <c:v>-5.1902401091666759</c:v>
                </c:pt>
                <c:pt idx="6">
                  <c:v>-6.1506405431345357</c:v>
                </c:pt>
                <c:pt idx="7">
                  <c:v>-6.6449847008290845</c:v>
                </c:pt>
                <c:pt idx="8">
                  <c:v>-6.9637905151510955</c:v>
                </c:pt>
                <c:pt idx="9">
                  <c:v>-7.5281302439180591</c:v>
                </c:pt>
                <c:pt idx="10">
                  <c:v>-7.0287925038099859</c:v>
                </c:pt>
                <c:pt idx="11">
                  <c:v>-7.3726045116471441</c:v>
                </c:pt>
                <c:pt idx="12">
                  <c:v>-8.9379563672545252</c:v>
                </c:pt>
                <c:pt idx="13">
                  <c:v>-8.8784197395611297</c:v>
                </c:pt>
                <c:pt idx="14">
                  <c:v>-7.6565652484794775</c:v>
                </c:pt>
                <c:pt idx="15">
                  <c:v>-6.844268477809039</c:v>
                </c:pt>
                <c:pt idx="16">
                  <c:v>-6.106949804613067</c:v>
                </c:pt>
                <c:pt idx="17">
                  <c:v>-4.3811210920534425</c:v>
                </c:pt>
                <c:pt idx="18">
                  <c:v>-3.4890085190855955</c:v>
                </c:pt>
                <c:pt idx="19">
                  <c:v>-3.3434350314323869</c:v>
                </c:pt>
                <c:pt idx="20">
                  <c:v>-3.3302572754844153</c:v>
                </c:pt>
                <c:pt idx="21">
                  <c:v>-3.4117861822776887</c:v>
                </c:pt>
                <c:pt idx="22">
                  <c:v>-2.1948521454321366</c:v>
                </c:pt>
                <c:pt idx="23">
                  <c:v>-0.9197714663245109</c:v>
                </c:pt>
                <c:pt idx="24">
                  <c:v>-0.72663228357750653</c:v>
                </c:pt>
                <c:pt idx="25">
                  <c:v>-0.67764212243486743</c:v>
                </c:pt>
                <c:pt idx="26">
                  <c:v>-1.0241023175528128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0B0-4FEB-9B42-9CA97C467252}"/>
            </c:ext>
          </c:extLst>
        </c:ser>
        <c:ser>
          <c:idx val="10"/>
          <c:order val="10"/>
          <c:tx>
            <c:strRef>
              <c:f>'SATORI (D)'!$BY$1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(D)'!$BY$2:$BY$37</c:f>
              <c:numCache>
                <c:formatCode>0.00000</c:formatCode>
                <c:ptCount val="36"/>
                <c:pt idx="0">
                  <c:v>2.2531127648133769</c:v>
                </c:pt>
                <c:pt idx="1">
                  <c:v>2.1533069325234724</c:v>
                </c:pt>
                <c:pt idx="2">
                  <c:v>1.9338584635099494</c:v>
                </c:pt>
                <c:pt idx="3">
                  <c:v>1.7467961316686624</c:v>
                </c:pt>
                <c:pt idx="4">
                  <c:v>2.1617062848709154</c:v>
                </c:pt>
                <c:pt idx="5">
                  <c:v>2.538898791634467</c:v>
                </c:pt>
                <c:pt idx="6">
                  <c:v>3.1205657977566532</c:v>
                </c:pt>
                <c:pt idx="7">
                  <c:v>2.3770624000909577</c:v>
                </c:pt>
                <c:pt idx="8">
                  <c:v>2.5487625934795974</c:v>
                </c:pt>
                <c:pt idx="9">
                  <c:v>2.6011488791113133</c:v>
                </c:pt>
                <c:pt idx="10">
                  <c:v>2.3300545394886649</c:v>
                </c:pt>
                <c:pt idx="11">
                  <c:v>3.4771953417710106</c:v>
                </c:pt>
                <c:pt idx="12">
                  <c:v>3.5714083944527975</c:v>
                </c:pt>
                <c:pt idx="13">
                  <c:v>4.0827777609361586</c:v>
                </c:pt>
                <c:pt idx="14">
                  <c:v>3.498006865818994</c:v>
                </c:pt>
                <c:pt idx="15">
                  <c:v>2.5279929482280026</c:v>
                </c:pt>
                <c:pt idx="16">
                  <c:v>2.2343213890495655</c:v>
                </c:pt>
                <c:pt idx="17">
                  <c:v>2.1920051172340078</c:v>
                </c:pt>
                <c:pt idx="18">
                  <c:v>2.0751968280820488</c:v>
                </c:pt>
                <c:pt idx="19">
                  <c:v>2.4231959837166825</c:v>
                </c:pt>
                <c:pt idx="20">
                  <c:v>2.4641912029506758</c:v>
                </c:pt>
                <c:pt idx="21">
                  <c:v>1.7532101583974762</c:v>
                </c:pt>
                <c:pt idx="22">
                  <c:v>1.3514862201617774</c:v>
                </c:pt>
                <c:pt idx="23">
                  <c:v>1.2941513172346377</c:v>
                </c:pt>
                <c:pt idx="24">
                  <c:v>0.57847901528850432</c:v>
                </c:pt>
                <c:pt idx="25">
                  <c:v>0.38274575417541234</c:v>
                </c:pt>
                <c:pt idx="26">
                  <c:v>0.44671819681550151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0B0-4FEB-9B42-9CA97C467252}"/>
            </c:ext>
          </c:extLst>
        </c:ser>
        <c:ser>
          <c:idx val="11"/>
          <c:order val="11"/>
          <c:tx>
            <c:strRef>
              <c:f>'SATORI (D)'!$BZ$1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(D)'!$BZ$2:$BZ$37</c:f>
              <c:numCache>
                <c:formatCode>0.00000</c:formatCode>
                <c:ptCount val="36"/>
                <c:pt idx="0">
                  <c:v>0.55964995011889707</c:v>
                </c:pt>
                <c:pt idx="1">
                  <c:v>0.57234976514332803</c:v>
                </c:pt>
                <c:pt idx="2">
                  <c:v>0.43577853246354759</c:v>
                </c:pt>
                <c:pt idx="3">
                  <c:v>0.66966827330930268</c:v>
                </c:pt>
                <c:pt idx="4">
                  <c:v>1.1385486703752314</c:v>
                </c:pt>
                <c:pt idx="5">
                  <c:v>1.7882074767703542</c:v>
                </c:pt>
                <c:pt idx="6">
                  <c:v>1.9591932588124983</c:v>
                </c:pt>
                <c:pt idx="7">
                  <c:v>0.43445074569627568</c:v>
                </c:pt>
                <c:pt idx="8">
                  <c:v>0.85559493665902586</c:v>
                </c:pt>
                <c:pt idx="9">
                  <c:v>0.99962220288957071</c:v>
                </c:pt>
                <c:pt idx="10">
                  <c:v>0.81126302065481681</c:v>
                </c:pt>
                <c:pt idx="11">
                  <c:v>1.1783673957268435</c:v>
                </c:pt>
                <c:pt idx="12">
                  <c:v>1.9174983041443217</c:v>
                </c:pt>
                <c:pt idx="13">
                  <c:v>2.3421716636197449</c:v>
                </c:pt>
                <c:pt idx="14">
                  <c:v>1.6513376385422063</c:v>
                </c:pt>
                <c:pt idx="15">
                  <c:v>0.69365328292538431</c:v>
                </c:pt>
                <c:pt idx="16">
                  <c:v>0.99981162780149591</c:v>
                </c:pt>
                <c:pt idx="17">
                  <c:v>1.6876145886294767</c:v>
                </c:pt>
                <c:pt idx="18">
                  <c:v>2.2116239936480171</c:v>
                </c:pt>
                <c:pt idx="19">
                  <c:v>2.3266107864385686</c:v>
                </c:pt>
                <c:pt idx="20">
                  <c:v>2.2419262093457468</c:v>
                </c:pt>
                <c:pt idx="21">
                  <c:v>1.460680483492965</c:v>
                </c:pt>
                <c:pt idx="22">
                  <c:v>1.1522671657449333</c:v>
                </c:pt>
                <c:pt idx="23">
                  <c:v>1.1121903060139358</c:v>
                </c:pt>
                <c:pt idx="24">
                  <c:v>0.52684600207667009</c:v>
                </c:pt>
                <c:pt idx="25">
                  <c:v>6.1383951935483766E-2</c:v>
                </c:pt>
                <c:pt idx="26">
                  <c:v>-0.15099283339162411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0B0-4FEB-9B42-9CA97C467252}"/>
            </c:ext>
          </c:extLst>
        </c:ser>
        <c:ser>
          <c:idx val="12"/>
          <c:order val="12"/>
          <c:tx>
            <c:strRef>
              <c:f>'SATORI (D)'!$CA$1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(D)'!$CA$2:$CA$37</c:f>
              <c:numCache>
                <c:formatCode>0.00000</c:formatCode>
                <c:ptCount val="36"/>
                <c:pt idx="0">
                  <c:v>1.0149070391095993</c:v>
                </c:pt>
                <c:pt idx="1">
                  <c:v>0.9255319770435928</c:v>
                </c:pt>
                <c:pt idx="2">
                  <c:v>0.48666964324734419</c:v>
                </c:pt>
                <c:pt idx="3">
                  <c:v>0.15566361585852184</c:v>
                </c:pt>
                <c:pt idx="4">
                  <c:v>-0.19736844285140231</c:v>
                </c:pt>
                <c:pt idx="5">
                  <c:v>-0.91080390300559566</c:v>
                </c:pt>
                <c:pt idx="6">
                  <c:v>-1.1275595850452829</c:v>
                </c:pt>
                <c:pt idx="7">
                  <c:v>-0.83680089143809833</c:v>
                </c:pt>
                <c:pt idx="8">
                  <c:v>-1.6021629695880553</c:v>
                </c:pt>
                <c:pt idx="9">
                  <c:v>-1.6593824179298764</c:v>
                </c:pt>
                <c:pt idx="10">
                  <c:v>-1.7339015732748613</c:v>
                </c:pt>
                <c:pt idx="11">
                  <c:v>-2.175110485694896</c:v>
                </c:pt>
                <c:pt idx="12">
                  <c:v>-2.1806259012814619</c:v>
                </c:pt>
                <c:pt idx="13">
                  <c:v>-1.5192398866605206</c:v>
                </c:pt>
                <c:pt idx="14">
                  <c:v>-1.2951069375551056</c:v>
                </c:pt>
                <c:pt idx="15">
                  <c:v>-1.8155722948157083</c:v>
                </c:pt>
                <c:pt idx="16">
                  <c:v>-0.90700468898470232</c:v>
                </c:pt>
                <c:pt idx="17">
                  <c:v>-1.0612631576188039</c:v>
                </c:pt>
                <c:pt idx="18">
                  <c:v>-0.86299084809628634</c:v>
                </c:pt>
                <c:pt idx="19">
                  <c:v>-0.83267604047872745</c:v>
                </c:pt>
                <c:pt idx="20">
                  <c:v>-0.95330330223988091</c:v>
                </c:pt>
                <c:pt idx="21">
                  <c:v>-0.51166536786572536</c:v>
                </c:pt>
                <c:pt idx="22">
                  <c:v>-0.50856625033945513</c:v>
                </c:pt>
                <c:pt idx="23">
                  <c:v>-0.30212720784547276</c:v>
                </c:pt>
                <c:pt idx="24">
                  <c:v>-0.46786193933972081</c:v>
                </c:pt>
                <c:pt idx="25">
                  <c:v>-0.22989547097844665</c:v>
                </c:pt>
                <c:pt idx="26">
                  <c:v>0.27056193632930892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90B0-4FEB-9B42-9CA97C467252}"/>
            </c:ext>
          </c:extLst>
        </c:ser>
        <c:ser>
          <c:idx val="13"/>
          <c:order val="13"/>
          <c:tx>
            <c:strRef>
              <c:f>'SATORI (D)'!$CB$1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(D)'!$CB$2:$CB$37</c:f>
              <c:numCache>
                <c:formatCode>0.00000</c:formatCode>
                <c:ptCount val="36"/>
                <c:pt idx="0">
                  <c:v>1.1088194418833601</c:v>
                </c:pt>
                <c:pt idx="1">
                  <c:v>0.76724293492818685</c:v>
                </c:pt>
                <c:pt idx="2">
                  <c:v>0.2878823584530894</c:v>
                </c:pt>
                <c:pt idx="3">
                  <c:v>0.1743843926061347</c:v>
                </c:pt>
                <c:pt idx="4">
                  <c:v>0.7453330020783151</c:v>
                </c:pt>
                <c:pt idx="5">
                  <c:v>0.93511657679852456</c:v>
                </c:pt>
                <c:pt idx="6">
                  <c:v>0.92791559746533392</c:v>
                </c:pt>
                <c:pt idx="7">
                  <c:v>0.65507907760087436</c:v>
                </c:pt>
                <c:pt idx="8">
                  <c:v>0.61844677306775631</c:v>
                </c:pt>
                <c:pt idx="9">
                  <c:v>0.7637327081527665</c:v>
                </c:pt>
                <c:pt idx="10">
                  <c:v>0.39037069179102923</c:v>
                </c:pt>
                <c:pt idx="11">
                  <c:v>1.0576297927634006</c:v>
                </c:pt>
                <c:pt idx="12">
                  <c:v>1.07509156944782</c:v>
                </c:pt>
                <c:pt idx="13">
                  <c:v>2.0651351984891049</c:v>
                </c:pt>
                <c:pt idx="14">
                  <c:v>2.0753041040098026</c:v>
                </c:pt>
                <c:pt idx="15">
                  <c:v>1.6889238793274013</c:v>
                </c:pt>
                <c:pt idx="16">
                  <c:v>1.9906835503941045</c:v>
                </c:pt>
                <c:pt idx="17">
                  <c:v>1.9015519973149841</c:v>
                </c:pt>
                <c:pt idx="18">
                  <c:v>1.9188659865090183</c:v>
                </c:pt>
                <c:pt idx="19">
                  <c:v>1.9824798655306863</c:v>
                </c:pt>
                <c:pt idx="20">
                  <c:v>2.000797306787677</c:v>
                </c:pt>
                <c:pt idx="21">
                  <c:v>1.7866361556204997</c:v>
                </c:pt>
                <c:pt idx="22">
                  <c:v>1.2602043585248448</c:v>
                </c:pt>
                <c:pt idx="23">
                  <c:v>1.0645247184521152</c:v>
                </c:pt>
                <c:pt idx="24">
                  <c:v>0.25632362600860781</c:v>
                </c:pt>
                <c:pt idx="25">
                  <c:v>0.17497141758114862</c:v>
                </c:pt>
                <c:pt idx="26">
                  <c:v>0.34051035026887339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90B0-4FEB-9B42-9CA97C467252}"/>
            </c:ext>
          </c:extLst>
        </c:ser>
        <c:ser>
          <c:idx val="14"/>
          <c:order val="14"/>
          <c:tx>
            <c:strRef>
              <c:f>'SATORI (D)'!$CC$1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(D)'!$CC$2:$CC$37</c:f>
              <c:numCache>
                <c:formatCode>0.00000</c:formatCode>
                <c:ptCount val="36"/>
                <c:pt idx="0">
                  <c:v>-0.58198852455157313</c:v>
                </c:pt>
                <c:pt idx="1">
                  <c:v>-0.81480808703893315</c:v>
                </c:pt>
                <c:pt idx="2">
                  <c:v>-1.205300286638525</c:v>
                </c:pt>
                <c:pt idx="3">
                  <c:v>-0.89744575967066786</c:v>
                </c:pt>
                <c:pt idx="4">
                  <c:v>-0.26830312438160436</c:v>
                </c:pt>
                <c:pt idx="5">
                  <c:v>0.190794790121874</c:v>
                </c:pt>
                <c:pt idx="6">
                  <c:v>-0.23612799904466142</c:v>
                </c:pt>
                <c:pt idx="7">
                  <c:v>-1.2798470217570053</c:v>
                </c:pt>
                <c:pt idx="8">
                  <c:v>-1.0667389920161832</c:v>
                </c:pt>
                <c:pt idx="9">
                  <c:v>-0.82733125571275001</c:v>
                </c:pt>
                <c:pt idx="10">
                  <c:v>-1.1221662188937638</c:v>
                </c:pt>
                <c:pt idx="11">
                  <c:v>-1.2444952888149863</c:v>
                </c:pt>
                <c:pt idx="12">
                  <c:v>-0.57455083603010559</c:v>
                </c:pt>
                <c:pt idx="13">
                  <c:v>0.33015306637717101</c:v>
                </c:pt>
                <c:pt idx="14">
                  <c:v>0.24034594229907991</c:v>
                </c:pt>
                <c:pt idx="15">
                  <c:v>-0.13752193005723234</c:v>
                </c:pt>
                <c:pt idx="16">
                  <c:v>0.74992465880547055</c:v>
                </c:pt>
                <c:pt idx="17">
                  <c:v>1.398430106711166</c:v>
                </c:pt>
                <c:pt idx="18">
                  <c:v>2.0550142244119791</c:v>
                </c:pt>
                <c:pt idx="19">
                  <c:v>1.8902544990115193</c:v>
                </c:pt>
                <c:pt idx="20">
                  <c:v>1.77845917608798</c:v>
                </c:pt>
                <c:pt idx="21">
                  <c:v>1.4866674831907019</c:v>
                </c:pt>
                <c:pt idx="22">
                  <c:v>1.0616559465040207</c:v>
                </c:pt>
                <c:pt idx="23">
                  <c:v>0.88274852993638042</c:v>
                </c:pt>
                <c:pt idx="24">
                  <c:v>0.20836845695997042</c:v>
                </c:pt>
                <c:pt idx="25">
                  <c:v>-0.14566178974025845</c:v>
                </c:pt>
                <c:pt idx="26">
                  <c:v>-0.26443552110586477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90B0-4FEB-9B42-9CA97C467252}"/>
            </c:ext>
          </c:extLst>
        </c:ser>
        <c:ser>
          <c:idx val="15"/>
          <c:order val="15"/>
          <c:tx>
            <c:strRef>
              <c:f>'SATORI (D)'!$CD$1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(D)'!$CD$2:$CD$37</c:f>
              <c:numCache>
                <c:formatCode>0.00000</c:formatCode>
                <c:ptCount val="36"/>
                <c:pt idx="0">
                  <c:v>0.40388778641581069</c:v>
                </c:pt>
                <c:pt idx="1">
                  <c:v>0.3375747890683205</c:v>
                </c:pt>
                <c:pt idx="2">
                  <c:v>9.7034446453247353E-2</c:v>
                </c:pt>
                <c:pt idx="3">
                  <c:v>-0.13785976645350875</c:v>
                </c:pt>
                <c:pt idx="4">
                  <c:v>-0.15819128312817138</c:v>
                </c:pt>
                <c:pt idx="5">
                  <c:v>-0.50900683009439007</c:v>
                </c:pt>
                <c:pt idx="6">
                  <c:v>-0.83081715531613165</c:v>
                </c:pt>
                <c:pt idx="7">
                  <c:v>-0.59541626476335985</c:v>
                </c:pt>
                <c:pt idx="8">
                  <c:v>-1.0970837390386454</c:v>
                </c:pt>
                <c:pt idx="9">
                  <c:v>-1.252385406818691</c:v>
                </c:pt>
                <c:pt idx="10">
                  <c:v>-1.2900831055455431</c:v>
                </c:pt>
                <c:pt idx="11">
                  <c:v>-1.5650019185835626</c:v>
                </c:pt>
                <c:pt idx="12">
                  <c:v>-1.369505202585416</c:v>
                </c:pt>
                <c:pt idx="13">
                  <c:v>-0.4076510149247734</c:v>
                </c:pt>
                <c:pt idx="14">
                  <c:v>0.15697089105413825</c:v>
                </c:pt>
                <c:pt idx="15">
                  <c:v>-0.3681744010296335</c:v>
                </c:pt>
                <c:pt idx="16">
                  <c:v>7.7449359561669373E-2</c:v>
                </c:pt>
                <c:pt idx="17">
                  <c:v>0.23213579609241999</c:v>
                </c:pt>
                <c:pt idx="18">
                  <c:v>0.43758641216359773</c:v>
                </c:pt>
                <c:pt idx="19">
                  <c:v>0.34544174503620284</c:v>
                </c:pt>
                <c:pt idx="20">
                  <c:v>0.14896813667734904</c:v>
                </c:pt>
                <c:pt idx="21">
                  <c:v>0.4654735576744583</c:v>
                </c:pt>
                <c:pt idx="22">
                  <c:v>0.30134009243477661</c:v>
                </c:pt>
                <c:pt idx="23">
                  <c:v>0.31201886920900673</c:v>
                </c:pt>
                <c:pt idx="24">
                  <c:v>-5.1250327932222693E-2</c:v>
                </c:pt>
                <c:pt idx="25">
                  <c:v>6.8164432170407241E-3</c:v>
                </c:pt>
                <c:pt idx="26">
                  <c:v>0.34672890873419143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90B0-4FEB-9B42-9CA97C467252}"/>
            </c:ext>
          </c:extLst>
        </c:ser>
        <c:ser>
          <c:idx val="16"/>
          <c:order val="16"/>
          <c:tx>
            <c:strRef>
              <c:f>'SATORI (D)'!$CE$1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(D)'!$CE$2:$CE$37</c:f>
              <c:numCache>
                <c:formatCode>0.00000</c:formatCode>
                <c:ptCount val="36"/>
                <c:pt idx="0">
                  <c:v>-3.7117777996042332</c:v>
                </c:pt>
                <c:pt idx="1">
                  <c:v>-3.8606727479394789</c:v>
                </c:pt>
                <c:pt idx="2">
                  <c:v>-4.0205865023191496</c:v>
                </c:pt>
                <c:pt idx="3">
                  <c:v>-3.3238311874410518</c:v>
                </c:pt>
                <c:pt idx="4">
                  <c:v>-3.3175866514100769</c:v>
                </c:pt>
                <c:pt idx="5">
                  <c:v>-3.274785303167624</c:v>
                </c:pt>
                <c:pt idx="6">
                  <c:v>-4.3527483495849264</c:v>
                </c:pt>
                <c:pt idx="7">
                  <c:v>-4.0992241838772125</c:v>
                </c:pt>
                <c:pt idx="8">
                  <c:v>-4.819091619609793</c:v>
                </c:pt>
                <c:pt idx="9">
                  <c:v>-4.878889936196587</c:v>
                </c:pt>
                <c:pt idx="10">
                  <c:v>-4.7757085088534978</c:v>
                </c:pt>
                <c:pt idx="11">
                  <c:v>-5.804421017997627</c:v>
                </c:pt>
                <c:pt idx="12">
                  <c:v>-7.0421203968336057</c:v>
                </c:pt>
                <c:pt idx="13">
                  <c:v>-6.246815085920665</c:v>
                </c:pt>
                <c:pt idx="14">
                  <c:v>-5.3719857732215202</c:v>
                </c:pt>
                <c:pt idx="15">
                  <c:v>-4.1597337543003219</c:v>
                </c:pt>
                <c:pt idx="16">
                  <c:v>-2.6757650461061528</c:v>
                </c:pt>
                <c:pt idx="17">
                  <c:v>-2.3006480978811106</c:v>
                </c:pt>
                <c:pt idx="18">
                  <c:v>-1.7179977407445228</c:v>
                </c:pt>
                <c:pt idx="19">
                  <c:v>-1.9625352306287638</c:v>
                </c:pt>
                <c:pt idx="20">
                  <c:v>-2.3182877398756787</c:v>
                </c:pt>
                <c:pt idx="21">
                  <c:v>-1.4796949650789877</c:v>
                </c:pt>
                <c:pt idx="22">
                  <c:v>-0.77909954589519381</c:v>
                </c:pt>
                <c:pt idx="23">
                  <c:v>-0.7669318753957084</c:v>
                </c:pt>
                <c:pt idx="24">
                  <c:v>-1.0152459534970222</c:v>
                </c:pt>
                <c:pt idx="25">
                  <c:v>-0.90471601903169085</c:v>
                </c:pt>
                <c:pt idx="26">
                  <c:v>-0.90297542043984302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90B0-4FEB-9B42-9CA97C467252}"/>
            </c:ext>
          </c:extLst>
        </c:ser>
        <c:ser>
          <c:idx val="17"/>
          <c:order val="17"/>
          <c:tx>
            <c:strRef>
              <c:f>'SATORI (D)'!$CF$1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(D)'!$CF$2:$CF$37</c:f>
              <c:numCache>
                <c:formatCode>0.00000</c:formatCode>
                <c:ptCount val="36"/>
                <c:pt idx="0">
                  <c:v>-6.9819070140874979</c:v>
                </c:pt>
                <c:pt idx="1">
                  <c:v>-7.6360482433892374</c:v>
                </c:pt>
                <c:pt idx="2">
                  <c:v>-8.0818330940988456</c:v>
                </c:pt>
                <c:pt idx="3">
                  <c:v>-7.4958371372609225</c:v>
                </c:pt>
                <c:pt idx="4">
                  <c:v>-7.1781225883423039</c:v>
                </c:pt>
                <c:pt idx="5">
                  <c:v>-6.7497164468119228</c:v>
                </c:pt>
                <c:pt idx="6">
                  <c:v>-8.3085030809443179</c:v>
                </c:pt>
                <c:pt idx="7">
                  <c:v>-8.3333863413926377</c:v>
                </c:pt>
                <c:pt idx="8">
                  <c:v>-8.8629599680937954</c:v>
                </c:pt>
                <c:pt idx="9">
                  <c:v>-9.3260095721489638</c:v>
                </c:pt>
                <c:pt idx="10">
                  <c:v>-8.9340135347175931</c:v>
                </c:pt>
                <c:pt idx="11">
                  <c:v>-9.7664204796767038</c:v>
                </c:pt>
                <c:pt idx="12">
                  <c:v>-11.402248218337249</c:v>
                </c:pt>
                <c:pt idx="13">
                  <c:v>-10.872349094625349</c:v>
                </c:pt>
                <c:pt idx="14">
                  <c:v>-9.0614174003886703</c:v>
                </c:pt>
                <c:pt idx="15">
                  <c:v>-7.6730542075213188</c:v>
                </c:pt>
                <c:pt idx="16">
                  <c:v>-6.3492379648354946</c:v>
                </c:pt>
                <c:pt idx="17">
                  <c:v>-4.670730107827433</c:v>
                </c:pt>
                <c:pt idx="18">
                  <c:v>-3.642981916230132</c:v>
                </c:pt>
                <c:pt idx="19">
                  <c:v>-3.784016371099105</c:v>
                </c:pt>
                <c:pt idx="20">
                  <c:v>-3.7936217905778871</c:v>
                </c:pt>
                <c:pt idx="21">
                  <c:v>-3.3812849128591882</c:v>
                </c:pt>
                <c:pt idx="22">
                  <c:v>-2.2872758201846164</c:v>
                </c:pt>
                <c:pt idx="23">
                  <c:v>-1.148618579151609</c:v>
                </c:pt>
                <c:pt idx="24">
                  <c:v>-1.0266805512041906</c:v>
                </c:pt>
                <c:pt idx="25">
                  <c:v>-0.88380447042765331</c:v>
                </c:pt>
                <c:pt idx="26">
                  <c:v>-1.133847538869565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90B0-4FEB-9B42-9CA97C467252}"/>
            </c:ext>
          </c:extLst>
        </c:ser>
        <c:ser>
          <c:idx val="18"/>
          <c:order val="18"/>
          <c:tx>
            <c:strRef>
              <c:f>'SATORI (D)'!$CG$1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(D)'!$CG$2:$CG$37</c:f>
            </c:numRef>
          </c:yVal>
          <c:smooth val="1"/>
          <c:extLst>
            <c:ext xmlns:c16="http://schemas.microsoft.com/office/drawing/2014/chart" uri="{C3380CC4-5D6E-409C-BE32-E72D297353CC}">
              <c16:uniqueId val="{00000012-90B0-4FEB-9B42-9CA97C467252}"/>
            </c:ext>
          </c:extLst>
        </c:ser>
        <c:ser>
          <c:idx val="19"/>
          <c:order val="19"/>
          <c:tx>
            <c:strRef>
              <c:f>'SATORI (D)'!$CH$1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(D)'!$CH$2:$CH$37</c:f>
            </c:numRef>
          </c:yVal>
          <c:smooth val="1"/>
          <c:extLst>
            <c:ext xmlns:c16="http://schemas.microsoft.com/office/drawing/2014/chart" uri="{C3380CC4-5D6E-409C-BE32-E72D297353CC}">
              <c16:uniqueId val="{00000013-90B0-4FEB-9B42-9CA97C467252}"/>
            </c:ext>
          </c:extLst>
        </c:ser>
        <c:ser>
          <c:idx val="20"/>
          <c:order val="20"/>
          <c:tx>
            <c:strRef>
              <c:f>'SATORI (D)'!$CI$1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(D)'!$CI$2:$CI$37</c:f>
            </c:numRef>
          </c:yVal>
          <c:smooth val="1"/>
          <c:extLst>
            <c:ext xmlns:c16="http://schemas.microsoft.com/office/drawing/2014/chart" uri="{C3380CC4-5D6E-409C-BE32-E72D297353CC}">
              <c16:uniqueId val="{00000014-90B0-4FEB-9B42-9CA97C467252}"/>
            </c:ext>
          </c:extLst>
        </c:ser>
        <c:ser>
          <c:idx val="21"/>
          <c:order val="21"/>
          <c:tx>
            <c:strRef>
              <c:f>'SATORI (D)'!$CJ$1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(D)'!$CJ$2:$CJ$37</c:f>
            </c:numRef>
          </c:yVal>
          <c:smooth val="1"/>
          <c:extLst>
            <c:ext xmlns:c16="http://schemas.microsoft.com/office/drawing/2014/chart" uri="{C3380CC4-5D6E-409C-BE32-E72D297353CC}">
              <c16:uniqueId val="{00000015-90B0-4FEB-9B42-9CA97C467252}"/>
            </c:ext>
          </c:extLst>
        </c:ser>
        <c:ser>
          <c:idx val="22"/>
          <c:order val="22"/>
          <c:tx>
            <c:strRef>
              <c:f>'SATORI (D)'!$CK$1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(D)'!$CK$2:$CK$37</c:f>
            </c:numRef>
          </c:yVal>
          <c:smooth val="1"/>
          <c:extLst>
            <c:ext xmlns:c16="http://schemas.microsoft.com/office/drawing/2014/chart" uri="{C3380CC4-5D6E-409C-BE32-E72D297353CC}">
              <c16:uniqueId val="{00000016-90B0-4FEB-9B42-9CA97C467252}"/>
            </c:ext>
          </c:extLst>
        </c:ser>
        <c:ser>
          <c:idx val="23"/>
          <c:order val="23"/>
          <c:tx>
            <c:strRef>
              <c:f>'SATORI (D)'!$CL$1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(D)'!$CL$2:$CL$37</c:f>
            </c:numRef>
          </c:yVal>
          <c:smooth val="1"/>
          <c:extLst>
            <c:ext xmlns:c16="http://schemas.microsoft.com/office/drawing/2014/chart" uri="{C3380CC4-5D6E-409C-BE32-E72D297353CC}">
              <c16:uniqueId val="{00000017-90B0-4FEB-9B42-9CA97C467252}"/>
            </c:ext>
          </c:extLst>
        </c:ser>
        <c:ser>
          <c:idx val="24"/>
          <c:order val="24"/>
          <c:tx>
            <c:strRef>
              <c:f>'SATORI (D)'!$CM$1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(D)'!$CM$2:$CM$37</c:f>
            </c:numRef>
          </c:yVal>
          <c:smooth val="1"/>
          <c:extLst>
            <c:ext xmlns:c16="http://schemas.microsoft.com/office/drawing/2014/chart" uri="{C3380CC4-5D6E-409C-BE32-E72D297353CC}">
              <c16:uniqueId val="{00000018-90B0-4FEB-9B42-9CA97C467252}"/>
            </c:ext>
          </c:extLst>
        </c:ser>
        <c:ser>
          <c:idx val="25"/>
          <c:order val="25"/>
          <c:tx>
            <c:strRef>
              <c:f>'SATORI (D)'!$CN$1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(D)'!$CN$2:$CN$37</c:f>
            </c:numRef>
          </c:yVal>
          <c:smooth val="1"/>
          <c:extLst>
            <c:ext xmlns:c16="http://schemas.microsoft.com/office/drawing/2014/chart" uri="{C3380CC4-5D6E-409C-BE32-E72D297353CC}">
              <c16:uniqueId val="{00000019-90B0-4FEB-9B42-9CA97C467252}"/>
            </c:ext>
          </c:extLst>
        </c:ser>
        <c:ser>
          <c:idx val="26"/>
          <c:order val="26"/>
          <c:tx>
            <c:strRef>
              <c:f>'SATORI (D)'!$CO$1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(D)'!$CO$2:$CO$37</c:f>
            </c:numRef>
          </c:yVal>
          <c:smooth val="1"/>
          <c:extLst>
            <c:ext xmlns:c16="http://schemas.microsoft.com/office/drawing/2014/chart" uri="{C3380CC4-5D6E-409C-BE32-E72D297353CC}">
              <c16:uniqueId val="{0000001A-90B0-4FEB-9B42-9CA97C467252}"/>
            </c:ext>
          </c:extLst>
        </c:ser>
        <c:ser>
          <c:idx val="27"/>
          <c:order val="27"/>
          <c:tx>
            <c:strRef>
              <c:f>'SATORI (D)'!$CP$1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(D)'!$CP$2:$CP$37</c:f>
            </c:numRef>
          </c:yVal>
          <c:smooth val="1"/>
          <c:extLst>
            <c:ext xmlns:c16="http://schemas.microsoft.com/office/drawing/2014/chart" uri="{C3380CC4-5D6E-409C-BE32-E72D297353CC}">
              <c16:uniqueId val="{0000001B-90B0-4FEB-9B42-9CA97C467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Performance-D1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(D)'!$DY$1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(D)'!$DX$2:$DX$37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(D)'!$DY$2:$DY$37</c:f>
              <c:numCache>
                <c:formatCode>0.00000</c:formatCode>
                <c:ptCount val="36"/>
                <c:pt idx="0">
                  <c:v>17.130460189276139</c:v>
                </c:pt>
                <c:pt idx="1">
                  <c:v>18.417041691198683</c:v>
                </c:pt>
                <c:pt idx="2">
                  <c:v>16.967701427282467</c:v>
                </c:pt>
                <c:pt idx="3">
                  <c:v>13.714061003083197</c:v>
                </c:pt>
                <c:pt idx="4">
                  <c:v>9.5908395702105302</c:v>
                </c:pt>
                <c:pt idx="5">
                  <c:v>5.4371487991861365</c:v>
                </c:pt>
                <c:pt idx="6">
                  <c:v>8.4323106563598031</c:v>
                </c:pt>
                <c:pt idx="7">
                  <c:v>6.9977772992846079</c:v>
                </c:pt>
                <c:pt idx="8">
                  <c:v>2.5423582703446996</c:v>
                </c:pt>
                <c:pt idx="9">
                  <c:v>1.2896295065027159</c:v>
                </c:pt>
                <c:pt idx="10">
                  <c:v>1.5533961817132003</c:v>
                </c:pt>
                <c:pt idx="11">
                  <c:v>1.8931012870339958</c:v>
                </c:pt>
                <c:pt idx="12">
                  <c:v>2.4496212724139239</c:v>
                </c:pt>
                <c:pt idx="13">
                  <c:v>3.9040488837062699</c:v>
                </c:pt>
                <c:pt idx="14">
                  <c:v>0.91389492820921348</c:v>
                </c:pt>
                <c:pt idx="15">
                  <c:v>-7.8494537536107698</c:v>
                </c:pt>
                <c:pt idx="16">
                  <c:v>-5.2859880849673981</c:v>
                </c:pt>
                <c:pt idx="17">
                  <c:v>-6.1594750075299469</c:v>
                </c:pt>
                <c:pt idx="18">
                  <c:v>-5.6635764371436101</c:v>
                </c:pt>
                <c:pt idx="19">
                  <c:v>-3.1658185061551496</c:v>
                </c:pt>
                <c:pt idx="20">
                  <c:v>-3.9231191751403953</c:v>
                </c:pt>
                <c:pt idx="21">
                  <c:v>-4.3415641039005264</c:v>
                </c:pt>
                <c:pt idx="22">
                  <c:v>-3.332312693167379</c:v>
                </c:pt>
                <c:pt idx="23">
                  <c:v>-0.57775120249145084</c:v>
                </c:pt>
                <c:pt idx="24">
                  <c:v>-1.2488203243557927</c:v>
                </c:pt>
                <c:pt idx="25">
                  <c:v>-0.19909182074656745</c:v>
                </c:pt>
                <c:pt idx="26">
                  <c:v>3.0152687511677971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D6-461C-9E58-8C73D2FB25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(D)'!$DH$1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(D)'!$DG$2:$DG$37</c:f>
              <c:numCache>
                <c:formatCode>0.00000</c:formatCode>
                <c:ptCount val="36"/>
                <c:pt idx="0">
                  <c:v>-0.5889829709770017</c:v>
                </c:pt>
                <c:pt idx="1">
                  <c:v>-0.57647690185522216</c:v>
                </c:pt>
                <c:pt idx="2">
                  <c:v>-0.3789775809885686</c:v>
                </c:pt>
                <c:pt idx="3">
                  <c:v>-0.28289003129444062</c:v>
                </c:pt>
                <c:pt idx="4">
                  <c:v>5.0467670291925115E-2</c:v>
                </c:pt>
                <c:pt idx="5">
                  <c:v>0.41466025533090206</c:v>
                </c:pt>
                <c:pt idx="6">
                  <c:v>0.3045529918974586</c:v>
                </c:pt>
                <c:pt idx="7">
                  <c:v>0.24910403776686951</c:v>
                </c:pt>
                <c:pt idx="8">
                  <c:v>0.51106891991906012</c:v>
                </c:pt>
                <c:pt idx="9">
                  <c:v>0.41638091688903822</c:v>
                </c:pt>
                <c:pt idx="10">
                  <c:v>0.45496959074921028</c:v>
                </c:pt>
                <c:pt idx="11">
                  <c:v>0.61561858360360433</c:v>
                </c:pt>
                <c:pt idx="12">
                  <c:v>0.816570384189786</c:v>
                </c:pt>
                <c:pt idx="13">
                  <c:v>1.1167316756789389</c:v>
                </c:pt>
                <c:pt idx="14">
                  <c:v>1.4576768072996265</c:v>
                </c:pt>
                <c:pt idx="15">
                  <c:v>1.4620015056519122</c:v>
                </c:pt>
                <c:pt idx="16">
                  <c:v>0.98764912338906652</c:v>
                </c:pt>
                <c:pt idx="17">
                  <c:v>1.2959301139312653</c:v>
                </c:pt>
                <c:pt idx="18">
                  <c:v>1.3031492880577447</c:v>
                </c:pt>
                <c:pt idx="19">
                  <c:v>1.1824435570652789</c:v>
                </c:pt>
                <c:pt idx="20">
                  <c:v>1.1101123960778216</c:v>
                </c:pt>
                <c:pt idx="21">
                  <c:v>0.97902137110533705</c:v>
                </c:pt>
                <c:pt idx="22">
                  <c:v>0.8114369803942979</c:v>
                </c:pt>
                <c:pt idx="23">
                  <c:v>0.61517468674229825</c:v>
                </c:pt>
                <c:pt idx="24">
                  <c:v>0.41925620048571927</c:v>
                </c:pt>
                <c:pt idx="25">
                  <c:v>0.24196029142466291</c:v>
                </c:pt>
                <c:pt idx="26">
                  <c:v>7.6063425194541706E-2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(D)'!$DH$2:$DH$37</c:f>
              <c:numCache>
                <c:formatCode>0.00000</c:formatCode>
                <c:ptCount val="36"/>
                <c:pt idx="0">
                  <c:v>1.5352604407336035</c:v>
                </c:pt>
                <c:pt idx="1">
                  <c:v>1.7094488809552963</c:v>
                </c:pt>
                <c:pt idx="2">
                  <c:v>1.7285795566639497</c:v>
                </c:pt>
                <c:pt idx="3">
                  <c:v>1.4195577067678424</c:v>
                </c:pt>
                <c:pt idx="4">
                  <c:v>1.2425665563253676</c:v>
                </c:pt>
                <c:pt idx="5">
                  <c:v>1.0798947549841511</c:v>
                </c:pt>
                <c:pt idx="6">
                  <c:v>1.3487404402095546</c:v>
                </c:pt>
                <c:pt idx="7">
                  <c:v>1.1157732613690872</c:v>
                </c:pt>
                <c:pt idx="8">
                  <c:v>0.82354688244665586</c:v>
                </c:pt>
                <c:pt idx="9">
                  <c:v>0.57530526060139664</c:v>
                </c:pt>
                <c:pt idx="10">
                  <c:v>0.63999305861540901</c:v>
                </c:pt>
                <c:pt idx="11">
                  <c:v>0.8496213178357388</c:v>
                </c:pt>
                <c:pt idx="12">
                  <c:v>1.12106648126696</c:v>
                </c:pt>
                <c:pt idx="13">
                  <c:v>1.6025597046956686</c:v>
                </c:pt>
                <c:pt idx="14">
                  <c:v>1.5741508014775245</c:v>
                </c:pt>
                <c:pt idx="15">
                  <c:v>0.46797532303659684</c:v>
                </c:pt>
                <c:pt idx="16">
                  <c:v>0.31879348174467176</c:v>
                </c:pt>
                <c:pt idx="17">
                  <c:v>0.51975086676166016</c:v>
                </c:pt>
                <c:pt idx="18">
                  <c:v>0.59113654959573214</c:v>
                </c:pt>
                <c:pt idx="19">
                  <c:v>0.78490273839459412</c:v>
                </c:pt>
                <c:pt idx="20">
                  <c:v>0.61080988887485022</c:v>
                </c:pt>
                <c:pt idx="21">
                  <c:v>0.43306656093172091</c:v>
                </c:pt>
                <c:pt idx="22">
                  <c:v>0.39295800042796186</c:v>
                </c:pt>
                <c:pt idx="23">
                  <c:v>0.542472744984692</c:v>
                </c:pt>
                <c:pt idx="24">
                  <c:v>0.27074088944429525</c:v>
                </c:pt>
                <c:pt idx="25">
                  <c:v>0.21448888044397704</c:v>
                </c:pt>
                <c:pt idx="26">
                  <c:v>0.45298973223273831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41-43CB-B54D-0AD9706607CF}"/>
            </c:ext>
          </c:extLst>
        </c:ser>
        <c:ser>
          <c:idx val="1"/>
          <c:order val="1"/>
          <c:tx>
            <c:strRef>
              <c:f>'SATORI (D)'!$DJ$1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(D)'!$DI$2:$DI$37</c:f>
              <c:numCache>
                <c:formatCode>0.00000</c:formatCode>
                <c:ptCount val="36"/>
                <c:pt idx="0">
                  <c:v>-4.7010006628037617</c:v>
                </c:pt>
                <c:pt idx="1">
                  <c:v>-4.7726246486198658</c:v>
                </c:pt>
                <c:pt idx="2">
                  <c:v>-4.4962877517895521</c:v>
                </c:pt>
                <c:pt idx="3">
                  <c:v>-3.4706526692751782</c:v>
                </c:pt>
                <c:pt idx="4">
                  <c:v>-3.1115261204697573</c:v>
                </c:pt>
                <c:pt idx="5">
                  <c:v>-2.3608442033083739</c:v>
                </c:pt>
                <c:pt idx="6">
                  <c:v>-3.2220262768498502</c:v>
                </c:pt>
                <c:pt idx="7">
                  <c:v>-3.2590303357325574</c:v>
                </c:pt>
                <c:pt idx="8">
                  <c:v>-3.2127966475556722</c:v>
                </c:pt>
                <c:pt idx="9">
                  <c:v>-3.2139525031199554</c:v>
                </c:pt>
                <c:pt idx="10">
                  <c:v>-3.0385705859186856</c:v>
                </c:pt>
                <c:pt idx="11">
                  <c:v>-3.6211669696431272</c:v>
                </c:pt>
                <c:pt idx="12">
                  <c:v>-4.8535882250915101</c:v>
                </c:pt>
                <c:pt idx="13">
                  <c:v>-4.7221775550144223</c:v>
                </c:pt>
                <c:pt idx="14">
                  <c:v>-4.0682551864399956</c:v>
                </c:pt>
                <c:pt idx="15">
                  <c:v>-2.3464676433380296</c:v>
                </c:pt>
                <c:pt idx="16">
                  <c:v>-1.7656218863593396</c:v>
                </c:pt>
                <c:pt idx="17">
                  <c:v>-1.2365633160636489</c:v>
                </c:pt>
                <c:pt idx="18">
                  <c:v>-0.85061107483221554</c:v>
                </c:pt>
                <c:pt idx="19">
                  <c:v>-1.1255943834585489</c:v>
                </c:pt>
                <c:pt idx="20">
                  <c:v>-1.3615263715258312</c:v>
                </c:pt>
                <c:pt idx="21">
                  <c:v>-0.96159415664699854</c:v>
                </c:pt>
                <c:pt idx="22">
                  <c:v>-0.26490594986185589</c:v>
                </c:pt>
                <c:pt idx="23">
                  <c:v>-0.45936881644684163</c:v>
                </c:pt>
                <c:pt idx="24">
                  <c:v>-0.54036689274253569</c:v>
                </c:pt>
                <c:pt idx="25">
                  <c:v>-0.66877853089205974</c:v>
                </c:pt>
                <c:pt idx="26">
                  <c:v>-1.170284179906022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(D)'!$DJ$2:$DJ$37</c:f>
              <c:numCache>
                <c:formatCode>0.00000</c:formatCode>
                <c:ptCount val="36"/>
                <c:pt idx="0">
                  <c:v>-2.6084504292291242</c:v>
                </c:pt>
                <c:pt idx="1">
                  <c:v>-2.5178869347419166</c:v>
                </c:pt>
                <c:pt idx="2">
                  <c:v>-2.4221498645066686</c:v>
                </c:pt>
                <c:pt idx="3">
                  <c:v>-1.7969538373242342</c:v>
                </c:pt>
                <c:pt idx="4">
                  <c:v>-1.9508757036530375</c:v>
                </c:pt>
                <c:pt idx="5">
                  <c:v>-1.7158347542965304</c:v>
                </c:pt>
                <c:pt idx="6">
                  <c:v>-2.1986831399034545</c:v>
                </c:pt>
                <c:pt idx="7">
                  <c:v>-2.414329605931246</c:v>
                </c:pt>
                <c:pt idx="8">
                  <c:v>-2.9239457021873587</c:v>
                </c:pt>
                <c:pt idx="9">
                  <c:v>-3.0785493978510439</c:v>
                </c:pt>
                <c:pt idx="10">
                  <c:v>-2.8735382490488863</c:v>
                </c:pt>
                <c:pt idx="11">
                  <c:v>-3.414337229074377</c:v>
                </c:pt>
                <c:pt idx="12">
                  <c:v>-4.5631695898227944</c:v>
                </c:pt>
                <c:pt idx="13">
                  <c:v>-4.2567530561866054</c:v>
                </c:pt>
                <c:pt idx="14">
                  <c:v>-3.9779009439619859</c:v>
                </c:pt>
                <c:pt idx="15">
                  <c:v>-3.3377803507623409</c:v>
                </c:pt>
                <c:pt idx="16">
                  <c:v>-2.4289285125463858</c:v>
                </c:pt>
                <c:pt idx="17">
                  <c:v>-2.0161858691078351</c:v>
                </c:pt>
                <c:pt idx="18">
                  <c:v>-1.5687889059842006</c:v>
                </c:pt>
                <c:pt idx="19">
                  <c:v>-1.5270909658624361</c:v>
                </c:pt>
                <c:pt idx="20">
                  <c:v>-1.8596921582063404</c:v>
                </c:pt>
                <c:pt idx="21">
                  <c:v>-1.5115724216933735</c:v>
                </c:pt>
                <c:pt idx="22">
                  <c:v>-0.68874835719057448</c:v>
                </c:pt>
                <c:pt idx="23">
                  <c:v>-0.53805579066909393</c:v>
                </c:pt>
                <c:pt idx="24">
                  <c:v>-0.70140042717558904</c:v>
                </c:pt>
                <c:pt idx="25">
                  <c:v>-0.69726529092285683</c:v>
                </c:pt>
                <c:pt idx="26">
                  <c:v>-0.79764300086231099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541-43CB-B54D-0AD9706607CF}"/>
            </c:ext>
          </c:extLst>
        </c:ser>
        <c:ser>
          <c:idx val="2"/>
          <c:order val="2"/>
          <c:tx>
            <c:strRef>
              <c:f>'SATORI (D)'!$DL$1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(D)'!$DK$2:$DK$37</c:f>
              <c:numCache>
                <c:formatCode>0.00000</c:formatCode>
                <c:ptCount val="36"/>
                <c:pt idx="0">
                  <c:v>-1.0149070391095993</c:v>
                </c:pt>
                <c:pt idx="1">
                  <c:v>-0.9255319770435928</c:v>
                </c:pt>
                <c:pt idx="2">
                  <c:v>-0.48666964324734419</c:v>
                </c:pt>
                <c:pt idx="3">
                  <c:v>-0.15566361585852184</c:v>
                </c:pt>
                <c:pt idx="4">
                  <c:v>0.19736844285140231</c:v>
                </c:pt>
                <c:pt idx="5">
                  <c:v>0.91080390300559566</c:v>
                </c:pt>
                <c:pt idx="6">
                  <c:v>1.1275595850452829</c:v>
                </c:pt>
                <c:pt idx="7">
                  <c:v>0.83680089143809833</c:v>
                </c:pt>
                <c:pt idx="8">
                  <c:v>1.6021629695880553</c:v>
                </c:pt>
                <c:pt idx="9">
                  <c:v>1.6593824179298764</c:v>
                </c:pt>
                <c:pt idx="10">
                  <c:v>1.7339015732748613</c:v>
                </c:pt>
                <c:pt idx="11">
                  <c:v>2.175110485694896</c:v>
                </c:pt>
                <c:pt idx="12">
                  <c:v>2.1806259012814619</c:v>
                </c:pt>
                <c:pt idx="13">
                  <c:v>1.5192398866605206</c:v>
                </c:pt>
                <c:pt idx="14">
                  <c:v>1.2951069375551056</c:v>
                </c:pt>
                <c:pt idx="15">
                  <c:v>1.8155722948157083</c:v>
                </c:pt>
                <c:pt idx="16">
                  <c:v>0.90700468898470232</c:v>
                </c:pt>
                <c:pt idx="17">
                  <c:v>1.0612631576188039</c:v>
                </c:pt>
                <c:pt idx="18">
                  <c:v>0.86299084809628634</c:v>
                </c:pt>
                <c:pt idx="19">
                  <c:v>0.83267604047872745</c:v>
                </c:pt>
                <c:pt idx="20">
                  <c:v>0.95330330223988091</c:v>
                </c:pt>
                <c:pt idx="21">
                  <c:v>0.51166536786572536</c:v>
                </c:pt>
                <c:pt idx="22">
                  <c:v>0.50856625033945513</c:v>
                </c:pt>
                <c:pt idx="23">
                  <c:v>0.30212720784547276</c:v>
                </c:pt>
                <c:pt idx="24">
                  <c:v>0.46786193933972081</c:v>
                </c:pt>
                <c:pt idx="25">
                  <c:v>0.22989547097844665</c:v>
                </c:pt>
                <c:pt idx="26">
                  <c:v>-0.27056193632930892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(D)'!$DL$2:$DL$37</c:f>
              <c:numCache>
                <c:formatCode>0.00000</c:formatCode>
                <c:ptCount val="36"/>
                <c:pt idx="0">
                  <c:v>1.1498804924335098</c:v>
                </c:pt>
                <c:pt idx="1">
                  <c:v>1.3940836036750677</c:v>
                </c:pt>
                <c:pt idx="2">
                  <c:v>1.6540458974324599</c:v>
                </c:pt>
                <c:pt idx="3">
                  <c:v>1.5673166450620599</c:v>
                </c:pt>
                <c:pt idx="4">
                  <c:v>1.3912044968460693</c:v>
                </c:pt>
                <c:pt idx="5">
                  <c:v>1.5997550703601471</c:v>
                </c:pt>
                <c:pt idx="6">
                  <c:v>2.1763690069442636</c:v>
                </c:pt>
                <c:pt idx="7">
                  <c:v>1.7270465010352101</c:v>
                </c:pt>
                <c:pt idx="8">
                  <c:v>1.9267358731230719</c:v>
                </c:pt>
                <c:pt idx="9">
                  <c:v>1.8379062040135916</c:v>
                </c:pt>
                <c:pt idx="10">
                  <c:v>1.9336569717712637</c:v>
                </c:pt>
                <c:pt idx="11">
                  <c:v>2.4066597842204214</c:v>
                </c:pt>
                <c:pt idx="12">
                  <c:v>2.4949066897730079</c:v>
                </c:pt>
                <c:pt idx="13">
                  <c:v>2.0118712671753469</c:v>
                </c:pt>
                <c:pt idx="14">
                  <c:v>1.4109040856175383</c:v>
                </c:pt>
                <c:pt idx="15">
                  <c:v>0.83718197488679968</c:v>
                </c:pt>
                <c:pt idx="16">
                  <c:v>0.2446228080321205</c:v>
                </c:pt>
                <c:pt idx="17">
                  <c:v>0.29209998931186276</c:v>
                </c:pt>
                <c:pt idx="18">
                  <c:v>0.15422633387715196</c:v>
                </c:pt>
                <c:pt idx="19">
                  <c:v>0.42803331773319864</c:v>
                </c:pt>
                <c:pt idx="20">
                  <c:v>0.46239554298351115</c:v>
                </c:pt>
                <c:pt idx="21">
                  <c:v>-3.1769734463498497E-2</c:v>
                </c:pt>
                <c:pt idx="22">
                  <c:v>9.1916103508058622E-2</c:v>
                </c:pt>
                <c:pt idx="23">
                  <c:v>0.23679889095788395</c:v>
                </c:pt>
                <c:pt idx="24">
                  <c:v>0.31393100046173794</c:v>
                </c:pt>
                <c:pt idx="25">
                  <c:v>0.207018514271266</c:v>
                </c:pt>
                <c:pt idx="26">
                  <c:v>0.10594355232302753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541-43CB-B54D-0AD9706607CF}"/>
            </c:ext>
          </c:extLst>
        </c:ser>
        <c:ser>
          <c:idx val="3"/>
          <c:order val="3"/>
          <c:tx>
            <c:strRef>
              <c:f>'SATORI (D)'!$DN$1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(D)'!$DM$2:$DM$37</c:f>
              <c:numCache>
                <c:formatCode>0.00000</c:formatCode>
                <c:ptCount val="36"/>
                <c:pt idx="0">
                  <c:v>7.039806536928167E-2</c:v>
                </c:pt>
                <c:pt idx="1">
                  <c:v>-0.1861224488579703</c:v>
                </c:pt>
                <c:pt idx="2">
                  <c:v>-0.2246598078631199</c:v>
                </c:pt>
                <c:pt idx="3">
                  <c:v>-6.2997365618769896E-3</c:v>
                </c:pt>
                <c:pt idx="4">
                  <c:v>0.92172233207278076</c:v>
                </c:pt>
                <c:pt idx="5">
                  <c:v>1.8248446847292055</c:v>
                </c:pt>
                <c:pt idx="6">
                  <c:v>2.0355624896257418</c:v>
                </c:pt>
                <c:pt idx="7">
                  <c:v>1.4747894670289923</c:v>
                </c:pt>
                <c:pt idx="8">
                  <c:v>2.2005824490056405</c:v>
                </c:pt>
                <c:pt idx="9">
                  <c:v>2.4090362392128748</c:v>
                </c:pt>
                <c:pt idx="10">
                  <c:v>2.1041350666327494</c:v>
                </c:pt>
                <c:pt idx="11">
                  <c:v>3.222336128080125</c:v>
                </c:pt>
                <c:pt idx="12">
                  <c:v>3.2468842885023439</c:v>
                </c:pt>
                <c:pt idx="13">
                  <c:v>3.5809308702975757</c:v>
                </c:pt>
                <c:pt idx="14">
                  <c:v>3.3643476624084139</c:v>
                </c:pt>
                <c:pt idx="15">
                  <c:v>3.4935426545644415</c:v>
                </c:pt>
                <c:pt idx="16">
                  <c:v>2.8866482113939109</c:v>
                </c:pt>
                <c:pt idx="17">
                  <c:v>2.9493642758843843</c:v>
                </c:pt>
                <c:pt idx="18">
                  <c:v>2.7707137742887444</c:v>
                </c:pt>
                <c:pt idx="19">
                  <c:v>2.811957816815934</c:v>
                </c:pt>
                <c:pt idx="20">
                  <c:v>2.9404374742035069</c:v>
                </c:pt>
                <c:pt idx="21">
                  <c:v>2.2900606203255665</c:v>
                </c:pt>
                <c:pt idx="22">
                  <c:v>1.762527630619263</c:v>
                </c:pt>
                <c:pt idx="23">
                  <c:v>1.3605644847683565</c:v>
                </c:pt>
                <c:pt idx="24">
                  <c:v>0.73818267746734789</c:v>
                </c:pt>
                <c:pt idx="25">
                  <c:v>0.41011825754489345</c:v>
                </c:pt>
                <c:pt idx="26">
                  <c:v>6.8314126173206743E-2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(D)'!$DN$2:$DN$37</c:f>
              <c:numCache>
                <c:formatCode>0.00000</c:formatCode>
                <c:ptCount val="36"/>
                <c:pt idx="0">
                  <c:v>2.2531127648133769</c:v>
                </c:pt>
                <c:pt idx="1">
                  <c:v>2.1533069325234724</c:v>
                </c:pt>
                <c:pt idx="2">
                  <c:v>1.9338584635099494</c:v>
                </c:pt>
                <c:pt idx="3">
                  <c:v>1.7467961316686624</c:v>
                </c:pt>
                <c:pt idx="4">
                  <c:v>2.1617062848709154</c:v>
                </c:pt>
                <c:pt idx="5">
                  <c:v>2.538898791634467</c:v>
                </c:pt>
                <c:pt idx="6">
                  <c:v>3.1205657977566532</c:v>
                </c:pt>
                <c:pt idx="7">
                  <c:v>2.3770624000909577</c:v>
                </c:pt>
                <c:pt idx="8">
                  <c:v>2.5487625934795974</c:v>
                </c:pt>
                <c:pt idx="9">
                  <c:v>2.6011488791113133</c:v>
                </c:pt>
                <c:pt idx="10">
                  <c:v>2.3300545394886649</c:v>
                </c:pt>
                <c:pt idx="11">
                  <c:v>3.4771953417710106</c:v>
                </c:pt>
                <c:pt idx="12">
                  <c:v>3.5714083944527975</c:v>
                </c:pt>
                <c:pt idx="13">
                  <c:v>4.0827777609361586</c:v>
                </c:pt>
                <c:pt idx="14">
                  <c:v>3.498006865818994</c:v>
                </c:pt>
                <c:pt idx="15">
                  <c:v>2.5279929482280026</c:v>
                </c:pt>
                <c:pt idx="16">
                  <c:v>2.2343213890495655</c:v>
                </c:pt>
                <c:pt idx="17">
                  <c:v>2.1920051172340078</c:v>
                </c:pt>
                <c:pt idx="18">
                  <c:v>2.0751968280820488</c:v>
                </c:pt>
                <c:pt idx="19">
                  <c:v>2.4231959837166825</c:v>
                </c:pt>
                <c:pt idx="20">
                  <c:v>2.4641912029506758</c:v>
                </c:pt>
                <c:pt idx="21">
                  <c:v>1.7532101583974762</c:v>
                </c:pt>
                <c:pt idx="22">
                  <c:v>1.3514862201617774</c:v>
                </c:pt>
                <c:pt idx="23">
                  <c:v>1.2941513172346377</c:v>
                </c:pt>
                <c:pt idx="24">
                  <c:v>0.57847901528850432</c:v>
                </c:pt>
                <c:pt idx="25">
                  <c:v>0.38274575417541234</c:v>
                </c:pt>
                <c:pt idx="26">
                  <c:v>0.44671819681550151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541-43CB-B54D-0AD9706607CF}"/>
            </c:ext>
          </c:extLst>
        </c:ser>
        <c:ser>
          <c:idx val="4"/>
          <c:order val="4"/>
          <c:tx>
            <c:strRef>
              <c:f>'SATORI (D)'!$DP$1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(D)'!$DO$2:$DO$37</c:f>
              <c:numCache>
                <c:formatCode>0.00000</c:formatCode>
                <c:ptCount val="36"/>
                <c:pt idx="0">
                  <c:v>-1.6478148428846304</c:v>
                </c:pt>
                <c:pt idx="1">
                  <c:v>-1.8053591014521189</c:v>
                </c:pt>
                <c:pt idx="2">
                  <c:v>-1.7501068913637134</c:v>
                </c:pt>
                <c:pt idx="3">
                  <c:v>-1.104059231037581</c:v>
                </c:pt>
                <c:pt idx="4">
                  <c:v>-0.11299532393330391</c:v>
                </c:pt>
                <c:pt idx="5">
                  <c:v>1.056771224085614</c:v>
                </c:pt>
                <c:pt idx="6">
                  <c:v>0.84332761155248026</c:v>
                </c:pt>
                <c:pt idx="7">
                  <c:v>-0.47475696965536407</c:v>
                </c:pt>
                <c:pt idx="8">
                  <c:v>0.50899124397753104</c:v>
                </c:pt>
                <c:pt idx="9">
                  <c:v>0.81736055373033856</c:v>
                </c:pt>
                <c:pt idx="10">
                  <c:v>0.5878616263883607</c:v>
                </c:pt>
                <c:pt idx="11">
                  <c:v>0.89479942144066693</c:v>
                </c:pt>
                <c:pt idx="12">
                  <c:v>1.5919034999194668</c:v>
                </c:pt>
                <c:pt idx="13">
                  <c:v>1.8310009910795904</c:v>
                </c:pt>
                <c:pt idx="14">
                  <c:v>1.5221414214686757</c:v>
                </c:pt>
                <c:pt idx="15">
                  <c:v>1.6515597114664993</c:v>
                </c:pt>
                <c:pt idx="16">
                  <c:v>1.6330748018745027</c:v>
                </c:pt>
                <c:pt idx="17">
                  <c:v>2.4411248094976243</c:v>
                </c:pt>
                <c:pt idx="18">
                  <c:v>2.9057423934861895</c:v>
                </c:pt>
                <c:pt idx="19">
                  <c:v>2.7104066708289469</c:v>
                </c:pt>
                <c:pt idx="20">
                  <c:v>2.7205991385952588</c:v>
                </c:pt>
                <c:pt idx="21">
                  <c:v>1.9887396421280812</c:v>
                </c:pt>
                <c:pt idx="22">
                  <c:v>1.557227502700975</c:v>
                </c:pt>
                <c:pt idx="23">
                  <c:v>1.1791999367970474</c:v>
                </c:pt>
                <c:pt idx="24">
                  <c:v>0.6815550122759787</c:v>
                </c:pt>
                <c:pt idx="25">
                  <c:v>7.6085939173032968E-2</c:v>
                </c:pt>
                <c:pt idx="26">
                  <c:v>-0.5339107724349893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(D)'!$DP$2:$DP$37</c:f>
              <c:numCache>
                <c:formatCode>0.00000</c:formatCode>
                <c:ptCount val="36"/>
                <c:pt idx="0">
                  <c:v>0.55964995011889707</c:v>
                </c:pt>
                <c:pt idx="1">
                  <c:v>0.57234976514332803</c:v>
                </c:pt>
                <c:pt idx="2">
                  <c:v>0.43577853246354759</c:v>
                </c:pt>
                <c:pt idx="3">
                  <c:v>0.66966827330930268</c:v>
                </c:pt>
                <c:pt idx="4">
                  <c:v>1.1385486703752314</c:v>
                </c:pt>
                <c:pt idx="5">
                  <c:v>1.7882074767703542</c:v>
                </c:pt>
                <c:pt idx="6">
                  <c:v>1.9591932588124983</c:v>
                </c:pt>
                <c:pt idx="7">
                  <c:v>0.43445074569627568</c:v>
                </c:pt>
                <c:pt idx="8">
                  <c:v>0.85559493665902586</c:v>
                </c:pt>
                <c:pt idx="9">
                  <c:v>0.99962220288957071</c:v>
                </c:pt>
                <c:pt idx="10">
                  <c:v>0.81126302065481681</c:v>
                </c:pt>
                <c:pt idx="11">
                  <c:v>1.1783673957268435</c:v>
                </c:pt>
                <c:pt idx="12">
                  <c:v>1.9174983041443217</c:v>
                </c:pt>
                <c:pt idx="13">
                  <c:v>2.3421716636197449</c:v>
                </c:pt>
                <c:pt idx="14">
                  <c:v>1.6513376385422063</c:v>
                </c:pt>
                <c:pt idx="15">
                  <c:v>0.69365328292538431</c:v>
                </c:pt>
                <c:pt idx="16">
                  <c:v>0.99981162780149591</c:v>
                </c:pt>
                <c:pt idx="17">
                  <c:v>1.6876145886294767</c:v>
                </c:pt>
                <c:pt idx="18">
                  <c:v>2.2116239936480171</c:v>
                </c:pt>
                <c:pt idx="19">
                  <c:v>2.3266107864385686</c:v>
                </c:pt>
                <c:pt idx="20">
                  <c:v>2.2419262093457468</c:v>
                </c:pt>
                <c:pt idx="21">
                  <c:v>1.460680483492965</c:v>
                </c:pt>
                <c:pt idx="22">
                  <c:v>1.1522671657449333</c:v>
                </c:pt>
                <c:pt idx="23">
                  <c:v>1.1121903060139358</c:v>
                </c:pt>
                <c:pt idx="24">
                  <c:v>0.52684600207667009</c:v>
                </c:pt>
                <c:pt idx="25">
                  <c:v>6.1383951935483766E-2</c:v>
                </c:pt>
                <c:pt idx="26">
                  <c:v>-0.15099283339162411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541-43CB-B54D-0AD9706607CF}"/>
            </c:ext>
          </c:extLst>
        </c:ser>
        <c:ser>
          <c:idx val="5"/>
          <c:order val="5"/>
          <c:tx>
            <c:strRef>
              <c:f>'SATORI (D)'!$DR$1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(D)'!$DQ$2:$DQ$37</c:f>
              <c:numCache>
                <c:formatCode>0.00000</c:formatCode>
                <c:ptCount val="36"/>
                <c:pt idx="0">
                  <c:v>-7.9608301321315507</c:v>
                </c:pt>
                <c:pt idx="1">
                  <c:v>-8.539744169248138</c:v>
                </c:pt>
                <c:pt idx="2">
                  <c:v>-8.5466282820925095</c:v>
                </c:pt>
                <c:pt idx="3">
                  <c:v>-7.6325889101876214</c:v>
                </c:pt>
                <c:pt idx="4">
                  <c:v>-6.9577830185088665</c:v>
                </c:pt>
                <c:pt idx="5">
                  <c:v>-5.8290543621983861</c:v>
                </c:pt>
                <c:pt idx="6">
                  <c:v>-7.1656550926109706</c:v>
                </c:pt>
                <c:pt idx="7">
                  <c:v>-7.4843563170229306</c:v>
                </c:pt>
                <c:pt idx="8">
                  <c:v>-7.2506447877070848</c:v>
                </c:pt>
                <c:pt idx="9">
                  <c:v>-7.6380354930582488</c:v>
                </c:pt>
                <c:pt idx="10">
                  <c:v>-7.1919433821666878</c:v>
                </c:pt>
                <c:pt idx="11">
                  <c:v>-7.5777305993867046</c:v>
                </c:pt>
                <c:pt idx="12">
                  <c:v>-9.2083875033552722</c:v>
                </c:pt>
                <c:pt idx="13">
                  <c:v>-9.3422609547932076</c:v>
                </c:pt>
                <c:pt idx="14">
                  <c:v>-7.7477434738031778</c:v>
                </c:pt>
                <c:pt idx="15">
                  <c:v>-5.8539512016542439</c:v>
                </c:pt>
                <c:pt idx="16">
                  <c:v>-5.4338391717796144</c:v>
                </c:pt>
                <c:pt idx="17">
                  <c:v>-3.6047544996924783</c:v>
                </c:pt>
                <c:pt idx="18">
                  <c:v>-2.7737691328254228</c:v>
                </c:pt>
                <c:pt idx="19">
                  <c:v>-2.943499839776575</c:v>
                </c:pt>
                <c:pt idx="20">
                  <c:v>-2.8337182337171427</c:v>
                </c:pt>
                <c:pt idx="21">
                  <c:v>-2.8629585697860827</c:v>
                </c:pt>
                <c:pt idx="22">
                  <c:v>-1.7716638623726002</c:v>
                </c:pt>
                <c:pt idx="23">
                  <c:v>-0.83763780896693052</c:v>
                </c:pt>
                <c:pt idx="24">
                  <c:v>-0.55004615102960741</c:v>
                </c:pt>
                <c:pt idx="25">
                  <c:v>-0.64600202403739959</c:v>
                </c:pt>
                <c:pt idx="26">
                  <c:v>-1.3995858690437013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(D)'!$DR$2:$DR$37</c:f>
              <c:numCache>
                <c:formatCode>0.00000</c:formatCode>
                <c:ptCount val="36"/>
                <c:pt idx="0">
                  <c:v>-5.8769612858800189</c:v>
                </c:pt>
                <c:pt idx="1">
                  <c:v>-6.2924421138783639</c:v>
                </c:pt>
                <c:pt idx="2">
                  <c:v>-6.4804713326293335</c:v>
                </c:pt>
                <c:pt idx="3">
                  <c:v>-5.9691118918633288</c:v>
                </c:pt>
                <c:pt idx="4">
                  <c:v>-5.8050817889605515</c:v>
                </c:pt>
                <c:pt idx="5">
                  <c:v>-5.1902401091666759</c:v>
                </c:pt>
                <c:pt idx="6">
                  <c:v>-6.1506405431345357</c:v>
                </c:pt>
                <c:pt idx="7">
                  <c:v>-6.6449847008290845</c:v>
                </c:pt>
                <c:pt idx="8">
                  <c:v>-6.9637905151510955</c:v>
                </c:pt>
                <c:pt idx="9">
                  <c:v>-7.5281302439180591</c:v>
                </c:pt>
                <c:pt idx="10">
                  <c:v>-7.0287925038099859</c:v>
                </c:pt>
                <c:pt idx="11">
                  <c:v>-7.3726045116471441</c:v>
                </c:pt>
                <c:pt idx="12">
                  <c:v>-8.9379563672545252</c:v>
                </c:pt>
                <c:pt idx="13">
                  <c:v>-8.8784197395611297</c:v>
                </c:pt>
                <c:pt idx="14">
                  <c:v>-7.6565652484794775</c:v>
                </c:pt>
                <c:pt idx="15">
                  <c:v>-6.844268477809039</c:v>
                </c:pt>
                <c:pt idx="16">
                  <c:v>-6.106949804613067</c:v>
                </c:pt>
                <c:pt idx="17">
                  <c:v>-4.3811210920534425</c:v>
                </c:pt>
                <c:pt idx="18">
                  <c:v>-3.4890085190855955</c:v>
                </c:pt>
                <c:pt idx="19">
                  <c:v>-3.3434350314323869</c:v>
                </c:pt>
                <c:pt idx="20">
                  <c:v>-3.3302572754844153</c:v>
                </c:pt>
                <c:pt idx="21">
                  <c:v>-3.4117861822776887</c:v>
                </c:pt>
                <c:pt idx="22">
                  <c:v>-2.1948521454321366</c:v>
                </c:pt>
                <c:pt idx="23">
                  <c:v>-0.9197714663245109</c:v>
                </c:pt>
                <c:pt idx="24">
                  <c:v>-0.72663228357750653</c:v>
                </c:pt>
                <c:pt idx="25">
                  <c:v>-0.67764212243486743</c:v>
                </c:pt>
                <c:pt idx="26">
                  <c:v>-1.0241023175528128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541-43CB-B54D-0AD9706607CF}"/>
            </c:ext>
          </c:extLst>
        </c:ser>
        <c:ser>
          <c:idx val="6"/>
          <c:order val="6"/>
          <c:tx>
            <c:strRef>
              <c:f>'SATORI (D)'!$DT$1</c:f>
              <c:strCache>
                <c:ptCount val="1"/>
                <c:pt idx="0">
                  <c:v>EU-D1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(D)'!$DS$2:$DS$37</c:f>
              <c:numCache>
                <c:formatCode>0.00000</c:formatCode>
                <c:ptCount val="36"/>
                <c:pt idx="0">
                  <c:v>-2.1374153368743158</c:v>
                </c:pt>
                <c:pt idx="1">
                  <c:v>-2.2961611552224475</c:v>
                </c:pt>
                <c:pt idx="2">
                  <c:v>-2.1173651085018781</c:v>
                </c:pt>
                <c:pt idx="3">
                  <c:v>-1.7123168906238369</c:v>
                </c:pt>
                <c:pt idx="4">
                  <c:v>-1.2000125183553574</c:v>
                </c:pt>
                <c:pt idx="5">
                  <c:v>-0.67682453527238962</c:v>
                </c:pt>
                <c:pt idx="6">
                  <c:v>-1.0500435721674828</c:v>
                </c:pt>
                <c:pt idx="7">
                  <c:v>-0.87265473583825848</c:v>
                </c:pt>
                <c:pt idx="8">
                  <c:v>-0.3174091746011658</c:v>
                </c:pt>
                <c:pt idx="9">
                  <c:v>-0.16624936661993439</c:v>
                </c:pt>
                <c:pt idx="10">
                  <c:v>-0.19555661650086259</c:v>
                </c:pt>
                <c:pt idx="11">
                  <c:v>-0.23858311899548162</c:v>
                </c:pt>
                <c:pt idx="12">
                  <c:v>-0.30993785265021634</c:v>
                </c:pt>
                <c:pt idx="13">
                  <c:v>-0.49165309846804051</c:v>
                </c:pt>
                <c:pt idx="14">
                  <c:v>-0.11861794884153232</c:v>
                </c:pt>
                <c:pt idx="15">
                  <c:v>0.98597556630494243</c:v>
                </c:pt>
                <c:pt idx="16">
                  <c:v>0.66637165346628513</c:v>
                </c:pt>
                <c:pt idx="17">
                  <c:v>0.77363703356486291</c:v>
                </c:pt>
                <c:pt idx="18">
                  <c:v>0.7098733105027184</c:v>
                </c:pt>
                <c:pt idx="19">
                  <c:v>0.39482273659480349</c:v>
                </c:pt>
                <c:pt idx="20">
                  <c:v>0.49164243986546485</c:v>
                </c:pt>
                <c:pt idx="21">
                  <c:v>0.54422934664824951</c:v>
                </c:pt>
                <c:pt idx="22">
                  <c:v>0.41707556428393211</c:v>
                </c:pt>
                <c:pt idx="23">
                  <c:v>7.2738756974796481E-2</c:v>
                </c:pt>
                <c:pt idx="24">
                  <c:v>0.14717086753864062</c:v>
                </c:pt>
                <c:pt idx="25">
                  <c:v>2.3271052011702764E-2</c:v>
                </c:pt>
                <c:pt idx="26">
                  <c:v>-0.37619510762850206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(D)'!$DT$2:$DT$37</c:f>
              <c:numCache>
                <c:formatCode>0.00000</c:formatCode>
                <c:ptCount val="36"/>
                <c:pt idx="0">
                  <c:v>2.1374153368743158</c:v>
                </c:pt>
                <c:pt idx="1">
                  <c:v>2.2961611552224475</c:v>
                </c:pt>
                <c:pt idx="2">
                  <c:v>2.1173651085018781</c:v>
                </c:pt>
                <c:pt idx="3">
                  <c:v>1.7123168906238369</c:v>
                </c:pt>
                <c:pt idx="4">
                  <c:v>1.2000125183553574</c:v>
                </c:pt>
                <c:pt idx="5">
                  <c:v>0.67682453527238962</c:v>
                </c:pt>
                <c:pt idx="6">
                  <c:v>1.0500435721674828</c:v>
                </c:pt>
                <c:pt idx="7">
                  <c:v>0.87265473583825848</c:v>
                </c:pt>
                <c:pt idx="8">
                  <c:v>0.3174091746011658</c:v>
                </c:pt>
                <c:pt idx="9">
                  <c:v>0.16624936661993439</c:v>
                </c:pt>
                <c:pt idx="10">
                  <c:v>0.19555661650086259</c:v>
                </c:pt>
                <c:pt idx="11">
                  <c:v>0.23858311899548162</c:v>
                </c:pt>
                <c:pt idx="12">
                  <c:v>0.30993785265021634</c:v>
                </c:pt>
                <c:pt idx="13">
                  <c:v>0.49165309846804051</c:v>
                </c:pt>
                <c:pt idx="14">
                  <c:v>0.11861794884153232</c:v>
                </c:pt>
                <c:pt idx="15">
                  <c:v>-0.98597556630494243</c:v>
                </c:pt>
                <c:pt idx="16">
                  <c:v>-0.66637165346628513</c:v>
                </c:pt>
                <c:pt idx="17">
                  <c:v>-0.77363703356486291</c:v>
                </c:pt>
                <c:pt idx="18">
                  <c:v>-0.7098733105027184</c:v>
                </c:pt>
                <c:pt idx="19">
                  <c:v>-0.39482273659480349</c:v>
                </c:pt>
                <c:pt idx="20">
                  <c:v>-0.49164243986546485</c:v>
                </c:pt>
                <c:pt idx="21">
                  <c:v>-0.54422934664824951</c:v>
                </c:pt>
                <c:pt idx="22">
                  <c:v>-0.41707556428393211</c:v>
                </c:pt>
                <c:pt idx="23">
                  <c:v>-7.2738756974796481E-2</c:v>
                </c:pt>
                <c:pt idx="24">
                  <c:v>-0.14717086753864062</c:v>
                </c:pt>
                <c:pt idx="25">
                  <c:v>-2.3271052011702764E-2</c:v>
                </c:pt>
                <c:pt idx="26">
                  <c:v>0.37619510762850206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541-43CB-B54D-0AD9706607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(D)'!$AI$1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(D)'!$AI$2:$AI$37</c:f>
              <c:numCache>
                <c:formatCode>0.00000</c:formatCode>
                <c:ptCount val="36"/>
                <c:pt idx="0">
                  <c:v>-0.25652051422725186</c:v>
                </c:pt>
                <c:pt idx="1">
                  <c:v>-3.8537359005148882E-2</c:v>
                </c:pt>
                <c:pt idx="2">
                  <c:v>0.21836007130124352</c:v>
                </c:pt>
                <c:pt idx="3">
                  <c:v>0.92802206863465753</c:v>
                </c:pt>
                <c:pt idx="4">
                  <c:v>0.90312235265642493</c:v>
                </c:pt>
                <c:pt idx="5">
                  <c:v>0.21071780489653641</c:v>
                </c:pt>
                <c:pt idx="6">
                  <c:v>-0.56077302259674944</c:v>
                </c:pt>
                <c:pt idx="7">
                  <c:v>0.7257929819766481</c:v>
                </c:pt>
                <c:pt idx="8">
                  <c:v>0.20845379020723384</c:v>
                </c:pt>
                <c:pt idx="9">
                  <c:v>-0.30490117258012472</c:v>
                </c:pt>
                <c:pt idx="10">
                  <c:v>1.1182010614473754</c:v>
                </c:pt>
                <c:pt idx="11">
                  <c:v>2.4548160422218843E-2</c:v>
                </c:pt>
                <c:pt idx="12">
                  <c:v>0.33404658179523178</c:v>
                </c:pt>
                <c:pt idx="13">
                  <c:v>-0.21658320788916197</c:v>
                </c:pt>
                <c:pt idx="14">
                  <c:v>0.129194992156028</c:v>
                </c:pt>
                <c:pt idx="15">
                  <c:v>-0.60689444317053109</c:v>
                </c:pt>
                <c:pt idx="16">
                  <c:v>6.2716064490473497E-2</c:v>
                </c:pt>
                <c:pt idx="17">
                  <c:v>-0.17865050159563978</c:v>
                </c:pt>
                <c:pt idx="18">
                  <c:v>4.1244042527189363E-2</c:v>
                </c:pt>
                <c:pt idx="19">
                  <c:v>0.12847965738757294</c:v>
                </c:pt>
                <c:pt idx="20">
                  <c:v>-0.65037685387794042</c:v>
                </c:pt>
                <c:pt idx="21">
                  <c:v>-0.52753298970630369</c:v>
                </c:pt>
                <c:pt idx="22">
                  <c:v>-0.40196314585090642</c:v>
                </c:pt>
                <c:pt idx="23">
                  <c:v>-0.62238180730100856</c:v>
                </c:pt>
                <c:pt idx="24">
                  <c:v>-0.3280644199224545</c:v>
                </c:pt>
                <c:pt idx="25">
                  <c:v>-0.34180413137168669</c:v>
                </c:pt>
                <c:pt idx="26">
                  <c:v>-6.8314126173206743E-2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A8-42FD-BF11-83B4A3A93D9A}"/>
            </c:ext>
          </c:extLst>
        </c:ser>
        <c:ser>
          <c:idx val="1"/>
          <c:order val="1"/>
          <c:tx>
            <c:strRef>
              <c:f>'SATORI (D)'!$AJ$1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(D)'!$AJ$2:$AJ$37</c:f>
              <c:numCache>
                <c:formatCode>0.00000</c:formatCode>
                <c:ptCount val="36"/>
                <c:pt idx="0">
                  <c:v>-0.10407537248027306</c:v>
                </c:pt>
                <c:pt idx="1">
                  <c:v>-8.3008747844982383E-2</c:v>
                </c:pt>
                <c:pt idx="2">
                  <c:v>-0.42056499227903643</c:v>
                </c:pt>
                <c:pt idx="3">
                  <c:v>-5.0841610226437267E-2</c:v>
                </c:pt>
                <c:pt idx="4">
                  <c:v>-0.2779462757915046</c:v>
                </c:pt>
                <c:pt idx="5">
                  <c:v>0.41729548884485468</c:v>
                </c:pt>
                <c:pt idx="6">
                  <c:v>0.77417108722936956</c:v>
                </c:pt>
                <c:pt idx="7">
                  <c:v>-0.25313910770748627</c:v>
                </c:pt>
                <c:pt idx="8">
                  <c:v>-8.9478105255467372E-2</c:v>
                </c:pt>
                <c:pt idx="9">
                  <c:v>-8.5752339944164369E-2</c:v>
                </c:pt>
                <c:pt idx="10">
                  <c:v>0.79352673440300814</c:v>
                </c:pt>
                <c:pt idx="11">
                  <c:v>-0.64588624362791747</c:v>
                </c:pt>
                <c:pt idx="12">
                  <c:v>8.7778651500452595E-2</c:v>
                </c:pt>
                <c:pt idx="13">
                  <c:v>9.8848596899080141E-2</c:v>
                </c:pt>
                <c:pt idx="14">
                  <c:v>-1.6472052417717244E-2</c:v>
                </c:pt>
                <c:pt idx="15">
                  <c:v>-0.58859383386552189</c:v>
                </c:pt>
                <c:pt idx="16">
                  <c:v>-0.73507499751664185</c:v>
                </c:pt>
                <c:pt idx="17">
                  <c:v>-0.63796568803387677</c:v>
                </c:pt>
                <c:pt idx="18">
                  <c:v>0.24014894631276479</c:v>
                </c:pt>
                <c:pt idx="19">
                  <c:v>0.1179648806843694</c:v>
                </c:pt>
                <c:pt idx="20">
                  <c:v>7.9306429228023279E-2</c:v>
                </c:pt>
                <c:pt idx="21">
                  <c:v>-9.9034860270804423E-2</c:v>
                </c:pt>
                <c:pt idx="22">
                  <c:v>-1.8003096532601626E-2</c:v>
                </c:pt>
                <c:pt idx="23">
                  <c:v>-0.11778139413611792</c:v>
                </c:pt>
                <c:pt idx="24">
                  <c:v>0.26141905474476712</c:v>
                </c:pt>
                <c:pt idx="25">
                  <c:v>0.27388592605982698</c:v>
                </c:pt>
                <c:pt idx="26">
                  <c:v>-0.59572479850483984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A8-42FD-BF11-83B4A3A93D9A}"/>
            </c:ext>
          </c:extLst>
        </c:ser>
        <c:ser>
          <c:idx val="2"/>
          <c:order val="2"/>
          <c:tx>
            <c:strRef>
              <c:f>'SATORI (D)'!$AK$1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(D)'!$AK$2:$AK$37</c:f>
              <c:numCache>
                <c:formatCode>0.00000</c:formatCode>
                <c:ptCount val="36"/>
                <c:pt idx="0">
                  <c:v>0.32253784205852887</c:v>
                </c:pt>
                <c:pt idx="1">
                  <c:v>-2.959123283197931E-2</c:v>
                </c:pt>
                <c:pt idx="2">
                  <c:v>-0.6981386347286046</c:v>
                </c:pt>
                <c:pt idx="3">
                  <c:v>0.25905156650005634</c:v>
                </c:pt>
                <c:pt idx="4">
                  <c:v>-0.24524210056951928</c:v>
                </c:pt>
                <c:pt idx="5">
                  <c:v>1.5508742320239481</c:v>
                </c:pt>
                <c:pt idx="6">
                  <c:v>-0.24433060600149836</c:v>
                </c:pt>
                <c:pt idx="7">
                  <c:v>0.48898746582762032</c:v>
                </c:pt>
                <c:pt idx="8">
                  <c:v>0.6134268869883005</c:v>
                </c:pt>
                <c:pt idx="9">
                  <c:v>-0.77040332880155382</c:v>
                </c:pt>
                <c:pt idx="10">
                  <c:v>1.5139475555183735</c:v>
                </c:pt>
                <c:pt idx="11">
                  <c:v>1.6570122761332964</c:v>
                </c:pt>
                <c:pt idx="12">
                  <c:v>0.4655682388493127</c:v>
                </c:pt>
                <c:pt idx="13">
                  <c:v>-1.786013927342901</c:v>
                </c:pt>
                <c:pt idx="14">
                  <c:v>-1.7769399548811711</c:v>
                </c:pt>
                <c:pt idx="15">
                  <c:v>-1.0357517865698931</c:v>
                </c:pt>
                <c:pt idx="16">
                  <c:v>-1.7684935759420695</c:v>
                </c:pt>
                <c:pt idx="17">
                  <c:v>-1.0081684444268311</c:v>
                </c:pt>
                <c:pt idx="18">
                  <c:v>0.21259263674474838</c:v>
                </c:pt>
                <c:pt idx="19">
                  <c:v>1.6891052710030423E-2</c:v>
                </c:pt>
                <c:pt idx="20">
                  <c:v>-0.62108734719671865</c:v>
                </c:pt>
                <c:pt idx="21">
                  <c:v>-1.6117280172539477</c:v>
                </c:pt>
                <c:pt idx="22">
                  <c:v>-1.3333461140293617</c:v>
                </c:pt>
                <c:pt idx="23">
                  <c:v>-0.90805471124620352</c:v>
                </c:pt>
                <c:pt idx="24">
                  <c:v>-0.23217247097844543</c:v>
                </c:pt>
                <c:pt idx="25">
                  <c:v>0.40819821877141094</c:v>
                </c:pt>
                <c:pt idx="26">
                  <c:v>-1.4663416463528904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A8-42FD-BF11-83B4A3A93D9A}"/>
            </c:ext>
          </c:extLst>
        </c:ser>
        <c:ser>
          <c:idx val="3"/>
          <c:order val="3"/>
          <c:tx>
            <c:strRef>
              <c:f>'SATORI (D)'!$AL$1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(D)'!$AL$2:$AL$37</c:f>
              <c:numCache>
                <c:formatCode>0.00000</c:formatCode>
                <c:ptCount val="36"/>
                <c:pt idx="0">
                  <c:v>-0.18107425785671469</c:v>
                </c:pt>
                <c:pt idx="1">
                  <c:v>-0.31587899404688424</c:v>
                </c:pt>
                <c:pt idx="2">
                  <c:v>-0.80913113088987854</c:v>
                </c:pt>
                <c:pt idx="3">
                  <c:v>0.5731006302375572</c:v>
                </c:pt>
                <c:pt idx="4">
                  <c:v>0.13870587419375682</c:v>
                </c:pt>
                <c:pt idx="5">
                  <c:v>1.074251266144451</c:v>
                </c:pt>
                <c:pt idx="6">
                  <c:v>-0.52298519951885414</c:v>
                </c:pt>
                <c:pt idx="7">
                  <c:v>0.67746634606946221</c:v>
                </c:pt>
                <c:pt idx="8">
                  <c:v>0.21105580667287735</c:v>
                </c:pt>
                <c:pt idx="9">
                  <c:v>-0.48308333187474573</c:v>
                </c:pt>
                <c:pt idx="10">
                  <c:v>1.710816777041944</c:v>
                </c:pt>
                <c:pt idx="11">
                  <c:v>1.2582471067527106</c:v>
                </c:pt>
                <c:pt idx="12">
                  <c:v>0.20049491537670563</c:v>
                </c:pt>
                <c:pt idx="13">
                  <c:v>-0.85777730023997556</c:v>
                </c:pt>
                <c:pt idx="14">
                  <c:v>-1.5982660487409508</c:v>
                </c:pt>
                <c:pt idx="15">
                  <c:v>-1.1892324836328183</c:v>
                </c:pt>
                <c:pt idx="16">
                  <c:v>-0.47137113544987258</c:v>
                </c:pt>
                <c:pt idx="17">
                  <c:v>-0.56349192672881654</c:v>
                </c:pt>
                <c:pt idx="18">
                  <c:v>0.31634628682063309</c:v>
                </c:pt>
                <c:pt idx="19">
                  <c:v>0.36434296818071249</c:v>
                </c:pt>
                <c:pt idx="20">
                  <c:v>-1.0472462573822268</c:v>
                </c:pt>
                <c:pt idx="21">
                  <c:v>-1.2193260637305661</c:v>
                </c:pt>
                <c:pt idx="22">
                  <c:v>-0.20984583100641702</c:v>
                </c:pt>
                <c:pt idx="23">
                  <c:v>-0.5402948899212171</c:v>
                </c:pt>
                <c:pt idx="24">
                  <c:v>-0.19989585258101231</c:v>
                </c:pt>
                <c:pt idx="25">
                  <c:v>0.15646556075237833</c:v>
                </c:pt>
                <c:pt idx="26">
                  <c:v>-1.2362500415406603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A8-42FD-BF11-83B4A3A93D9A}"/>
            </c:ext>
          </c:extLst>
        </c:ser>
        <c:ser>
          <c:idx val="4"/>
          <c:order val="4"/>
          <c:tx>
            <c:strRef>
              <c:f>'SATORI (D)'!$AM$1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(D)'!$AM$2:$AM$37</c:f>
              <c:numCache>
                <c:formatCode>0.00000</c:formatCode>
                <c:ptCount val="36"/>
                <c:pt idx="0">
                  <c:v>-0.27053266572853329</c:v>
                </c:pt>
                <c:pt idx="1">
                  <c:v>-0.23507133762120211</c:v>
                </c:pt>
                <c:pt idx="2">
                  <c:v>0.12203759193680304</c:v>
                </c:pt>
                <c:pt idx="3">
                  <c:v>0.59849389996600966</c:v>
                </c:pt>
                <c:pt idx="4">
                  <c:v>0.53557850192302292</c:v>
                </c:pt>
                <c:pt idx="5">
                  <c:v>0.3150633443144783</c:v>
                </c:pt>
                <c:pt idx="6">
                  <c:v>-0.50485607752125372</c:v>
                </c:pt>
                <c:pt idx="7">
                  <c:v>0.46077348066298418</c:v>
                </c:pt>
                <c:pt idx="8">
                  <c:v>0.3059053023585725</c:v>
                </c:pt>
                <c:pt idx="9">
                  <c:v>-0.34131200777616189</c:v>
                </c:pt>
                <c:pt idx="10">
                  <c:v>0.95115967885815411</c:v>
                </c:pt>
                <c:pt idx="11">
                  <c:v>-0.17476095595355592</c:v>
                </c:pt>
                <c:pt idx="12">
                  <c:v>3.1177276219526654E-2</c:v>
                </c:pt>
                <c:pt idx="13">
                  <c:v>-0.55585698309175113</c:v>
                </c:pt>
                <c:pt idx="14">
                  <c:v>0.12972038051311666</c:v>
                </c:pt>
                <c:pt idx="15">
                  <c:v>-0.14060960352520382</c:v>
                </c:pt>
                <c:pt idx="16">
                  <c:v>-0.24628909701361384</c:v>
                </c:pt>
                <c:pt idx="17">
                  <c:v>-0.18630185309712713</c:v>
                </c:pt>
                <c:pt idx="18">
                  <c:v>0.1634185391707654</c:v>
                </c:pt>
                <c:pt idx="19">
                  <c:v>0.20469130338569452</c:v>
                </c:pt>
                <c:pt idx="20">
                  <c:v>-0.52500082547298954</c:v>
                </c:pt>
                <c:pt idx="21">
                  <c:v>-0.360801000153534</c:v>
                </c:pt>
                <c:pt idx="22">
                  <c:v>-0.20683994528043201</c:v>
                </c:pt>
                <c:pt idx="23">
                  <c:v>-0.42825385755384227</c:v>
                </c:pt>
                <c:pt idx="24">
                  <c:v>-0.14798050139274863</c:v>
                </c:pt>
                <c:pt idx="25">
                  <c:v>-0.18138175972891141</c:v>
                </c:pt>
                <c:pt idx="26">
                  <c:v>8.6897016173794039E-3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A8-42FD-BF11-83B4A3A93D9A}"/>
            </c:ext>
          </c:extLst>
        </c:ser>
        <c:ser>
          <c:idx val="5"/>
          <c:order val="5"/>
          <c:tx>
            <c:strRef>
              <c:f>'SATORI (D)'!$AN$1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(D)'!$AN$2:$AN$37</c:f>
              <c:numCache>
                <c:formatCode>0.00000</c:formatCode>
                <c:ptCount val="36"/>
                <c:pt idx="0">
                  <c:v>-0.15874581834813115</c:v>
                </c:pt>
                <c:pt idx="1">
                  <c:v>0.17879604672056928</c:v>
                </c:pt>
                <c:pt idx="2">
                  <c:v>0.40504821787804191</c:v>
                </c:pt>
                <c:pt idx="3">
                  <c:v>0.51230437226847969</c:v>
                </c:pt>
                <c:pt idx="4">
                  <c:v>0.52318798308296777</c:v>
                </c:pt>
                <c:pt idx="5">
                  <c:v>-0.37321903689509334</c:v>
                </c:pt>
                <c:pt idx="6">
                  <c:v>0.17738883632922423</c:v>
                </c:pt>
                <c:pt idx="7">
                  <c:v>0.55524556123709257</c:v>
                </c:pt>
                <c:pt idx="8">
                  <c:v>0.15115980798123138</c:v>
                </c:pt>
                <c:pt idx="9">
                  <c:v>-2.9307249880927935E-2</c:v>
                </c:pt>
                <c:pt idx="10">
                  <c:v>-4.3026502494618986E-2</c:v>
                </c:pt>
                <c:pt idx="11">
                  <c:v>-7.1354733654734839E-2</c:v>
                </c:pt>
                <c:pt idx="12">
                  <c:v>-0.18171524581782436</c:v>
                </c:pt>
                <c:pt idx="13">
                  <c:v>0.37303514962650819</c:v>
                </c:pt>
                <c:pt idx="14">
                  <c:v>1.1045935151464747</c:v>
                </c:pt>
                <c:pt idx="15">
                  <c:v>-0.31960391283865719</c:v>
                </c:pt>
                <c:pt idx="16">
                  <c:v>0.10726538009857781</c:v>
                </c:pt>
                <c:pt idx="17">
                  <c:v>-6.3763723062144631E-2</c:v>
                </c:pt>
                <c:pt idx="18">
                  <c:v>-0.31505057390791485</c:v>
                </c:pt>
                <c:pt idx="19">
                  <c:v>9.6819703270661361E-2</c:v>
                </c:pt>
                <c:pt idx="20">
                  <c:v>5.2586906782784652E-2</c:v>
                </c:pt>
                <c:pt idx="21">
                  <c:v>-0.1271537823643174</c:v>
                </c:pt>
                <c:pt idx="22">
                  <c:v>-0.34433680730913563</c:v>
                </c:pt>
                <c:pt idx="23">
                  <c:v>7.4432110563844134E-2</c:v>
                </c:pt>
                <c:pt idx="24">
                  <c:v>-0.12389981552693786</c:v>
                </c:pt>
                <c:pt idx="25">
                  <c:v>-0.39946615964020482</c:v>
                </c:pt>
                <c:pt idx="26">
                  <c:v>0.37619510762850206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EA8-42FD-BF11-83B4A3A93D9A}"/>
            </c:ext>
          </c:extLst>
        </c:ser>
        <c:ser>
          <c:idx val="6"/>
          <c:order val="6"/>
          <c:tx>
            <c:strRef>
              <c:f>'SATORI (D)'!$AO$1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(D)'!$AO$2:$AO$37</c:f>
              <c:numCache>
                <c:formatCode>0.00000</c:formatCode>
                <c:ptCount val="36"/>
                <c:pt idx="0">
                  <c:v>-0.17418844022169278</c:v>
                </c:pt>
                <c:pt idx="1">
                  <c:v>-1.9130675708653098E-2</c:v>
                </c:pt>
                <c:pt idx="2">
                  <c:v>0.30902184989610726</c:v>
                </c:pt>
                <c:pt idx="3">
                  <c:v>0.17699115044247457</c:v>
                </c:pt>
                <c:pt idx="4">
                  <c:v>0.16267180134121662</c:v>
                </c:pt>
                <c:pt idx="5">
                  <c:v>-0.26884568522540342</c:v>
                </c:pt>
                <c:pt idx="6">
                  <c:v>0.23296717884046739</c:v>
                </c:pt>
                <c:pt idx="7">
                  <c:v>0.29222637892243131</c:v>
                </c:pt>
                <c:pt idx="8">
                  <c:v>0.24824162184525908</c:v>
                </c:pt>
                <c:pt idx="9">
                  <c:v>-6.4687798014012268E-2</c:v>
                </c:pt>
                <c:pt idx="10">
                  <c:v>-0.20962825922032982</c:v>
                </c:pt>
                <c:pt idx="11">
                  <c:v>-0.27144516343122133</c:v>
                </c:pt>
                <c:pt idx="12">
                  <c:v>-0.48149322342870854</c:v>
                </c:pt>
                <c:pt idx="13">
                  <c:v>2.8408903218144207E-2</c:v>
                </c:pt>
                <c:pt idx="14">
                  <c:v>1.1061754784409277</c:v>
                </c:pt>
                <c:pt idx="15">
                  <c:v>0.14918184129192505</c:v>
                </c:pt>
                <c:pt idx="16">
                  <c:v>-0.2009573850169884</c:v>
                </c:pt>
                <c:pt idx="17">
                  <c:v>-7.1385682834071942E-2</c:v>
                </c:pt>
                <c:pt idx="18">
                  <c:v>-0.19376618879886204</c:v>
                </c:pt>
                <c:pt idx="19">
                  <c:v>0.17409284951974394</c:v>
                </c:pt>
                <c:pt idx="20">
                  <c:v>0.17774332794312928</c:v>
                </c:pt>
                <c:pt idx="21">
                  <c:v>4.0108560503759098E-2</c:v>
                </c:pt>
                <c:pt idx="22">
                  <c:v>-0.14951474455673014</c:v>
                </c:pt>
                <c:pt idx="23">
                  <c:v>0.27173185554039669</c:v>
                </c:pt>
                <c:pt idx="24">
                  <c:v>5.6252009000318223E-2</c:v>
                </c:pt>
                <c:pt idx="25">
                  <c:v>-0.23850085178876126</c:v>
                </c:pt>
                <c:pt idx="26">
                  <c:v>0.45298973223273831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EA8-42FD-BF11-83B4A3A93D9A}"/>
            </c:ext>
          </c:extLst>
        </c:ser>
        <c:ser>
          <c:idx val="7"/>
          <c:order val="7"/>
          <c:tx>
            <c:strRef>
              <c:f>'SATORI (D)'!$AP$1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(D)'!$AP$2:$AP$37</c:f>
              <c:numCache>
                <c:formatCode>0.00000</c:formatCode>
                <c:ptCount val="36"/>
                <c:pt idx="0">
                  <c:v>-0.24420311124155805</c:v>
                </c:pt>
                <c:pt idx="1">
                  <c:v>-0.25996229375739194</c:v>
                </c:pt>
                <c:pt idx="2">
                  <c:v>8.672925237039987E-2</c:v>
                </c:pt>
                <c:pt idx="3">
                  <c:v>0.17611214821599061</c:v>
                </c:pt>
                <c:pt idx="4">
                  <c:v>-0.2085505735140776</c:v>
                </c:pt>
                <c:pt idx="5">
                  <c:v>-0.57661393658411686</c:v>
                </c:pt>
                <c:pt idx="6">
                  <c:v>0.44932250590905365</c:v>
                </c:pt>
                <c:pt idx="7">
                  <c:v>-0.19968937208786205</c:v>
                </c:pt>
                <c:pt idx="8">
                  <c:v>8.8829669109480563E-2</c:v>
                </c:pt>
                <c:pt idx="9">
                  <c:v>-9.575076775767255E-2</c:v>
                </c:pt>
                <c:pt idx="10">
                  <c:v>-0.47300281244915721</c:v>
                </c:pt>
                <c:pt idx="11">
                  <c:v>-8.82469055525862E-2</c:v>
                </c:pt>
                <c:pt idx="12">
                  <c:v>0.48303542259766097</c:v>
                </c:pt>
                <c:pt idx="13">
                  <c:v>0.60096718155780815</c:v>
                </c:pt>
                <c:pt idx="14">
                  <c:v>0.57372211073073864</c:v>
                </c:pt>
                <c:pt idx="15">
                  <c:v>0.59255916685467913</c:v>
                </c:pt>
                <c:pt idx="16">
                  <c:v>-4.7477181279742195E-2</c:v>
                </c:pt>
                <c:pt idx="17">
                  <c:v>0.13787365543471075</c:v>
                </c:pt>
                <c:pt idx="18">
                  <c:v>-0.27380698385604668</c:v>
                </c:pt>
                <c:pt idx="19">
                  <c:v>-3.4362225250312517E-2</c:v>
                </c:pt>
                <c:pt idx="20">
                  <c:v>0.49416527744700967</c:v>
                </c:pt>
                <c:pt idx="21">
                  <c:v>-0.12368583797155712</c:v>
                </c:pt>
                <c:pt idx="22">
                  <c:v>-0.1448827874498253</c:v>
                </c:pt>
                <c:pt idx="23">
                  <c:v>-7.7132109503854046E-2</c:v>
                </c:pt>
                <c:pt idx="24">
                  <c:v>0.10691248619047196</c:v>
                </c:pt>
                <c:pt idx="25">
                  <c:v>0.10107496194823848</c:v>
                </c:pt>
                <c:pt idx="26">
                  <c:v>0.10594355232302753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EA8-42FD-BF11-83B4A3A93D9A}"/>
            </c:ext>
          </c:extLst>
        </c:ser>
        <c:ser>
          <c:idx val="8"/>
          <c:order val="8"/>
          <c:tx>
            <c:strRef>
              <c:f>'SATORI (D)'!$AQ$1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(D)'!$AQ$2:$AQ$37</c:f>
              <c:numCache>
                <c:formatCode>0.00000</c:formatCode>
                <c:ptCount val="36"/>
                <c:pt idx="0">
                  <c:v>-9.0563494487207588E-2</c:v>
                </c:pt>
                <c:pt idx="1">
                  <c:v>-9.5737070235247801E-2</c:v>
                </c:pt>
                <c:pt idx="2">
                  <c:v>-0.62519602718243439</c:v>
                </c:pt>
                <c:pt idx="3">
                  <c:v>0.15392186632880342</c:v>
                </c:pt>
                <c:pt idx="4">
                  <c:v>-0.23504094935650741</c:v>
                </c:pt>
                <c:pt idx="5">
                  <c:v>0.48284838560692456</c:v>
                </c:pt>
                <c:pt idx="6">
                  <c:v>0.21564646602779172</c:v>
                </c:pt>
                <c:pt idx="7">
                  <c:v>0.50961609625611226</c:v>
                </c:pt>
                <c:pt idx="8">
                  <c:v>0.15460369566368579</c:v>
                </c:pt>
                <c:pt idx="9">
                  <c:v>-0.20501114880215809</c:v>
                </c:pt>
                <c:pt idx="10">
                  <c:v>0.54079898002549165</c:v>
                </c:pt>
                <c:pt idx="11">
                  <c:v>1.1488323607484163</c:v>
                </c:pt>
                <c:pt idx="12">
                  <c:v>-0.30641653363618765</c:v>
                </c:pt>
                <c:pt idx="13">
                  <c:v>-0.27885211222462031</c:v>
                </c:pt>
                <c:pt idx="14">
                  <c:v>-0.64012059319964543</c:v>
                </c:pt>
                <c:pt idx="15">
                  <c:v>-0.9088518382159555</c:v>
                </c:pt>
                <c:pt idx="16">
                  <c:v>-0.41274264343854999</c:v>
                </c:pt>
                <c:pt idx="17">
                  <c:v>-0.44739696312363436</c:v>
                </c:pt>
                <c:pt idx="18">
                  <c:v>-4.1697940121764962E-2</c:v>
                </c:pt>
                <c:pt idx="19">
                  <c:v>0.33260119234390462</c:v>
                </c:pt>
                <c:pt idx="20">
                  <c:v>-0.3481197365129669</c:v>
                </c:pt>
                <c:pt idx="21">
                  <c:v>-0.82282406450279899</c:v>
                </c:pt>
                <c:pt idx="22">
                  <c:v>-0.15069256652148058</c:v>
                </c:pt>
                <c:pt idx="23">
                  <c:v>0.16334463650649511</c:v>
                </c:pt>
                <c:pt idx="24">
                  <c:v>-4.1351362527321861E-3</c:v>
                </c:pt>
                <c:pt idx="25">
                  <c:v>0.10037770993945416</c:v>
                </c:pt>
                <c:pt idx="26">
                  <c:v>-0.79764300086231099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EA8-42FD-BF11-83B4A3A93D9A}"/>
            </c:ext>
          </c:extLst>
        </c:ser>
        <c:ser>
          <c:idx val="9"/>
          <c:order val="9"/>
          <c:tx>
            <c:strRef>
              <c:f>'SATORI (D)'!$AR$1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(D)'!$AR$2:$AR$37</c:f>
              <c:numCache>
                <c:formatCode>0.00000</c:formatCode>
                <c:ptCount val="36"/>
                <c:pt idx="0">
                  <c:v>0.41548082799834662</c:v>
                </c:pt>
                <c:pt idx="1">
                  <c:v>0.1880292187509677</c:v>
                </c:pt>
                <c:pt idx="2">
                  <c:v>-0.5113594407660037</c:v>
                </c:pt>
                <c:pt idx="3">
                  <c:v>-0.16403010290277739</c:v>
                </c:pt>
                <c:pt idx="4">
                  <c:v>-0.61484167979387538</c:v>
                </c:pt>
                <c:pt idx="5">
                  <c:v>0.96040043396786001</c:v>
                </c:pt>
                <c:pt idx="6">
                  <c:v>0.49434415769454854</c:v>
                </c:pt>
                <c:pt idx="7">
                  <c:v>0.31880581432201049</c:v>
                </c:pt>
                <c:pt idx="8">
                  <c:v>0.56433972876696459</c:v>
                </c:pt>
                <c:pt idx="9">
                  <c:v>-0.49933774010807419</c:v>
                </c:pt>
                <c:pt idx="10">
                  <c:v>0.34381200783715898</c:v>
                </c:pt>
                <c:pt idx="11">
                  <c:v>1.5653518556073811</c:v>
                </c:pt>
                <c:pt idx="12">
                  <c:v>-5.9536627693395294E-2</c:v>
                </c:pt>
                <c:pt idx="13">
                  <c:v>-1.2218544910816527</c:v>
                </c:pt>
                <c:pt idx="14">
                  <c:v>-0.81229677067043804</c:v>
                </c:pt>
                <c:pt idx="15">
                  <c:v>-0.73731867319597322</c:v>
                </c:pt>
                <c:pt idx="16">
                  <c:v>-1.7258287125596257</c:v>
                </c:pt>
                <c:pt idx="17">
                  <c:v>-0.89211257296784607</c:v>
                </c:pt>
                <c:pt idx="18">
                  <c:v>-0.14557348765320863</c:v>
                </c:pt>
                <c:pt idx="19">
                  <c:v>-1.3177755947971692E-2</c:v>
                </c:pt>
                <c:pt idx="20">
                  <c:v>8.1528906793273667E-2</c:v>
                </c:pt>
                <c:pt idx="21">
                  <c:v>-1.2169340368455521</c:v>
                </c:pt>
                <c:pt idx="22">
                  <c:v>-1.2750806791076257</c:v>
                </c:pt>
                <c:pt idx="23">
                  <c:v>-0.19313918274700451</c:v>
                </c:pt>
                <c:pt idx="24">
                  <c:v>-4.8990161142639044E-2</c:v>
                </c:pt>
                <c:pt idx="25">
                  <c:v>0.3464601951179454</c:v>
                </c:pt>
                <c:pt idx="26">
                  <c:v>-1.0241023175528128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EA8-42FD-BF11-83B4A3A93D9A}"/>
            </c:ext>
          </c:extLst>
        </c:ser>
        <c:ser>
          <c:idx val="10"/>
          <c:order val="10"/>
          <c:tx>
            <c:strRef>
              <c:f>'SATORI (D)'!$AS$1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(D)'!$AS$2:$AS$37</c:f>
              <c:numCache>
                <c:formatCode>0.00000</c:formatCode>
                <c:ptCount val="36"/>
                <c:pt idx="0">
                  <c:v>9.9805832289904445E-2</c:v>
                </c:pt>
                <c:pt idx="1">
                  <c:v>0.2194484690135233</c:v>
                </c:pt>
                <c:pt idx="2">
                  <c:v>0.18706233184128684</c:v>
                </c:pt>
                <c:pt idx="3">
                  <c:v>-0.41491015320225288</c:v>
                </c:pt>
                <c:pt idx="4">
                  <c:v>-0.37719250676355165</c:v>
                </c:pt>
                <c:pt idx="5">
                  <c:v>-0.58166700612218647</c:v>
                </c:pt>
                <c:pt idx="6">
                  <c:v>0.74350339766569562</c:v>
                </c:pt>
                <c:pt idx="7">
                  <c:v>-0.17170019338864004</c:v>
                </c:pt>
                <c:pt idx="8">
                  <c:v>-5.2386285631715282E-2</c:v>
                </c:pt>
                <c:pt idx="9">
                  <c:v>0.27109433962264784</c:v>
                </c:pt>
                <c:pt idx="10">
                  <c:v>-1.1471408022823455</c:v>
                </c:pt>
                <c:pt idx="11">
                  <c:v>-9.4213052681787354E-2</c:v>
                </c:pt>
                <c:pt idx="12">
                  <c:v>-0.51136936648336107</c:v>
                </c:pt>
                <c:pt idx="13">
                  <c:v>0.58477089511716485</c:v>
                </c:pt>
                <c:pt idx="14">
                  <c:v>0.97001391759099176</c:v>
                </c:pt>
                <c:pt idx="15">
                  <c:v>0.29367155917843651</c:v>
                </c:pt>
                <c:pt idx="16">
                  <c:v>4.2316271815558179E-2</c:v>
                </c:pt>
                <c:pt idx="17">
                  <c:v>0.11680828915195896</c:v>
                </c:pt>
                <c:pt idx="18">
                  <c:v>-0.34799915563463424</c:v>
                </c:pt>
                <c:pt idx="19">
                  <c:v>-4.0995219233993109E-2</c:v>
                </c:pt>
                <c:pt idx="20">
                  <c:v>0.71098104455319966</c:v>
                </c:pt>
                <c:pt idx="21">
                  <c:v>0.4017239382356988</c:v>
                </c:pt>
                <c:pt idx="22">
                  <c:v>5.7334902927139719E-2</c:v>
                </c:pt>
                <c:pt idx="23">
                  <c:v>0.7156723019461334</c:v>
                </c:pt>
                <c:pt idx="24">
                  <c:v>0.195733261113092</c:v>
                </c:pt>
                <c:pt idx="25">
                  <c:v>-6.397244264008918E-2</c:v>
                </c:pt>
                <c:pt idx="26">
                  <c:v>0.44671819681550151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EA8-42FD-BF11-83B4A3A93D9A}"/>
            </c:ext>
          </c:extLst>
        </c:ser>
        <c:ser>
          <c:idx val="11"/>
          <c:order val="11"/>
          <c:tx>
            <c:strRef>
              <c:f>'SATORI (D)'!$AT$1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(D)'!$AT$2:$AT$37</c:f>
              <c:numCache>
                <c:formatCode>0.00000</c:formatCode>
                <c:ptCount val="36"/>
                <c:pt idx="0">
                  <c:v>-1.2699815024430714E-2</c:v>
                </c:pt>
                <c:pt idx="1">
                  <c:v>0.13657123267978039</c:v>
                </c:pt>
                <c:pt idx="2">
                  <c:v>-0.23388974084575531</c:v>
                </c:pt>
                <c:pt idx="3">
                  <c:v>-0.46888039706592832</c:v>
                </c:pt>
                <c:pt idx="4">
                  <c:v>-0.64965880639512263</c:v>
                </c:pt>
                <c:pt idx="5">
                  <c:v>-0.17098578204214432</c:v>
                </c:pt>
                <c:pt idx="6">
                  <c:v>1.5247425131162222</c:v>
                </c:pt>
                <c:pt idx="7">
                  <c:v>-0.42114419096274974</c:v>
                </c:pt>
                <c:pt idx="8">
                  <c:v>-0.14402726623054504</c:v>
                </c:pt>
                <c:pt idx="9">
                  <c:v>0.18835918223475384</c:v>
                </c:pt>
                <c:pt idx="10">
                  <c:v>-0.36710437507202626</c:v>
                </c:pt>
                <c:pt idx="11">
                  <c:v>-0.73913090841747886</c:v>
                </c:pt>
                <c:pt idx="12">
                  <c:v>-0.42467335947542284</c:v>
                </c:pt>
                <c:pt idx="13">
                  <c:v>0.69083402507753877</c:v>
                </c:pt>
                <c:pt idx="14">
                  <c:v>0.95768435561682197</c:v>
                </c:pt>
                <c:pt idx="15">
                  <c:v>-0.30615834487611165</c:v>
                </c:pt>
                <c:pt idx="16">
                  <c:v>-0.68780296082798076</c:v>
                </c:pt>
                <c:pt idx="17">
                  <c:v>-0.52400940501854054</c:v>
                </c:pt>
                <c:pt idx="18">
                  <c:v>-0.11498679279055166</c:v>
                </c:pt>
                <c:pt idx="19">
                  <c:v>8.4684577092822205E-2</c:v>
                </c:pt>
                <c:pt idx="20">
                  <c:v>0.78124572585278174</c:v>
                </c:pt>
                <c:pt idx="21">
                  <c:v>0.30841331774803171</c:v>
                </c:pt>
                <c:pt idx="22">
                  <c:v>4.0076859730997498E-2</c:v>
                </c:pt>
                <c:pt idx="23">
                  <c:v>0.58534430393726566</c:v>
                </c:pt>
                <c:pt idx="24">
                  <c:v>0.4654620501411863</c:v>
                </c:pt>
                <c:pt idx="25">
                  <c:v>0.21237678532710788</c:v>
                </c:pt>
                <c:pt idx="26">
                  <c:v>-0.15099283339162411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EA8-42FD-BF11-83B4A3A93D9A}"/>
            </c:ext>
          </c:extLst>
        </c:ser>
        <c:ser>
          <c:idx val="12"/>
          <c:order val="12"/>
          <c:tx>
            <c:strRef>
              <c:f>'SATORI (D)'!$AU$1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(D)'!$AU$2:$AU$37</c:f>
              <c:numCache>
                <c:formatCode>0.00000</c:formatCode>
                <c:ptCount val="36"/>
                <c:pt idx="0">
                  <c:v>8.9375062066007177E-2</c:v>
                </c:pt>
                <c:pt idx="1">
                  <c:v>0.43886233379624895</c:v>
                </c:pt>
                <c:pt idx="2">
                  <c:v>0.33100602738882207</c:v>
                </c:pt>
                <c:pt idx="3">
                  <c:v>0.35303205870992377</c:v>
                </c:pt>
                <c:pt idx="4">
                  <c:v>0.7134354601541939</c:v>
                </c:pt>
                <c:pt idx="5">
                  <c:v>0.21675568203968693</c:v>
                </c:pt>
                <c:pt idx="6">
                  <c:v>-0.29075869360718459</c:v>
                </c:pt>
                <c:pt idx="7">
                  <c:v>0.76536207814995716</c:v>
                </c:pt>
                <c:pt idx="8">
                  <c:v>5.7219448341821105E-2</c:v>
                </c:pt>
                <c:pt idx="9">
                  <c:v>7.4519155344984975E-2</c:v>
                </c:pt>
                <c:pt idx="10">
                  <c:v>0.44120891242003479</c:v>
                </c:pt>
                <c:pt idx="11">
                  <c:v>5.5154155865655904E-3</c:v>
                </c:pt>
                <c:pt idx="12">
                  <c:v>-0.66138601462094115</c:v>
                </c:pt>
                <c:pt idx="13">
                  <c:v>-0.22413294910541498</c:v>
                </c:pt>
                <c:pt idx="14">
                  <c:v>0.52046535726060272</c:v>
                </c:pt>
                <c:pt idx="15">
                  <c:v>-0.90856760583100593</c:v>
                </c:pt>
                <c:pt idx="16">
                  <c:v>0.15425846863410131</c:v>
                </c:pt>
                <c:pt idx="17">
                  <c:v>-0.19827230952251768</c:v>
                </c:pt>
                <c:pt idx="18">
                  <c:v>-3.0314807617558528E-2</c:v>
                </c:pt>
                <c:pt idx="19">
                  <c:v>0.12062726176115338</c:v>
                </c:pt>
                <c:pt idx="20">
                  <c:v>-0.44163793437415549</c:v>
                </c:pt>
                <c:pt idx="21">
                  <c:v>-3.0991175262702867E-3</c:v>
                </c:pt>
                <c:pt idx="22">
                  <c:v>-0.20643904249398251</c:v>
                </c:pt>
                <c:pt idx="23">
                  <c:v>0.16573473149424814</c:v>
                </c:pt>
                <c:pt idx="24">
                  <c:v>-0.23796646836127416</c:v>
                </c:pt>
                <c:pt idx="25">
                  <c:v>-0.50045740730775556</c:v>
                </c:pt>
                <c:pt idx="26">
                  <c:v>0.27056193632930892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EA8-42FD-BF11-83B4A3A93D9A}"/>
            </c:ext>
          </c:extLst>
        </c:ser>
        <c:ser>
          <c:idx val="13"/>
          <c:order val="13"/>
          <c:tx>
            <c:strRef>
              <c:f>'SATORI (D)'!$AV$1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(D)'!$AV$2:$AV$37</c:f>
              <c:numCache>
                <c:formatCode>0.00000</c:formatCode>
                <c:ptCount val="36"/>
                <c:pt idx="0">
                  <c:v>0.34157650695517328</c:v>
                </c:pt>
                <c:pt idx="1">
                  <c:v>0.47936057647509739</c:v>
                </c:pt>
                <c:pt idx="2">
                  <c:v>0.11349796584695468</c:v>
                </c:pt>
                <c:pt idx="3">
                  <c:v>-0.57094860947218062</c:v>
                </c:pt>
                <c:pt idx="4">
                  <c:v>-0.18978357472020918</c:v>
                </c:pt>
                <c:pt idx="5">
                  <c:v>7.2009793331908045E-3</c:v>
                </c:pt>
                <c:pt idx="6">
                  <c:v>0.27283651986445939</c:v>
                </c:pt>
                <c:pt idx="7">
                  <c:v>3.6632304533118103E-2</c:v>
                </c:pt>
                <c:pt idx="8">
                  <c:v>-0.14528593508501003</c:v>
                </c:pt>
                <c:pt idx="9">
                  <c:v>0.37336201636173733</c:v>
                </c:pt>
                <c:pt idx="10">
                  <c:v>-0.6672591009723714</c:v>
                </c:pt>
                <c:pt idx="11">
                  <c:v>-1.7461776684419832E-2</c:v>
                </c:pt>
                <c:pt idx="12">
                  <c:v>-0.99004362904128473</c:v>
                </c:pt>
                <c:pt idx="13">
                  <c:v>-1.0168905520697687E-2</c:v>
                </c:pt>
                <c:pt idx="14">
                  <c:v>0.38638022468240141</c:v>
                </c:pt>
                <c:pt idx="15">
                  <c:v>-0.30175967106670326</c:v>
                </c:pt>
                <c:pt idx="16">
                  <c:v>8.913155307912031E-2</c:v>
                </c:pt>
                <c:pt idx="17">
                  <c:v>-1.7313989194034159E-2</c:v>
                </c:pt>
                <c:pt idx="18">
                  <c:v>-6.3613879021668082E-2</c:v>
                </c:pt>
                <c:pt idx="19">
                  <c:v>-1.8317441256990544E-2</c:v>
                </c:pt>
                <c:pt idx="20">
                  <c:v>0.21416115116717732</c:v>
                </c:pt>
                <c:pt idx="21">
                  <c:v>0.5264317970956548</c:v>
                </c:pt>
                <c:pt idx="22">
                  <c:v>0.1956796400727297</c:v>
                </c:pt>
                <c:pt idx="23">
                  <c:v>0.80820109244350746</c:v>
                </c:pt>
                <c:pt idx="24">
                  <c:v>8.1352208427459188E-2</c:v>
                </c:pt>
                <c:pt idx="25">
                  <c:v>-0.16553893268772477</c:v>
                </c:pt>
                <c:pt idx="26">
                  <c:v>0.34051035026887339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EA8-42FD-BF11-83B4A3A93D9A}"/>
            </c:ext>
          </c:extLst>
        </c:ser>
        <c:ser>
          <c:idx val="14"/>
          <c:order val="14"/>
          <c:tx>
            <c:strRef>
              <c:f>'SATORI (D)'!$AW$1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(D)'!$AW$2:$AW$37</c:f>
              <c:numCache>
                <c:formatCode>0.00000</c:formatCode>
                <c:ptCount val="36"/>
                <c:pt idx="0">
                  <c:v>0.23281956248735999</c:v>
                </c:pt>
                <c:pt idx="1">
                  <c:v>0.39049219959959197</c:v>
                </c:pt>
                <c:pt idx="2">
                  <c:v>-0.30785452696785737</c:v>
                </c:pt>
                <c:pt idx="3">
                  <c:v>-0.62914263528906333</c:v>
                </c:pt>
                <c:pt idx="4">
                  <c:v>-0.45909791450347853</c:v>
                </c:pt>
                <c:pt idx="5">
                  <c:v>0.42692278916653542</c:v>
                </c:pt>
                <c:pt idx="6">
                  <c:v>1.0437190227123438</c:v>
                </c:pt>
                <c:pt idx="7">
                  <c:v>-0.21310802974082185</c:v>
                </c:pt>
                <c:pt idx="8">
                  <c:v>-0.23940773630343351</c:v>
                </c:pt>
                <c:pt idx="9">
                  <c:v>0.29483496318101399</c:v>
                </c:pt>
                <c:pt idx="10">
                  <c:v>0.12232906992122256</c:v>
                </c:pt>
                <c:pt idx="11">
                  <c:v>-0.6699444527848808</c:v>
                </c:pt>
                <c:pt idx="12">
                  <c:v>-0.90470390240727627</c:v>
                </c:pt>
                <c:pt idx="13">
                  <c:v>8.9807124078090758E-2</c:v>
                </c:pt>
                <c:pt idx="14">
                  <c:v>0.37786787235631247</c:v>
                </c:pt>
                <c:pt idx="15">
                  <c:v>-0.88744658886270311</c:v>
                </c:pt>
                <c:pt idx="16">
                  <c:v>-0.64850544790569542</c:v>
                </c:pt>
                <c:pt idx="17">
                  <c:v>-0.65658411770081304</c:v>
                </c:pt>
                <c:pt idx="18">
                  <c:v>0.16475972540045983</c:v>
                </c:pt>
                <c:pt idx="19">
                  <c:v>0.11179532292353922</c:v>
                </c:pt>
                <c:pt idx="20">
                  <c:v>0.29179169289727808</c:v>
                </c:pt>
                <c:pt idx="21">
                  <c:v>0.42501153668668135</c:v>
                </c:pt>
                <c:pt idx="22">
                  <c:v>0.1789074165676402</c:v>
                </c:pt>
                <c:pt idx="23">
                  <c:v>0.67438007297641001</c:v>
                </c:pt>
                <c:pt idx="24">
                  <c:v>0.35403024670022887</c:v>
                </c:pt>
                <c:pt idx="25">
                  <c:v>0.11877373136560633</c:v>
                </c:pt>
                <c:pt idx="26">
                  <c:v>-0.26443552110586477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EA8-42FD-BF11-83B4A3A93D9A}"/>
            </c:ext>
          </c:extLst>
        </c:ser>
        <c:ser>
          <c:idx val="15"/>
          <c:order val="15"/>
          <c:tx>
            <c:strRef>
              <c:f>'SATORI (D)'!$AX$1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(D)'!$AX$2:$AX$37</c:f>
              <c:numCache>
                <c:formatCode>0.00000</c:formatCode>
                <c:ptCount val="36"/>
                <c:pt idx="0">
                  <c:v>6.6312997347490271E-2</c:v>
                </c:pt>
                <c:pt idx="1">
                  <c:v>0.24054034261507326</c:v>
                </c:pt>
                <c:pt idx="2">
                  <c:v>0.23489421290675613</c:v>
                </c:pt>
                <c:pt idx="3">
                  <c:v>2.0331516674662747E-2</c:v>
                </c:pt>
                <c:pt idx="4">
                  <c:v>0.35081554696621858</c:v>
                </c:pt>
                <c:pt idx="5">
                  <c:v>0.32181032522174202</c:v>
                </c:pt>
                <c:pt idx="6">
                  <c:v>-0.23540089055277222</c:v>
                </c:pt>
                <c:pt idx="7">
                  <c:v>0.50166747427528535</c:v>
                </c:pt>
                <c:pt idx="8">
                  <c:v>0.15530166778004578</c:v>
                </c:pt>
                <c:pt idx="9">
                  <c:v>3.76976987268519E-2</c:v>
                </c:pt>
                <c:pt idx="10">
                  <c:v>0.27491881303801985</c:v>
                </c:pt>
                <c:pt idx="11">
                  <c:v>-0.19549671599814669</c:v>
                </c:pt>
                <c:pt idx="12">
                  <c:v>-0.96185418766064268</c:v>
                </c:pt>
                <c:pt idx="13">
                  <c:v>-0.5646219059789116</c:v>
                </c:pt>
                <c:pt idx="14">
                  <c:v>0.5251452920837717</c:v>
                </c:pt>
                <c:pt idx="15">
                  <c:v>-0.44562376059130282</c:v>
                </c:pt>
                <c:pt idx="16">
                  <c:v>-0.15468643653075057</c:v>
                </c:pt>
                <c:pt idx="17">
                  <c:v>-0.20545061607117779</c:v>
                </c:pt>
                <c:pt idx="18">
                  <c:v>9.214466712739483E-2</c:v>
                </c:pt>
                <c:pt idx="19">
                  <c:v>0.19647360835885389</c:v>
                </c:pt>
                <c:pt idx="20">
                  <c:v>-0.31650542099710932</c:v>
                </c:pt>
                <c:pt idx="21">
                  <c:v>0.16413346523968173</c:v>
                </c:pt>
                <c:pt idx="22">
                  <c:v>-1.0678776774230117E-2</c:v>
                </c:pt>
                <c:pt idx="23">
                  <c:v>0.36326919714122941</c:v>
                </c:pt>
                <c:pt idx="24">
                  <c:v>-5.8066771149263417E-2</c:v>
                </c:pt>
                <c:pt idx="25">
                  <c:v>-0.33991246551715071</c:v>
                </c:pt>
                <c:pt idx="26">
                  <c:v>0.34672890873419143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EA8-42FD-BF11-83B4A3A93D9A}"/>
            </c:ext>
          </c:extLst>
        </c:ser>
        <c:ser>
          <c:idx val="16"/>
          <c:order val="16"/>
          <c:tx>
            <c:strRef>
              <c:f>'SATORI (D)'!$AY$1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(D)'!$AY$2:$AY$37</c:f>
              <c:numCache>
                <c:formatCode>0.00000</c:formatCode>
                <c:ptCount val="36"/>
                <c:pt idx="0">
                  <c:v>0.14889494833524636</c:v>
                </c:pt>
                <c:pt idx="1">
                  <c:v>0.15991375437967073</c:v>
                </c:pt>
                <c:pt idx="2">
                  <c:v>-0.6967553148780985</c:v>
                </c:pt>
                <c:pt idx="3">
                  <c:v>-6.2445360309741913E-3</c:v>
                </c:pt>
                <c:pt idx="4">
                  <c:v>-4.2801348242453047E-2</c:v>
                </c:pt>
                <c:pt idx="5">
                  <c:v>1.0779630464173025</c:v>
                </c:pt>
                <c:pt idx="6">
                  <c:v>-0.25352416570771402</c:v>
                </c:pt>
                <c:pt idx="7">
                  <c:v>0.71986743573258061</c:v>
                </c:pt>
                <c:pt idx="8">
                  <c:v>5.9798316586794083E-2</c:v>
                </c:pt>
                <c:pt idx="9">
                  <c:v>-0.10318142734309099</c:v>
                </c:pt>
                <c:pt idx="10">
                  <c:v>1.02871250914413</c:v>
                </c:pt>
                <c:pt idx="11">
                  <c:v>1.2376993788359776</c:v>
                </c:pt>
                <c:pt idx="12">
                  <c:v>-0.79530531091293799</c:v>
                </c:pt>
                <c:pt idx="13">
                  <c:v>-0.87482931269914599</c:v>
                </c:pt>
                <c:pt idx="14">
                  <c:v>-1.212252018921198</c:v>
                </c:pt>
                <c:pt idx="15">
                  <c:v>-1.4839687081941688</c:v>
                </c:pt>
                <c:pt idx="16">
                  <c:v>-0.37511694822504249</c:v>
                </c:pt>
                <c:pt idx="17">
                  <c:v>-0.58265035713658753</c:v>
                </c:pt>
                <c:pt idx="18">
                  <c:v>0.24453748988424093</c:v>
                </c:pt>
                <c:pt idx="19">
                  <c:v>0.35575250924691498</c:v>
                </c:pt>
                <c:pt idx="20">
                  <c:v>-0.83859277479669125</c:v>
                </c:pt>
                <c:pt idx="21">
                  <c:v>-0.70059541918379387</c:v>
                </c:pt>
                <c:pt idx="22">
                  <c:v>-1.2167670499485394E-2</c:v>
                </c:pt>
                <c:pt idx="23">
                  <c:v>0.24831407810131381</c:v>
                </c:pt>
                <c:pt idx="24">
                  <c:v>-0.11052993446533139</c:v>
                </c:pt>
                <c:pt idx="25">
                  <c:v>-1.7405985918478176E-3</c:v>
                </c:pt>
                <c:pt idx="26">
                  <c:v>-0.90297542043984302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EA8-42FD-BF11-83B4A3A93D9A}"/>
            </c:ext>
          </c:extLst>
        </c:ser>
        <c:ser>
          <c:idx val="17"/>
          <c:order val="17"/>
          <c:tx>
            <c:strRef>
              <c:f>'SATORI (D)'!$AZ$1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(D)'!$AZ$2:$AZ$37</c:f>
              <c:numCache>
                <c:formatCode>0.00000</c:formatCode>
                <c:ptCount val="36"/>
                <c:pt idx="0">
                  <c:v>0.6541412293017409</c:v>
                </c:pt>
                <c:pt idx="1">
                  <c:v>0.44578485070960816</c:v>
                </c:pt>
                <c:pt idx="2">
                  <c:v>-0.5859959568379246</c:v>
                </c:pt>
                <c:pt idx="3">
                  <c:v>-0.31771454891861867</c:v>
                </c:pt>
                <c:pt idx="4">
                  <c:v>-0.42840614153038076</c:v>
                </c:pt>
                <c:pt idx="5">
                  <c:v>1.5587866341323953</c:v>
                </c:pt>
                <c:pt idx="6">
                  <c:v>2.4883260448320666E-2</c:v>
                </c:pt>
                <c:pt idx="7">
                  <c:v>0.52957362670115793</c:v>
                </c:pt>
                <c:pt idx="8">
                  <c:v>0.46304960405516704</c:v>
                </c:pt>
                <c:pt idx="9">
                  <c:v>-0.39199603743137057</c:v>
                </c:pt>
                <c:pt idx="10">
                  <c:v>0.83240694495911083</c:v>
                </c:pt>
                <c:pt idx="11">
                  <c:v>1.6358277386605455</c:v>
                </c:pt>
                <c:pt idx="12">
                  <c:v>-0.5298991237118994</c:v>
                </c:pt>
                <c:pt idx="13">
                  <c:v>-1.81093169423668</c:v>
                </c:pt>
                <c:pt idx="14">
                  <c:v>-1.3883631928673519</c:v>
                </c:pt>
                <c:pt idx="15">
                  <c:v>-1.3238162426858222</c:v>
                </c:pt>
                <c:pt idx="16">
                  <c:v>-1.6785078570080618</c:v>
                </c:pt>
                <c:pt idx="17">
                  <c:v>-1.027748191597301</c:v>
                </c:pt>
                <c:pt idx="18">
                  <c:v>0.14103445486897259</c:v>
                </c:pt>
                <c:pt idx="19">
                  <c:v>9.6054194787823649E-3</c:v>
                </c:pt>
                <c:pt idx="20">
                  <c:v>-0.41233687771869887</c:v>
                </c:pt>
                <c:pt idx="21">
                  <c:v>-1.0940090926745722</c:v>
                </c:pt>
                <c:pt idx="22">
                  <c:v>-1.1386572410330069</c:v>
                </c:pt>
                <c:pt idx="23">
                  <c:v>-0.12193802794741858</c:v>
                </c:pt>
                <c:pt idx="24">
                  <c:v>-0.1428760807765373</c:v>
                </c:pt>
                <c:pt idx="25">
                  <c:v>0.25004306844191165</c:v>
                </c:pt>
                <c:pt idx="26">
                  <c:v>-1.133847538869565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EA8-42FD-BF11-83B4A3A93D9A}"/>
            </c:ext>
          </c:extLst>
        </c:ser>
        <c:ser>
          <c:idx val="18"/>
          <c:order val="18"/>
          <c:tx>
            <c:strRef>
              <c:f>'SATORI (D)'!$BA$1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(D)'!$BA$2:$BA$37</c:f>
              <c:numCache>
                <c:formatCode>0.00000</c:formatCode>
                <c:ptCount val="36"/>
                <c:pt idx="0">
                  <c:v>0.45858219806276601</c:v>
                </c:pt>
                <c:pt idx="1">
                  <c:v>3.4685314685321302E-2</c:v>
                </c:pt>
                <c:pt idx="2">
                  <c:v>-0.27337647846463348</c:v>
                </c:pt>
                <c:pt idx="3">
                  <c:v>0.29881481315681635</c:v>
                </c:pt>
                <c:pt idx="4">
                  <c:v>3.9185830403722192E-2</c:v>
                </c:pt>
                <c:pt idx="5">
                  <c:v>1.1517423358738812</c:v>
                </c:pt>
                <c:pt idx="6">
                  <c:v>-1.0333658361633178</c:v>
                </c:pt>
                <c:pt idx="7">
                  <c:v>0.74750736780297411</c:v>
                </c:pt>
                <c:pt idx="8">
                  <c:v>0.70158282543437234</c:v>
                </c:pt>
                <c:pt idx="9">
                  <c:v>-0.6798726085876311</c:v>
                </c:pt>
                <c:pt idx="10">
                  <c:v>0.74065646510041583</c:v>
                </c:pt>
                <c:pt idx="11">
                  <c:v>2.2926971195810286</c:v>
                </c:pt>
                <c:pt idx="12">
                  <c:v>0.37263743195570714</c:v>
                </c:pt>
                <c:pt idx="13">
                  <c:v>-1.9078502595363938</c:v>
                </c:pt>
                <c:pt idx="14">
                  <c:v>-1.758355566062159</c:v>
                </c:pt>
                <c:pt idx="15">
                  <c:v>-0.40808547372669968</c:v>
                </c:pt>
                <c:pt idx="16">
                  <c:v>-1.0659065196654745</c:v>
                </c:pt>
                <c:pt idx="17">
                  <c:v>-0.36909340052159656</c:v>
                </c:pt>
                <c:pt idx="18">
                  <c:v>-4.08708811540964E-2</c:v>
                </c:pt>
                <c:pt idx="19">
                  <c:v>-8.4983334437011004E-2</c:v>
                </c:pt>
                <c:pt idx="20">
                  <c:v>-0.67309800482350834</c:v>
                </c:pt>
                <c:pt idx="21">
                  <c:v>-1.5476935696246223</c:v>
                </c:pt>
                <c:pt idx="22">
                  <c:v>-1.3090761905776331</c:v>
                </c:pt>
                <c:pt idx="23">
                  <c:v>-0.79777679156365267</c:v>
                </c:pt>
                <c:pt idx="24">
                  <c:v>-0.49522127243477426</c:v>
                </c:pt>
                <c:pt idx="25">
                  <c:v>0.16956649955765407</c:v>
                </c:pt>
                <c:pt idx="26">
                  <c:v>-0.90383451270169257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EA8-42FD-BF11-83B4A3A93D9A}"/>
            </c:ext>
          </c:extLst>
        </c:ser>
        <c:ser>
          <c:idx val="19"/>
          <c:order val="19"/>
          <c:tx>
            <c:strRef>
              <c:f>'SATORI (D)'!$BB$1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(D)'!$BB$2:$BB$37</c:f>
              <c:numCache>
                <c:formatCode>0.00000</c:formatCode>
                <c:ptCount val="36"/>
                <c:pt idx="0">
                  <c:v>-5.3417784306629142E-2</c:v>
                </c:pt>
                <c:pt idx="1">
                  <c:v>-0.24549918166939697</c:v>
                </c:pt>
                <c:pt idx="2">
                  <c:v>-0.38672985781989211</c:v>
                </c:pt>
                <c:pt idx="3">
                  <c:v>0.61609476033340738</c:v>
                </c:pt>
                <c:pt idx="4">
                  <c:v>0.4233229896946798</c:v>
                </c:pt>
                <c:pt idx="5">
                  <c:v>0.66912204246128404</c:v>
                </c:pt>
                <c:pt idx="6">
                  <c:v>-1.30554762584451</c:v>
                </c:pt>
                <c:pt idx="7">
                  <c:v>0.93743396661351897</c:v>
                </c:pt>
                <c:pt idx="8">
                  <c:v>0.29863974413316252</c:v>
                </c:pt>
                <c:pt idx="9">
                  <c:v>-0.39342122939336294</c:v>
                </c:pt>
                <c:pt idx="10">
                  <c:v>0.918017546917684</c:v>
                </c:pt>
                <c:pt idx="11">
                  <c:v>1.912600663192795</c:v>
                </c:pt>
                <c:pt idx="12">
                  <c:v>0.10669828097213692</c:v>
                </c:pt>
                <c:pt idx="13">
                  <c:v>-0.97246952472264658</c:v>
                </c:pt>
                <c:pt idx="14">
                  <c:v>-1.584825726940104</c:v>
                </c:pt>
                <c:pt idx="15">
                  <c:v>-0.60863573725311426</c:v>
                </c:pt>
                <c:pt idx="16">
                  <c:v>0.30909823948394038</c:v>
                </c:pt>
                <c:pt idx="17">
                  <c:v>6.7240451855850397E-2</c:v>
                </c:pt>
                <c:pt idx="18">
                  <c:v>5.3821313240032857E-2</c:v>
                </c:pt>
                <c:pt idx="19">
                  <c:v>0.25630648860111643</c:v>
                </c:pt>
                <c:pt idx="20">
                  <c:v>-1.1053724914714846</c:v>
                </c:pt>
                <c:pt idx="21">
                  <c:v>-1.1473247927656443</c:v>
                </c:pt>
                <c:pt idx="22">
                  <c:v>-0.18428673511602181</c:v>
                </c:pt>
                <c:pt idx="23">
                  <c:v>-0.42878274383508042</c:v>
                </c:pt>
                <c:pt idx="24">
                  <c:v>-0.4659224332333054</c:v>
                </c:pt>
                <c:pt idx="25">
                  <c:v>-8.7516758528223312E-2</c:v>
                </c:pt>
                <c:pt idx="26">
                  <c:v>-0.66587747854395674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EA8-42FD-BF11-83B4A3A93D9A}"/>
            </c:ext>
          </c:extLst>
        </c:ser>
        <c:ser>
          <c:idx val="20"/>
          <c:order val="20"/>
          <c:tx>
            <c:strRef>
              <c:f>'SATORI (D)'!$BC$1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(D)'!$BC$2:$BC$37</c:f>
              <c:numCache>
                <c:formatCode>0.00000</c:formatCode>
                <c:ptCount val="36"/>
                <c:pt idx="0">
                  <c:v>-0.15754425856748844</c:v>
                </c:pt>
                <c:pt idx="1">
                  <c:v>5.5252210088404669E-2</c:v>
                </c:pt>
                <c:pt idx="2">
                  <c:v>0.64604766032613292</c:v>
                </c:pt>
                <c:pt idx="3">
                  <c:v>0.99106390710427728</c:v>
                </c:pt>
                <c:pt idx="4">
                  <c:v>1.1697665480189179</c:v>
                </c:pt>
                <c:pt idx="5">
                  <c:v>-0.21344361253313346</c:v>
                </c:pt>
                <c:pt idx="6">
                  <c:v>-1.3180845812078448</c:v>
                </c:pt>
                <c:pt idx="7">
                  <c:v>0.98374821363289522</c:v>
                </c:pt>
                <c:pt idx="8">
                  <c:v>0.30836930975280757</c:v>
                </c:pt>
                <c:pt idx="9">
                  <c:v>-0.22949892734197799</c:v>
                </c:pt>
                <c:pt idx="10">
                  <c:v>0.30693779505230684</c:v>
                </c:pt>
                <c:pt idx="11">
                  <c:v>0.69710407847879918</c:v>
                </c:pt>
                <c:pt idx="12">
                  <c:v>0.23909749116012408</c:v>
                </c:pt>
                <c:pt idx="13">
                  <c:v>-0.30885956961091476</c:v>
                </c:pt>
                <c:pt idx="14">
                  <c:v>0.12941828999782315</c:v>
                </c:pt>
                <c:pt idx="15">
                  <c:v>-1.8484909591996789E-2</c:v>
                </c:pt>
                <c:pt idx="16">
                  <c:v>0.80805000762312207</c:v>
                </c:pt>
                <c:pt idx="17">
                  <c:v>0.46461758398856501</c:v>
                </c:pt>
                <c:pt idx="18">
                  <c:v>-0.19533572265724261</c:v>
                </c:pt>
                <c:pt idx="19">
                  <c:v>1.0192467766312023E-2</c:v>
                </c:pt>
                <c:pt idx="20">
                  <c:v>-0.73185949646717763</c:v>
                </c:pt>
                <c:pt idx="21">
                  <c:v>-0.43151213942710653</c:v>
                </c:pt>
                <c:pt idx="22">
                  <c:v>-0.37802756590392739</c:v>
                </c:pt>
                <c:pt idx="23">
                  <c:v>-0.49764492452106873</c:v>
                </c:pt>
                <c:pt idx="24">
                  <c:v>-0.60546907310294573</c:v>
                </c:pt>
                <c:pt idx="25">
                  <c:v>-0.60999671160802227</c:v>
                </c:pt>
                <c:pt idx="26">
                  <c:v>0.5339107724349893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EA8-42FD-BF11-83B4A3A93D9A}"/>
            </c:ext>
          </c:extLst>
        </c:ser>
        <c:ser>
          <c:idx val="21"/>
          <c:order val="21"/>
          <c:tx>
            <c:strRef>
              <c:f>'SATORI (D)'!$BD$1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(D)'!$BD$2:$BD$37</c:f>
              <c:numCache>
                <c:formatCode>0.00000</c:formatCode>
                <c:ptCount val="36"/>
                <c:pt idx="0">
                  <c:v>-0.1684909899144427</c:v>
                </c:pt>
                <c:pt idx="1">
                  <c:v>-0.1479572355861038</c:v>
                </c:pt>
                <c:pt idx="2">
                  <c:v>0.54828376384207433</c:v>
                </c:pt>
                <c:pt idx="3">
                  <c:v>0.65208728309040587</c:v>
                </c:pt>
                <c:pt idx="4">
                  <c:v>0.81076145839673741</c:v>
                </c:pt>
                <c:pt idx="5">
                  <c:v>-0.10336860026754437</c:v>
                </c:pt>
                <c:pt idx="6">
                  <c:v>-1.2691056227262321</c:v>
                </c:pt>
                <c:pt idx="7">
                  <c:v>0.719537561069996</c:v>
                </c:pt>
                <c:pt idx="8">
                  <c:v>0.40310830500242711</c:v>
                </c:pt>
                <c:pt idx="9">
                  <c:v>-0.26278503699577427</c:v>
                </c:pt>
                <c:pt idx="10">
                  <c:v>0.14553039766180903</c:v>
                </c:pt>
                <c:pt idx="11">
                  <c:v>0.48991530071293932</c:v>
                </c:pt>
                <c:pt idx="12">
                  <c:v>-6.2114827174629191E-2</c:v>
                </c:pt>
                <c:pt idx="13">
                  <c:v>-0.65459121323218339</c:v>
                </c:pt>
                <c:pt idx="14">
                  <c:v>0.13570000605803717</c:v>
                </c:pt>
                <c:pt idx="15">
                  <c:v>0.46009469673917081</c:v>
                </c:pt>
                <c:pt idx="16">
                  <c:v>0.48802563663495307</c:v>
                </c:pt>
                <c:pt idx="17">
                  <c:v>0.45708107045437119</c:v>
                </c:pt>
                <c:pt idx="18">
                  <c:v>-7.6122188390132836E-2</c:v>
                </c:pt>
                <c:pt idx="19">
                  <c:v>8.9708141321045584E-2</c:v>
                </c:pt>
                <c:pt idx="20">
                  <c:v>-0.60218888943176696</c:v>
                </c:pt>
                <c:pt idx="21">
                  <c:v>-0.27043488853697162</c:v>
                </c:pt>
                <c:pt idx="22">
                  <c:v>-0.18360671684439772</c:v>
                </c:pt>
                <c:pt idx="23">
                  <c:v>-0.30427192939921593</c:v>
                </c:pt>
                <c:pt idx="24">
                  <c:v>-0.42369300966889334</c:v>
                </c:pt>
                <c:pt idx="25">
                  <c:v>-0.44583844064700545</c:v>
                </c:pt>
                <c:pt idx="26">
                  <c:v>0.60692523454879876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EA8-42FD-BF11-83B4A3A93D9A}"/>
            </c:ext>
          </c:extLst>
        </c:ser>
        <c:ser>
          <c:idx val="22"/>
          <c:order val="22"/>
          <c:tx>
            <c:strRef>
              <c:f>'SATORI (D)'!$BE$1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(D)'!$BE$2:$BE$37</c:f>
              <c:numCache>
                <c:formatCode>0.00000</c:formatCode>
                <c:ptCount val="36"/>
                <c:pt idx="0">
                  <c:v>0.60075234405703959</c:v>
                </c:pt>
                <c:pt idx="1">
                  <c:v>0.20535036147289101</c:v>
                </c:pt>
                <c:pt idx="2">
                  <c:v>-0.81563185893381507</c:v>
                </c:pt>
                <c:pt idx="3">
                  <c:v>-0.34292917122361255</c:v>
                </c:pt>
                <c:pt idx="4">
                  <c:v>-0.77526508916007375</c:v>
                </c:pt>
                <c:pt idx="5">
                  <c:v>1.2279133850937352</c:v>
                </c:pt>
                <c:pt idx="6">
                  <c:v>0.26602447425164122</c:v>
                </c:pt>
                <c:pt idx="7">
                  <c:v>2.8944370786718923E-2</c:v>
                </c:pt>
                <c:pt idx="8">
                  <c:v>0.30813033257472183</c:v>
                </c:pt>
                <c:pt idx="9">
                  <c:v>-0.43547183886609359</c:v>
                </c:pt>
                <c:pt idx="10">
                  <c:v>0.55698291543986089</c:v>
                </c:pt>
                <c:pt idx="11">
                  <c:v>1.8411352394048752</c:v>
                </c:pt>
                <c:pt idx="12">
                  <c:v>0.42965378344682797</c:v>
                </c:pt>
                <c:pt idx="13">
                  <c:v>-1.2473126426548791</c:v>
                </c:pt>
                <c:pt idx="14">
                  <c:v>-1.8954351603222166</c:v>
                </c:pt>
                <c:pt idx="15">
                  <c:v>-0.89503586589195883</c:v>
                </c:pt>
                <c:pt idx="16">
                  <c:v>-1.5296592495874342</c:v>
                </c:pt>
                <c:pt idx="17">
                  <c:v>-0.8219424460431668</c:v>
                </c:pt>
                <c:pt idx="18">
                  <c:v>5.7587100489496799E-2</c:v>
                </c:pt>
                <c:pt idx="19">
                  <c:v>-0.19846080623580345</c:v>
                </c:pt>
                <c:pt idx="20">
                  <c:v>-9.1513471321296502E-2</c:v>
                </c:pt>
                <c:pt idx="21">
                  <c:v>-1.2562346625087415</c:v>
                </c:pt>
                <c:pt idx="22">
                  <c:v>-1.1316557033870855</c:v>
                </c:pt>
                <c:pt idx="23">
                  <c:v>-0.47856482853606808</c:v>
                </c:pt>
                <c:pt idx="24">
                  <c:v>-8.5353957636565433E-2</c:v>
                </c:pt>
                <c:pt idx="25">
                  <c:v>0.58873002523128415</c:v>
                </c:pt>
                <c:pt idx="26">
                  <c:v>-1.471743390102632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EA8-42FD-BF11-83B4A3A93D9A}"/>
            </c:ext>
          </c:extLst>
        </c:ser>
        <c:ser>
          <c:idx val="23"/>
          <c:order val="23"/>
          <c:tx>
            <c:strRef>
              <c:f>'SATORI (D)'!$BF$1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(D)'!$BF$2:$BF$37</c:f>
              <c:numCache>
                <c:formatCode>0.00000</c:formatCode>
                <c:ptCount val="36"/>
                <c:pt idx="0">
                  <c:v>9.5771680314138283E-2</c:v>
                </c:pt>
                <c:pt idx="1">
                  <c:v>-7.9746088454370229E-2</c:v>
                </c:pt>
                <c:pt idx="2">
                  <c:v>-0.9275353158676376</c:v>
                </c:pt>
                <c:pt idx="3">
                  <c:v>-3.0013427059477685E-2</c:v>
                </c:pt>
                <c:pt idx="4">
                  <c:v>-0.39336008181888865</c:v>
                </c:pt>
                <c:pt idx="5">
                  <c:v>0.75301204819275847</c:v>
                </c:pt>
                <c:pt idx="6">
                  <c:v>-1.5850372483751624E-2</c:v>
                </c:pt>
                <c:pt idx="7">
                  <c:v>0.21762267088144843</c:v>
                </c:pt>
                <c:pt idx="8">
                  <c:v>-9.3632958801494859E-2</c:v>
                </c:pt>
                <c:pt idx="9">
                  <c:v>-0.14579107505071498</c:v>
                </c:pt>
                <c:pt idx="10">
                  <c:v>0.75199974454360985</c:v>
                </c:pt>
                <c:pt idx="11">
                  <c:v>1.4414589508122408</c:v>
                </c:pt>
                <c:pt idx="12">
                  <c:v>0.16384932351319983</c:v>
                </c:pt>
                <c:pt idx="13">
                  <c:v>-0.30889654391669141</c:v>
                </c:pt>
                <c:pt idx="14">
                  <c:v>-1.7213427427045593</c:v>
                </c:pt>
                <c:pt idx="15">
                  <c:v>-1.0505787619526781</c:v>
                </c:pt>
                <c:pt idx="16">
                  <c:v>-0.22909147967990223</c:v>
                </c:pt>
                <c:pt idx="17">
                  <c:v>-0.37517586368611355</c:v>
                </c:pt>
                <c:pt idx="18">
                  <c:v>0.16284094823537421</c:v>
                </c:pt>
                <c:pt idx="19">
                  <c:v>0.14582973985855868</c:v>
                </c:pt>
                <c:pt idx="20">
                  <c:v>-0.51945215736435657</c:v>
                </c:pt>
                <c:pt idx="21">
                  <c:v>-0.86292218235803997</c:v>
                </c:pt>
                <c:pt idx="22">
                  <c:v>-4.6391513445767536E-3</c:v>
                </c:pt>
                <c:pt idx="23">
                  <c:v>-0.10967283512002046</c:v>
                </c:pt>
                <c:pt idx="24">
                  <c:v>-5.4034860204108574E-2</c:v>
                </c:pt>
                <c:pt idx="25">
                  <c:v>0.33614226408079889</c:v>
                </c:pt>
                <c:pt idx="26">
                  <c:v>-1.2406871969036288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EA8-42FD-BF11-83B4A3A93D9A}"/>
            </c:ext>
          </c:extLst>
        </c:ser>
        <c:ser>
          <c:idx val="24"/>
          <c:order val="24"/>
          <c:tx>
            <c:strRef>
              <c:f>'SATORI (D)'!$BG$1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(D)'!$BG$2:$BG$37</c:f>
              <c:numCache>
                <c:formatCode>0.00000</c:formatCode>
                <c:ptCount val="36"/>
                <c:pt idx="0">
                  <c:v>0.5094861752773151</c:v>
                </c:pt>
                <c:pt idx="1">
                  <c:v>0.28634089265450047</c:v>
                </c:pt>
                <c:pt idx="2">
                  <c:v>0.1112497645507587</c:v>
                </c:pt>
                <c:pt idx="3">
                  <c:v>-0.31158497585363482</c:v>
                </c:pt>
                <c:pt idx="4">
                  <c:v>-0.37879895011895698</c:v>
                </c:pt>
                <c:pt idx="5">
                  <c:v>0.47162054221679112</c:v>
                </c:pt>
                <c:pt idx="6">
                  <c:v>0.27621543626138728</c:v>
                </c:pt>
                <c:pt idx="7">
                  <c:v>-0.18693456702310349</c:v>
                </c:pt>
                <c:pt idx="8">
                  <c:v>0.40785730306571905</c:v>
                </c:pt>
                <c:pt idx="9">
                  <c:v>-0.30540010944975343</c:v>
                </c:pt>
                <c:pt idx="10">
                  <c:v>-0.18149779735682672</c:v>
                </c:pt>
                <c:pt idx="11">
                  <c:v>0.40989649376308168</c:v>
                </c:pt>
                <c:pt idx="12">
                  <c:v>0.25780663319911251</c:v>
                </c:pt>
                <c:pt idx="13">
                  <c:v>-0.93721261253872989</c:v>
                </c:pt>
                <c:pt idx="14">
                  <c:v>-0.20109550282644062</c:v>
                </c:pt>
                <c:pt idx="15">
                  <c:v>0.20913148922709182</c:v>
                </c:pt>
                <c:pt idx="16">
                  <c:v>-1.332285230418879</c:v>
                </c:pt>
                <c:pt idx="17">
                  <c:v>-0.46370608168361643</c:v>
                </c:pt>
                <c:pt idx="18">
                  <c:v>-0.10402418418601546</c:v>
                </c:pt>
                <c:pt idx="19">
                  <c:v>-0.34478808705613051</c:v>
                </c:pt>
                <c:pt idx="20">
                  <c:v>0.43198407813677664</c:v>
                </c:pt>
                <c:pt idx="21">
                  <c:v>-0.39989229262033005</c:v>
                </c:pt>
                <c:pt idx="22">
                  <c:v>-1.1233218149889561</c:v>
                </c:pt>
                <c:pt idx="23">
                  <c:v>-0.35504828995421667</c:v>
                </c:pt>
                <c:pt idx="24">
                  <c:v>-4.6264690449739083E-2</c:v>
                </c:pt>
                <c:pt idx="25">
                  <c:v>0.25453784412103392</c:v>
                </c:pt>
                <c:pt idx="26">
                  <c:v>-0.23362771930815476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EA8-42FD-BF11-83B4A3A93D9A}"/>
            </c:ext>
          </c:extLst>
        </c:ser>
        <c:ser>
          <c:idx val="25"/>
          <c:order val="25"/>
          <c:tx>
            <c:strRef>
              <c:f>'SATORI (D)'!$BH$1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(D)'!$BH$2:$BH$37</c:f>
              <c:numCache>
                <c:formatCode>0.00000</c:formatCode>
                <c:ptCount val="36"/>
                <c:pt idx="0">
                  <c:v>-1.2506069121779944E-2</c:v>
                </c:pt>
                <c:pt idx="1">
                  <c:v>-0.19749932086665353</c:v>
                </c:pt>
                <c:pt idx="2">
                  <c:v>-9.6087549694127833E-2</c:v>
                </c:pt>
                <c:pt idx="3">
                  <c:v>-0.3333577015863658</c:v>
                </c:pt>
                <c:pt idx="4">
                  <c:v>-0.364192585038977</c:v>
                </c:pt>
                <c:pt idx="5">
                  <c:v>0.11010726343344346</c:v>
                </c:pt>
                <c:pt idx="6">
                  <c:v>5.5448954130589138E-2</c:v>
                </c:pt>
                <c:pt idx="7">
                  <c:v>-0.26196488215219049</c:v>
                </c:pt>
                <c:pt idx="8">
                  <c:v>9.4688003030021839E-2</c:v>
                </c:pt>
                <c:pt idx="9">
                  <c:v>-3.8588673860172083E-2</c:v>
                </c:pt>
                <c:pt idx="10">
                  <c:v>-0.16064899285439424</c:v>
                </c:pt>
                <c:pt idx="11">
                  <c:v>-0.20095180058618156</c:v>
                </c:pt>
                <c:pt idx="12">
                  <c:v>-0.30016129148915266</c:v>
                </c:pt>
                <c:pt idx="13">
                  <c:v>-0.34094513162068757</c:v>
                </c:pt>
                <c:pt idx="14">
                  <c:v>-4.3246983522862506E-3</c:v>
                </c:pt>
                <c:pt idx="15">
                  <c:v>0.47435238226284593</c:v>
                </c:pt>
                <c:pt idx="16">
                  <c:v>-0.30828099054219882</c:v>
                </c:pt>
                <c:pt idx="17">
                  <c:v>-7.2191741264791354E-3</c:v>
                </c:pt>
                <c:pt idx="18">
                  <c:v>0.12070573099246568</c:v>
                </c:pt>
                <c:pt idx="19">
                  <c:v>7.2331160987457038E-2</c:v>
                </c:pt>
                <c:pt idx="20">
                  <c:v>0.13109102497248459</c:v>
                </c:pt>
                <c:pt idx="21">
                  <c:v>0.16758439071103912</c:v>
                </c:pt>
                <c:pt idx="22">
                  <c:v>0.19626229365199968</c:v>
                </c:pt>
                <c:pt idx="23">
                  <c:v>0.19591848625657904</c:v>
                </c:pt>
                <c:pt idx="24">
                  <c:v>0.17729590906105636</c:v>
                </c:pt>
                <c:pt idx="25">
                  <c:v>0.1658968662301212</c:v>
                </c:pt>
                <c:pt idx="26">
                  <c:v>7.6063425194541706E-2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EA8-42FD-BF11-83B4A3A93D9A}"/>
            </c:ext>
          </c:extLst>
        </c:ser>
        <c:ser>
          <c:idx val="26"/>
          <c:order val="26"/>
          <c:tx>
            <c:strRef>
              <c:f>'SATORI (D)'!$BI$1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(D)'!$BI$2:$BI$37</c:f>
              <c:numCache>
                <c:formatCode>0.00000</c:formatCode>
                <c:ptCount val="36"/>
                <c:pt idx="0">
                  <c:v>7.1623985816102409E-2</c:v>
                </c:pt>
                <c:pt idx="1">
                  <c:v>-0.27633689683031248</c:v>
                </c:pt>
                <c:pt idx="2">
                  <c:v>-1.0256350825143734</c:v>
                </c:pt>
                <c:pt idx="3">
                  <c:v>-0.35912654880542005</c:v>
                </c:pt>
                <c:pt idx="4">
                  <c:v>-0.75068191716138455</c:v>
                </c:pt>
                <c:pt idx="5">
                  <c:v>0.86118207354147625</c:v>
                </c:pt>
                <c:pt idx="6">
                  <c:v>3.7004058882707185E-2</c:v>
                </c:pt>
                <c:pt idx="7">
                  <c:v>-4.6233688176885002E-2</c:v>
                </c:pt>
                <c:pt idx="8">
                  <c:v>1.1558555642834261E-3</c:v>
                </c:pt>
                <c:pt idx="9">
                  <c:v>-0.17538191720126989</c:v>
                </c:pt>
                <c:pt idx="10">
                  <c:v>0.58259638372444167</c:v>
                </c:pt>
                <c:pt idx="11">
                  <c:v>1.2324212554483827</c:v>
                </c:pt>
                <c:pt idx="12">
                  <c:v>-0.13141067007708759</c:v>
                </c:pt>
                <c:pt idx="13">
                  <c:v>-0.65392236857442643</c:v>
                </c:pt>
                <c:pt idx="14">
                  <c:v>-1.7217875431019656</c:v>
                </c:pt>
                <c:pt idx="15">
                  <c:v>-0.58084575697869023</c:v>
                </c:pt>
                <c:pt idx="16">
                  <c:v>-0.52905857029569081</c:v>
                </c:pt>
                <c:pt idx="17">
                  <c:v>-0.38595224123143351</c:v>
                </c:pt>
                <c:pt idx="18">
                  <c:v>0.27498330862633313</c:v>
                </c:pt>
                <c:pt idx="19">
                  <c:v>0.23593198806728266</c:v>
                </c:pt>
                <c:pt idx="20">
                  <c:v>-0.39993221487883268</c:v>
                </c:pt>
                <c:pt idx="21">
                  <c:v>-0.69668820678514276</c:v>
                </c:pt>
                <c:pt idx="22">
                  <c:v>0.19446286658498582</c:v>
                </c:pt>
                <c:pt idx="23">
                  <c:v>8.0998076295694041E-2</c:v>
                </c:pt>
                <c:pt idx="24">
                  <c:v>0.12841163814952408</c:v>
                </c:pt>
                <c:pt idx="25">
                  <c:v>0.50150564901396222</c:v>
                </c:pt>
                <c:pt idx="26">
                  <c:v>-1.170284179906022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EA8-42FD-BF11-83B4A3A93D9A}"/>
            </c:ext>
          </c:extLst>
        </c:ser>
        <c:ser>
          <c:idx val="27"/>
          <c:order val="27"/>
          <c:tx>
            <c:strRef>
              <c:f>'SATORI (D)'!$BJ$1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(D)'!$BJ$2:$BJ$37</c:f>
              <c:numCache>
                <c:formatCode>0.00000</c:formatCode>
                <c:ptCount val="36"/>
                <c:pt idx="0">
                  <c:v>0.57891403711658695</c:v>
                </c:pt>
                <c:pt idx="1">
                  <c:v>6.8841128443714837E-3</c:v>
                </c:pt>
                <c:pt idx="2">
                  <c:v>-0.9140393719048876</c:v>
                </c:pt>
                <c:pt idx="3">
                  <c:v>-0.67480589167875527</c:v>
                </c:pt>
                <c:pt idx="4">
                  <c:v>-1.1287286563104801</c:v>
                </c:pt>
                <c:pt idx="5">
                  <c:v>1.3366007304125842</c:v>
                </c:pt>
                <c:pt idx="6">
                  <c:v>0.31870122441196169</c:v>
                </c:pt>
                <c:pt idx="7">
                  <c:v>-0.23371152931584624</c:v>
                </c:pt>
                <c:pt idx="8">
                  <c:v>0.38739070535116393</c:v>
                </c:pt>
                <c:pt idx="9">
                  <c:v>-0.44609211089156109</c:v>
                </c:pt>
                <c:pt idx="10">
                  <c:v>0.3857872172200163</c:v>
                </c:pt>
                <c:pt idx="11">
                  <c:v>1.6306569039685679</c:v>
                </c:pt>
                <c:pt idx="12">
                  <c:v>0.13387345143793408</c:v>
                </c:pt>
                <c:pt idx="13">
                  <c:v>-1.5945174809900291</c:v>
                </c:pt>
                <c:pt idx="14">
                  <c:v>-1.8937922721489338</c:v>
                </c:pt>
                <c:pt idx="15">
                  <c:v>-0.4201120298746302</c:v>
                </c:pt>
                <c:pt idx="16">
                  <c:v>-1.8290846720871354</c:v>
                </c:pt>
                <c:pt idx="17">
                  <c:v>-0.83098536686705615</c:v>
                </c:pt>
                <c:pt idx="18">
                  <c:v>0.16973070695115247</c:v>
                </c:pt>
                <c:pt idx="19">
                  <c:v>-0.10978160605943221</c:v>
                </c:pt>
                <c:pt idx="20">
                  <c:v>2.9240336068939561E-2</c:v>
                </c:pt>
                <c:pt idx="21">
                  <c:v>-1.0912947074134822</c:v>
                </c:pt>
                <c:pt idx="22">
                  <c:v>-0.93402605340566969</c:v>
                </c:pt>
                <c:pt idx="23">
                  <c:v>-0.28759165793732316</c:v>
                </c:pt>
                <c:pt idx="24">
                  <c:v>9.5955873007792153E-2</c:v>
                </c:pt>
                <c:pt idx="25">
                  <c:v>0.75358384500630171</c:v>
                </c:pt>
                <c:pt idx="26">
                  <c:v>-1.3995858690437013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EA8-42FD-BF11-83B4A3A93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638174</xdr:colOff>
      <xdr:row>41</xdr:row>
      <xdr:rowOff>78363</xdr:rowOff>
    </xdr:from>
    <xdr:to>
      <xdr:col>97</xdr:col>
      <xdr:colOff>381000</xdr:colOff>
      <xdr:row>77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867A90-55D2-46C4-9FF3-78782CC9D7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0C91D7B-337A-44C2-BFAC-C568B4A2B3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206828</xdr:colOff>
      <xdr:row>2</xdr:row>
      <xdr:rowOff>27547</xdr:rowOff>
    </xdr:from>
    <xdr:to>
      <xdr:col>142</xdr:col>
      <xdr:colOff>263978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76B4954-37CD-42BC-97BE-F9DDA2EDAC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109</xdr:col>
      <xdr:colOff>868504</xdr:colOff>
      <xdr:row>40</xdr:row>
      <xdr:rowOff>5194</xdr:rowOff>
    </xdr:from>
    <xdr:to>
      <xdr:col>124</xdr:col>
      <xdr:colOff>147205</xdr:colOff>
      <xdr:row>79</xdr:row>
      <xdr:rowOff>148935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A9DA272-086F-4FD3-8246-AFCFCE0E89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9A3E9E-64C3-4F59-B2F9-25ECC31CB9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129</xdr:col>
      <xdr:colOff>167269</xdr:colOff>
      <xdr:row>33</xdr:row>
      <xdr:rowOff>167268</xdr:rowOff>
    </xdr:from>
    <xdr:to>
      <xdr:col>142</xdr:col>
      <xdr:colOff>222110</xdr:colOff>
      <xdr:row>65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7189235-A589-4012-B0CE-F91A769810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143</xdr:col>
      <xdr:colOff>30480</xdr:colOff>
      <xdr:row>33</xdr:row>
      <xdr:rowOff>152400</xdr:rowOff>
    </xdr:from>
    <xdr:to>
      <xdr:col>152</xdr:col>
      <xdr:colOff>2282190</xdr:colOff>
      <xdr:row>65</xdr:row>
      <xdr:rowOff>58996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A45E398-4737-4DEF-B719-9F51707E7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121</xdr:col>
      <xdr:colOff>443345</xdr:colOff>
      <xdr:row>108</xdr:row>
      <xdr:rowOff>103214</xdr:rowOff>
    </xdr:from>
    <xdr:to>
      <xdr:col>135</xdr:col>
      <xdr:colOff>484909</xdr:colOff>
      <xdr:row>134</xdr:row>
      <xdr:rowOff>41562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6F41B4A-328E-9CE3-79FD-6DF2DEF91E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121</xdr:col>
      <xdr:colOff>477288</xdr:colOff>
      <xdr:row>79</xdr:row>
      <xdr:rowOff>13854</xdr:rowOff>
    </xdr:from>
    <xdr:to>
      <xdr:col>135</xdr:col>
      <xdr:colOff>554181</xdr:colOff>
      <xdr:row>106</xdr:row>
      <xdr:rowOff>96983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F21DF0C-B1F8-4853-8AF3-4F18646ED9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85</xdr:col>
      <xdr:colOff>552450</xdr:colOff>
      <xdr:row>77</xdr:row>
      <xdr:rowOff>152400</xdr:rowOff>
    </xdr:from>
    <xdr:to>
      <xdr:col>97</xdr:col>
      <xdr:colOff>457200</xdr:colOff>
      <xdr:row>113</xdr:row>
      <xdr:rowOff>39400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A6A8DEA2-335C-40BA-BAFC-A3C995681E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98</xdr:col>
      <xdr:colOff>19050</xdr:colOff>
      <xdr:row>41</xdr:row>
      <xdr:rowOff>152400</xdr:rowOff>
    </xdr:from>
    <xdr:to>
      <xdr:col>109</xdr:col>
      <xdr:colOff>419100</xdr:colOff>
      <xdr:row>76</xdr:row>
      <xdr:rowOff>95250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44C3BF99-EA3A-47DA-B401-BF6E093487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200024</xdr:colOff>
      <xdr:row>37</xdr:row>
      <xdr:rowOff>147636</xdr:rowOff>
    </xdr:from>
    <xdr:to>
      <xdr:col>107</xdr:col>
      <xdr:colOff>523874</xdr:colOff>
      <xdr:row>67</xdr:row>
      <xdr:rowOff>159543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710733-350F-49E8-A7F3-B3E072DC25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17543C3-E622-4BDE-B78B-E4CD44A6D0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206828</xdr:colOff>
      <xdr:row>2</xdr:row>
      <xdr:rowOff>27547</xdr:rowOff>
    </xdr:from>
    <xdr:to>
      <xdr:col>142</xdr:col>
      <xdr:colOff>263978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5279F8B-F28A-45F1-9ECD-4F20F22493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110</xdr:col>
      <xdr:colOff>828674</xdr:colOff>
      <xdr:row>37</xdr:row>
      <xdr:rowOff>150158</xdr:rowOff>
    </xdr:from>
    <xdr:to>
      <xdr:col>123</xdr:col>
      <xdr:colOff>19050</xdr:colOff>
      <xdr:row>68</xdr:row>
      <xdr:rowOff>31376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F0D61DD-B01D-4B70-9B2C-F64BFE6447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01896B6-E241-469B-BA75-C8E40E3430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140</xdr:col>
      <xdr:colOff>69273</xdr:colOff>
      <xdr:row>6</xdr:row>
      <xdr:rowOff>83127</xdr:rowOff>
    </xdr:from>
    <xdr:to>
      <xdr:col>141</xdr:col>
      <xdr:colOff>290945</xdr:colOff>
      <xdr:row>8</xdr:row>
      <xdr:rowOff>41564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186F27A9-280E-1EFA-6A31-EEAA3F67D3C6}"/>
            </a:ext>
          </a:extLst>
        </xdr:cNvPr>
        <xdr:cNvCxnSpPr/>
      </xdr:nvCxnSpPr>
      <xdr:spPr>
        <a:xfrm>
          <a:off x="133848764" y="1246909"/>
          <a:ext cx="831272" cy="3186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61478</xdr:colOff>
      <xdr:row>38</xdr:row>
      <xdr:rowOff>22945</xdr:rowOff>
    </xdr:from>
    <xdr:to>
      <xdr:col>107</xdr:col>
      <xdr:colOff>568036</xdr:colOff>
      <xdr:row>71</xdr:row>
      <xdr:rowOff>138545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5296EA-F74C-43CF-B9D9-C42A90CEB7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746802A-774B-4F5F-B99C-D5D9A5087C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109846</xdr:colOff>
      <xdr:row>2</xdr:row>
      <xdr:rowOff>27547</xdr:rowOff>
    </xdr:from>
    <xdr:to>
      <xdr:col>142</xdr:col>
      <xdr:colOff>166996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DF47751-F271-4BF6-8E74-425B9C1CC6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110</xdr:col>
      <xdr:colOff>828674</xdr:colOff>
      <xdr:row>37</xdr:row>
      <xdr:rowOff>150158</xdr:rowOff>
    </xdr:from>
    <xdr:to>
      <xdr:col>123</xdr:col>
      <xdr:colOff>19050</xdr:colOff>
      <xdr:row>68</xdr:row>
      <xdr:rowOff>31376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98EDB19-C21A-441A-9B87-202A2D881E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3AA07C3-E8B8-4228-A4CC-33F6622EFE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aya\OneDrive\Desktop\RT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SATORI"/>
      <sheetName val="Data"/>
      <sheetName val="PreviousPriceData"/>
      <sheetName val="Position sizing"/>
      <sheetName val="ProbScalping(Day)"/>
      <sheetName val="ProbScalping(Week)"/>
      <sheetName val="IdentifyTrend"/>
      <sheetName val="ProbManual"/>
      <sheetName val="ProbAuto"/>
      <sheetName val="RTD"/>
    </sheetNames>
    <sheetDataSet>
      <sheetData sheetId="0"/>
      <sheetData sheetId="1">
        <row r="1">
          <cell r="AH1" t="str">
            <v>AUDUSD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B9F06B-43F0-4B2E-86C8-2472C1C3F880}" name="Table124" displayName="Table124" ref="C1:AD37" headerRowDxfId="207" dataDxfId="205" totalsRowDxfId="203" headerRowBorderDxfId="206" tableBorderDxfId="204" totalsRowBorderDxfId="202">
  <tableColumns count="28">
    <tableColumn id="1" xr3:uid="{18E4C186-070D-40F2-B013-8BB8B05B7ECC}" name="AUDUSD" totalsRowLabel="Total" dataDxfId="201" totalsRowDxfId="200">
      <calculatedColumnFormula>RTD("fxbluelabs.excelrtd", , "2000072004","@bh,AUDUSD,h1,close,1")</calculatedColumnFormula>
    </tableColumn>
    <tableColumn id="2" xr3:uid="{F350DE49-A415-414E-B323-88BDA9F6518E}" name="AUDNZD" dataDxfId="199" totalsRowDxfId="198">
      <calculatedColumnFormula>RTD("fxbluelabs.excelrtd", , "2000072004","@bh,AUDNZD,h1,close,1")</calculatedColumnFormula>
    </tableColumn>
    <tableColumn id="3" xr3:uid="{10736815-72AB-4629-9E66-914976F8DAAC}" name="AUDJPY" dataDxfId="197" totalsRowDxfId="196">
      <calculatedColumnFormula>RTD("fxbluelabs.excelrtd", , "2000072004","@bh,AUDJPY,h1,close,1")</calculatedColumnFormula>
    </tableColumn>
    <tableColumn id="4" xr3:uid="{AAD5D3D0-B1E8-4570-B687-AA877E60643E}" name="AUDCHF" dataDxfId="195" totalsRowDxfId="194">
      <calculatedColumnFormula>RTD("fxbluelabs.excelrtd", , "2000072004","@bh,AUDCHF,h1,close,1")</calculatedColumnFormula>
    </tableColumn>
    <tableColumn id="5" xr3:uid="{76F0531E-436E-4C68-9059-71CDF7D21787}" name="AUDCAD" dataDxfId="193" totalsRowDxfId="192">
      <calculatedColumnFormula>RTD("fxbluelabs.excelrtd", , "2000072004","@bh,AUDCAD,h1,close,1")</calculatedColumnFormula>
    </tableColumn>
    <tableColumn id="6" xr3:uid="{279D3BDB-B2B1-4323-BB58-BA230BC6DEFC}" name="EURUSD" dataDxfId="191" totalsRowDxfId="190">
      <calculatedColumnFormula>RTD("fxbluelabs.excelrtd", , "2000072004","@bh,EURUSD,h1,close,1")</calculatedColumnFormula>
    </tableColumn>
    <tableColumn id="7" xr3:uid="{0757C1F0-6515-411E-8117-1068D37B7303}" name="EURCAD" dataDxfId="189" totalsRowDxfId="188">
      <calculatedColumnFormula>RTD("fxbluelabs.excelrtd", , "2000072004","@bh,EURCAD,h1,close,1")</calculatedColumnFormula>
    </tableColumn>
    <tableColumn id="8" xr3:uid="{129DFCF4-5951-4C36-B20E-CD70562FCDC6}" name="EURGBP" dataDxfId="187" totalsRowDxfId="186">
      <calculatedColumnFormula>RTD("fxbluelabs.excelrtd", , "2000072004","@bh,EURGBP,h1,close,1")</calculatedColumnFormula>
    </tableColumn>
    <tableColumn id="9" xr3:uid="{DDFD7643-0C34-4B6A-B250-B9C484C0251B}" name="EURCHF" dataDxfId="185" totalsRowDxfId="184">
      <calculatedColumnFormula>RTD("fxbluelabs.excelrtd", , "2000072004","@bh,EURCHF,h1,close,1")</calculatedColumnFormula>
    </tableColumn>
    <tableColumn id="10" xr3:uid="{B03BB671-E70C-46FF-8C0C-61039182B22D}" name="EURJPY" dataDxfId="183" totalsRowDxfId="182">
      <calculatedColumnFormula>RTD("fxbluelabs.excelrtd", , "2000072004","@bh,EURJPY,h1,close,1")</calculatedColumnFormula>
    </tableColumn>
    <tableColumn id="11" xr3:uid="{2D0C1E34-18C3-4458-BC34-A6A3794B468D}" name="EURAUD" dataDxfId="181" totalsRowDxfId="180">
      <calculatedColumnFormula>RTD("fxbluelabs.excelrtd", , "2000072004","@bh,EURAUD,h1,close,1")</calculatedColumnFormula>
    </tableColumn>
    <tableColumn id="12" xr3:uid="{F568802C-939C-4FB6-8F7B-7FF4B5ED16CC}" name="EURNZD" dataDxfId="179" totalsRowDxfId="178">
      <calculatedColumnFormula>RTD("fxbluelabs.excelrtd", , "2000072004","@bh,EURNZD,h1,close,1")</calculatedColumnFormula>
    </tableColumn>
    <tableColumn id="13" xr3:uid="{175CE806-EF82-46C4-8111-DBE497D242AC}" name="GBPUSD" dataDxfId="177" totalsRowDxfId="176">
      <calculatedColumnFormula>RTD("fxbluelabs.excelrtd", , "2000072004","@bh,GBPUSD,h1,close,1")</calculatedColumnFormula>
    </tableColumn>
    <tableColumn id="14" xr3:uid="{96C03226-9486-43B2-8515-DD0CC935B7FB}" name="GBPAUD" dataDxfId="175" totalsRowDxfId="174">
      <calculatedColumnFormula>RTD("fxbluelabs.excelrtd", , "2000072004","@bh,GBPAUD,h1,close,1")</calculatedColumnFormula>
    </tableColumn>
    <tableColumn id="15" xr3:uid="{25FFFFB9-D46C-4E1E-BE60-32EDE8CA03B4}" name="GBPNZD" dataDxfId="173" totalsRowDxfId="172">
      <calculatedColumnFormula>RTD("fxbluelabs.excelrtd", , "2000072004","@bh,GBPNZD,h1,close,1")</calculatedColumnFormula>
    </tableColumn>
    <tableColumn id="16" xr3:uid="{87096E31-0191-423A-8BC7-B5EC1C98C2B5}" name="GBPCAD" dataDxfId="171" totalsRowDxfId="170">
      <calculatedColumnFormula>RTD("fxbluelabs.excelrtd", , "2000072004","@bh,GBPCAD,h1,close,1")</calculatedColumnFormula>
    </tableColumn>
    <tableColumn id="17" xr3:uid="{167AED93-E66B-4216-8247-D135A758F972}" name="GBPCHF" dataDxfId="169" totalsRowDxfId="168">
      <calculatedColumnFormula>RTD("fxbluelabs.excelrtd", , "2000072004","@bh,GBPCHF,h1,close,1")</calculatedColumnFormula>
    </tableColumn>
    <tableColumn id="18" xr3:uid="{D88582C5-6263-4CC4-8C34-7FB89D83768B}" name="GBPJPY" dataDxfId="167" totalsRowDxfId="166">
      <calculatedColumnFormula>RTD("fxbluelabs.excelrtd", , "2000072004","@bh,GBPJPY,h1,close,1")</calculatedColumnFormula>
    </tableColumn>
    <tableColumn id="19" xr3:uid="{12007F3D-F588-45E1-B64A-7E95A7F46117}" name="NZDJPY" dataDxfId="165" totalsRowDxfId="164">
      <calculatedColumnFormula>RTD("fxbluelabs.excelrtd", , "2000072004","@bh,NZDJPY,h1,close,1")</calculatedColumnFormula>
    </tableColumn>
    <tableColumn id="20" xr3:uid="{3481813E-9FEF-4425-BAFE-FE1B6FFD39DA}" name="NZDCHF" dataDxfId="163" totalsRowDxfId="162">
      <calculatedColumnFormula>RTD("fxbluelabs.excelrtd", , "2000072004","@bh,NZDCHF,h1,close,1")</calculatedColumnFormula>
    </tableColumn>
    <tableColumn id="21" xr3:uid="{7D7EE9CA-164F-4873-A4CB-7EA91C554507}" name="NZDUSD" dataDxfId="161" totalsRowDxfId="160">
      <calculatedColumnFormula>RTD("fxbluelabs.excelrtd", , "2000072004","@bh,NZDUSD,h1,close,1")</calculatedColumnFormula>
    </tableColumn>
    <tableColumn id="22" xr3:uid="{9C17CC30-87FC-4F48-BBD4-9CDD07C753E7}" name="NZDCAD" dataDxfId="159" totalsRowDxfId="158">
      <calculatedColumnFormula>RTD("fxbluelabs.excelrtd", , "2000072004","@bh,NZDCAD,h1,close,1")</calculatedColumnFormula>
    </tableColumn>
    <tableColumn id="23" xr3:uid="{818C894F-D2E5-44ED-BD41-0424AE30111C}" name="CADJPY" dataDxfId="157" totalsRowDxfId="156">
      <calculatedColumnFormula>RTD("fxbluelabs.excelrtd", , "2000072004","@bh,CADJPY,h1,close,1")</calculatedColumnFormula>
    </tableColumn>
    <tableColumn id="24" xr3:uid="{00515F5B-FDFF-4524-95CD-836B126F5C1F}" name="CADCHF" dataDxfId="155" totalsRowDxfId="154">
      <calculatedColumnFormula>RTD("fxbluelabs.excelrtd", , "2000072004","@bh,CADCHF,h1,close,1")</calculatedColumnFormula>
    </tableColumn>
    <tableColumn id="25" xr3:uid="{483A6DF0-45E6-40B6-8153-B0BE74BE8093}" name="CHFJPY" dataDxfId="153" totalsRowDxfId="152">
      <calculatedColumnFormula>RTD("fxbluelabs.excelrtd", , "2000072004","@bh,CHFJPY,h1,close,1")</calculatedColumnFormula>
    </tableColumn>
    <tableColumn id="26" xr3:uid="{E631BE92-21E5-41E0-8792-E3C647A28211}" name="USDCAD" dataDxfId="151" totalsRowDxfId="150">
      <calculatedColumnFormula>RTD("fxbluelabs.excelrtd", , "2000072004","@bh,USDCAD,h1,close,1")</calculatedColumnFormula>
    </tableColumn>
    <tableColumn id="27" xr3:uid="{1D5F5A85-CBF7-4B1A-ADB8-628770A8692E}" name="USDCHF" dataDxfId="149" totalsRowDxfId="148">
      <calculatedColumnFormula>RTD("fxbluelabs.excelrtd", , "2000072004","@bh,USDCHF,h1,close,1")</calculatedColumnFormula>
    </tableColumn>
    <tableColumn id="28" xr3:uid="{C47A2A97-1500-454C-8EFB-306EC9708080}" name="USDJPY" totalsRowFunction="sum" dataDxfId="147" totalsRowDxfId="146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1E5FD7-31E7-4AD0-8370-E6631440E7A3}" name="Table12" displayName="Table12" ref="C1:AD37" headerRowDxfId="145" dataDxfId="143" totalsRowDxfId="141" headerRowBorderDxfId="144" tableBorderDxfId="142" totalsRowBorderDxfId="140">
  <autoFilter ref="C1:AD37" xr:uid="{D18A96FC-AEB6-4D48-9267-B437337CEAF9}"/>
  <tableColumns count="28">
    <tableColumn id="1" xr3:uid="{EB4FA872-710D-4B10-8B8B-3BCC635920C3}" name="AUDUSD" totalsRowLabel="Total" dataDxfId="139" totalsRowDxfId="138">
      <calculatedColumnFormula>RTD("fxbluelabs.excelrtd", , "2000072004","@bh,AUDUSD,h1,close,1")</calculatedColumnFormula>
    </tableColumn>
    <tableColumn id="2" xr3:uid="{D74B0953-1351-487C-8667-2CB6AEAC36FC}" name="AUDNZD" dataDxfId="137" totalsRowDxfId="136">
      <calculatedColumnFormula>RTD("fxbluelabs.excelrtd", , "2000072004","@bh,AUDNZD,h1,close,1")</calculatedColumnFormula>
    </tableColumn>
    <tableColumn id="3" xr3:uid="{9BED96C9-A47A-4E4A-B362-34EF5B909E4F}" name="AUDJPY" dataDxfId="135" totalsRowDxfId="134">
      <calculatedColumnFormula>RTD("fxbluelabs.excelrtd", , "2000072004","@bh,AUDJPY,h1,close,1")</calculatedColumnFormula>
    </tableColumn>
    <tableColumn id="4" xr3:uid="{4EEBFD83-8250-4024-8BF3-CDCE81C1487D}" name="AUDCHF" dataDxfId="133" totalsRowDxfId="132">
      <calculatedColumnFormula>RTD("fxbluelabs.excelrtd", , "2000072004","@bh,AUDCHF,h1,close,1")</calculatedColumnFormula>
    </tableColumn>
    <tableColumn id="5" xr3:uid="{F28166C8-5CF7-444C-97AD-480A6C3B3459}" name="AUDCAD" dataDxfId="131" totalsRowDxfId="130">
      <calculatedColumnFormula>RTD("fxbluelabs.excelrtd", , "2000072004","@bh,AUDCAD,h1,close,1")</calculatedColumnFormula>
    </tableColumn>
    <tableColumn id="6" xr3:uid="{3D700969-4B46-480D-AA7F-A20A94DEB529}" name="EURUSD" dataDxfId="129" totalsRowDxfId="128">
      <calculatedColumnFormula>RTD("fxbluelabs.excelrtd", , "2000072004","@bh,EURUSD,h1,close,1")</calculatedColumnFormula>
    </tableColumn>
    <tableColumn id="7" xr3:uid="{1082A056-E306-4C2F-AEDE-AE4D9CA042C8}" name="EURCAD" dataDxfId="127" totalsRowDxfId="126">
      <calculatedColumnFormula>RTD("fxbluelabs.excelrtd", , "2000072004","@bh,EURCAD,h1,close,1")</calculatedColumnFormula>
    </tableColumn>
    <tableColumn id="8" xr3:uid="{44A8FB4C-529B-4600-BC18-3B69D6C75386}" name="EURGBP" dataDxfId="125" totalsRowDxfId="124">
      <calculatedColumnFormula>RTD("fxbluelabs.excelrtd", , "2000072004","@bh,EURGBP,h1,close,1")</calculatedColumnFormula>
    </tableColumn>
    <tableColumn id="9" xr3:uid="{FADC918C-267D-43C4-B422-4547FF0FA982}" name="EURCHF" dataDxfId="123" totalsRowDxfId="122">
      <calculatedColumnFormula>RTD("fxbluelabs.excelrtd", , "2000072004","@bh,EURCHF,h1,close,1")</calculatedColumnFormula>
    </tableColumn>
    <tableColumn id="10" xr3:uid="{4FA74C95-BE2D-4C6F-A793-67C37A692A44}" name="EURJPY" dataDxfId="121" totalsRowDxfId="120">
      <calculatedColumnFormula>RTD("fxbluelabs.excelrtd", , "2000072004","@bh,EURJPY,h1,close,1")</calculatedColumnFormula>
    </tableColumn>
    <tableColumn id="11" xr3:uid="{935ABB75-0BD8-47EA-8778-8715A80CA610}" name="EURAUD" dataDxfId="119" totalsRowDxfId="118">
      <calculatedColumnFormula>RTD("fxbluelabs.excelrtd", , "2000072004","@bh,EURAUD,h1,close,1")</calculatedColumnFormula>
    </tableColumn>
    <tableColumn id="12" xr3:uid="{925DB239-8DB1-4F4A-983C-15CCE7F827A2}" name="EURNZD" dataDxfId="117" totalsRowDxfId="116">
      <calculatedColumnFormula>RTD("fxbluelabs.excelrtd", , "2000072004","@bh,EURNZD,h1,close,1")</calculatedColumnFormula>
    </tableColumn>
    <tableColumn id="13" xr3:uid="{DDC0A9B8-B9A8-4DA8-8562-FB68EE9349FE}" name="GBPUSD" dataDxfId="115" totalsRowDxfId="114">
      <calculatedColumnFormula>RTD("fxbluelabs.excelrtd", , "2000072004","@bh,GBPUSD,h1,close,1")</calculatedColumnFormula>
    </tableColumn>
    <tableColumn id="14" xr3:uid="{3E799141-A000-4784-B163-574D795605FD}" name="GBPAUD" dataDxfId="113" totalsRowDxfId="112">
      <calculatedColumnFormula>RTD("fxbluelabs.excelrtd", , "2000072004","@bh,GBPAUD,h1,close,1")</calculatedColumnFormula>
    </tableColumn>
    <tableColumn id="15" xr3:uid="{3ECE5E39-A072-4668-87C4-7B213E249ADB}" name="GBPNZD" dataDxfId="111" totalsRowDxfId="110">
      <calculatedColumnFormula>RTD("fxbluelabs.excelrtd", , "2000072004","@bh,GBPNZD,h1,close,1")</calculatedColumnFormula>
    </tableColumn>
    <tableColumn id="16" xr3:uid="{E6FF7D47-126E-478D-9129-A4BA550D9BE1}" name="GBPCAD" dataDxfId="109" totalsRowDxfId="108">
      <calculatedColumnFormula>RTD("fxbluelabs.excelrtd", , "2000072004","@bh,GBPCAD,h1,close,1")</calculatedColumnFormula>
    </tableColumn>
    <tableColumn id="17" xr3:uid="{DB3B0D34-F6A9-41B4-A2CB-80C753DA7A9E}" name="GBPCHF" dataDxfId="107" totalsRowDxfId="106">
      <calculatedColumnFormula>RTD("fxbluelabs.excelrtd", , "2000072004","@bh,GBPCHF,h1,close,1")</calculatedColumnFormula>
    </tableColumn>
    <tableColumn id="18" xr3:uid="{B275E7F8-A96E-4C2F-ADB7-D919F42AA89E}" name="GBPJPY" dataDxfId="105" totalsRowDxfId="104">
      <calculatedColumnFormula>RTD("fxbluelabs.excelrtd", , "2000072004","@bh,GBPJPY,h1,close,1")</calculatedColumnFormula>
    </tableColumn>
    <tableColumn id="19" xr3:uid="{B46ED6D6-8BD8-4BD2-9A63-14AA78319073}" name="NZDJPY" dataDxfId="103" totalsRowDxfId="102">
      <calculatedColumnFormula>RTD("fxbluelabs.excelrtd", , "2000072004","@bh,NZDJPY,h1,close,1")</calculatedColumnFormula>
    </tableColumn>
    <tableColumn id="20" xr3:uid="{E9DCA58A-3F1B-468C-8858-640FE189D75F}" name="NZDCHF" dataDxfId="101" totalsRowDxfId="100">
      <calculatedColumnFormula>RTD("fxbluelabs.excelrtd", , "2000072004","@bh,NZDCHF,h1,close,1")</calculatedColumnFormula>
    </tableColumn>
    <tableColumn id="21" xr3:uid="{40D1DB06-7D91-4BDF-9FFC-F36A2BAE57BD}" name="NZDUSD" dataDxfId="99" totalsRowDxfId="98">
      <calculatedColumnFormula>RTD("fxbluelabs.excelrtd", , "2000072004","@bh,NZDUSD,h1,close,1")</calculatedColumnFormula>
    </tableColumn>
    <tableColumn id="22" xr3:uid="{81E6A963-80FB-4E9D-A05D-AA6A1DC11042}" name="NZDCAD" dataDxfId="97" totalsRowDxfId="96">
      <calculatedColumnFormula>RTD("fxbluelabs.excelrtd", , "2000072004","@bh,NZDCAD,h1,close,1")</calculatedColumnFormula>
    </tableColumn>
    <tableColumn id="23" xr3:uid="{4CC03A84-AD0D-4014-9DD1-1DF22EAC77B3}" name="CADJPY" dataDxfId="95" totalsRowDxfId="94">
      <calculatedColumnFormula>RTD("fxbluelabs.excelrtd", , "2000072004","@bh,CADJPY,h1,close,1")</calculatedColumnFormula>
    </tableColumn>
    <tableColumn id="24" xr3:uid="{793D1379-AE8C-41BF-AB3A-6B3384E8C5A2}" name="CADCHF" dataDxfId="93" totalsRowDxfId="92">
      <calculatedColumnFormula>RTD("fxbluelabs.excelrtd", , "2000072004","@bh,CADCHF,h1,close,1")</calculatedColumnFormula>
    </tableColumn>
    <tableColumn id="25" xr3:uid="{062FCB5D-3619-4B3C-8E75-C5E2BAEDA3F6}" name="CHFJPY" dataDxfId="91" totalsRowDxfId="90">
      <calculatedColumnFormula>RTD("fxbluelabs.excelrtd", , "2000072004","@bh,CHFJPY,h1,close,1")</calculatedColumnFormula>
    </tableColumn>
    <tableColumn id="26" xr3:uid="{E663EE24-5D02-447E-9718-5693A87EA595}" name="USDCAD" dataDxfId="89" totalsRowDxfId="88">
      <calculatedColumnFormula>RTD("fxbluelabs.excelrtd", , "2000072004","@bh,USDCAD,h1,close,1")</calculatedColumnFormula>
    </tableColumn>
    <tableColumn id="27" xr3:uid="{D23DF339-8F56-41FE-8D0F-66D934499E20}" name="USDCHF" dataDxfId="87" totalsRowDxfId="86">
      <calculatedColumnFormula>RTD("fxbluelabs.excelrtd", , "2000072004","@bh,USDCHF,h1,close,1")</calculatedColumnFormula>
    </tableColumn>
    <tableColumn id="28" xr3:uid="{04265221-BE18-46B1-9973-8B15280BC795}" name="USDJPY" totalsRowFunction="sum" dataDxfId="85" totalsRowDxfId="84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CAAD1B-A245-4449-AD2A-8A48DFFEEFFB}" name="Table123" displayName="Table123" ref="C1:AD37" headerRowDxfId="83" dataDxfId="81" totalsRowDxfId="79" headerRowBorderDxfId="82" tableBorderDxfId="80" totalsRowBorderDxfId="78">
  <autoFilter ref="C1:AD37" xr:uid="{D18A96FC-AEB6-4D48-9267-B437337CEAF9}"/>
  <tableColumns count="28">
    <tableColumn id="1" xr3:uid="{2A9CBF9A-D4F7-4A97-A174-16619C7AF77E}" name="AUDUSD" totalsRowLabel="Total" dataDxfId="77" totalsRowDxfId="76">
      <calculatedColumnFormula>RTD("fxbluelabs.excelrtd", , "2000072004","@bh,AUDUSD,h1,close,1")</calculatedColumnFormula>
    </tableColumn>
    <tableColumn id="2" xr3:uid="{789BC27C-0E15-4A39-8C7C-14BDCE6AE998}" name="AUDNZD" dataDxfId="75" totalsRowDxfId="74">
      <calculatedColumnFormula>RTD("fxbluelabs.excelrtd", , "2000072004","@bh,AUDNZD,h1,close,1")</calculatedColumnFormula>
    </tableColumn>
    <tableColumn id="3" xr3:uid="{1C459A98-59B1-4D3C-AD15-F078D2C6DF54}" name="AUDJPY" dataDxfId="73" totalsRowDxfId="72">
      <calculatedColumnFormula>RTD("fxbluelabs.excelrtd", , "2000072004","@bh,AUDJPY,h1,close,1")</calculatedColumnFormula>
    </tableColumn>
    <tableColumn id="4" xr3:uid="{F5101549-B97D-4AB3-AFEA-224DC6085389}" name="AUDCHF" dataDxfId="71" totalsRowDxfId="70">
      <calculatedColumnFormula>RTD("fxbluelabs.excelrtd", , "2000072004","@bh,AUDCHF,h1,close,1")</calculatedColumnFormula>
    </tableColumn>
    <tableColumn id="5" xr3:uid="{72199B20-EE01-4F26-8E02-88B327929693}" name="AUDCAD" dataDxfId="69" totalsRowDxfId="68">
      <calculatedColumnFormula>RTD("fxbluelabs.excelrtd", , "2000072004","@bh,AUDCAD,h1,close,1")</calculatedColumnFormula>
    </tableColumn>
    <tableColumn id="6" xr3:uid="{3B4C2A3E-E343-43CF-86C9-DE4E978CEFA8}" name="EURUSD" dataDxfId="67" totalsRowDxfId="66">
      <calculatedColumnFormula>RTD("fxbluelabs.excelrtd", , "2000072004","@bh,EURUSD,h1,close,1")</calculatedColumnFormula>
    </tableColumn>
    <tableColumn id="7" xr3:uid="{1CBA76E4-24F2-4E02-8224-77FF859D99C7}" name="EURCAD" dataDxfId="65" totalsRowDxfId="64">
      <calculatedColumnFormula>RTD("fxbluelabs.excelrtd", , "2000072004","@bh,EURCAD,h1,close,1")</calculatedColumnFormula>
    </tableColumn>
    <tableColumn id="8" xr3:uid="{5D118019-DA23-4F9A-84AB-E67744F5E2AB}" name="EURGBP" dataDxfId="63" totalsRowDxfId="62">
      <calculatedColumnFormula>RTD("fxbluelabs.excelrtd", , "2000072004","@bh,EURGBP,h1,close,1")</calculatedColumnFormula>
    </tableColumn>
    <tableColumn id="9" xr3:uid="{A74E3EF9-9683-43F5-A396-98378FDAFD93}" name="EURCHF" dataDxfId="61" totalsRowDxfId="60">
      <calculatedColumnFormula>RTD("fxbluelabs.excelrtd", , "2000072004","@bh,EURCHF,h1,close,1")</calculatedColumnFormula>
    </tableColumn>
    <tableColumn id="10" xr3:uid="{934039DF-039D-457F-91AD-A7FC0B2D514B}" name="EURJPY" dataDxfId="59" totalsRowDxfId="58">
      <calculatedColumnFormula>RTD("fxbluelabs.excelrtd", , "2000072004","@bh,EURJPY,h1,close,1")</calculatedColumnFormula>
    </tableColumn>
    <tableColumn id="11" xr3:uid="{547376ED-EF62-44DA-8391-1AEA90DA664F}" name="EURAUD" dataDxfId="57" totalsRowDxfId="56">
      <calculatedColumnFormula>RTD("fxbluelabs.excelrtd", , "2000072004","@bh,EURAUD,h1,close,1")</calculatedColumnFormula>
    </tableColumn>
    <tableColumn id="12" xr3:uid="{8B4727AD-CC76-434B-BF81-C04B9EC25D3F}" name="EURNZD" dataDxfId="55" totalsRowDxfId="54">
      <calculatedColumnFormula>RTD("fxbluelabs.excelrtd", , "2000072004","@bh,EURNZD,h1,close,1")</calculatedColumnFormula>
    </tableColumn>
    <tableColumn id="13" xr3:uid="{8CCFF440-39D7-4ED7-8728-6B7F50C6B223}" name="GBPUSD" dataDxfId="53" totalsRowDxfId="52">
      <calculatedColumnFormula>RTD("fxbluelabs.excelrtd", , "2000072004","@bh,GBPUSD,h1,close,1")</calculatedColumnFormula>
    </tableColumn>
    <tableColumn id="14" xr3:uid="{C6051ED5-19CE-4D4A-9E93-3B9131319D6B}" name="GBPAUD" dataDxfId="51" totalsRowDxfId="50">
      <calculatedColumnFormula>RTD("fxbluelabs.excelrtd", , "2000072004","@bh,GBPAUD,h1,close,1")</calculatedColumnFormula>
    </tableColumn>
    <tableColumn id="15" xr3:uid="{842CCED6-1177-413F-80EC-B545D09F79E2}" name="GBPNZD" dataDxfId="49" totalsRowDxfId="48">
      <calculatedColumnFormula>RTD("fxbluelabs.excelrtd", , "2000072004","@bh,GBPNZD,h1,close,1")</calculatedColumnFormula>
    </tableColumn>
    <tableColumn id="16" xr3:uid="{56526D9D-D4C0-4F04-9D1C-D743231C6DD4}" name="GBPCAD" dataDxfId="47" totalsRowDxfId="46">
      <calculatedColumnFormula>RTD("fxbluelabs.excelrtd", , "2000072004","@bh,GBPCAD,h1,close,1")</calculatedColumnFormula>
    </tableColumn>
    <tableColumn id="17" xr3:uid="{47F17757-D185-4590-916E-9F56F9248F95}" name="GBPCHF" dataDxfId="45" totalsRowDxfId="44">
      <calculatedColumnFormula>RTD("fxbluelabs.excelrtd", , "2000072004","@bh,GBPCHF,h1,close,1")</calculatedColumnFormula>
    </tableColumn>
    <tableColumn id="18" xr3:uid="{365E680A-6A3F-4833-AFBB-88215442FAEB}" name="GBPJPY" dataDxfId="43" totalsRowDxfId="42">
      <calculatedColumnFormula>RTD("fxbluelabs.excelrtd", , "2000072004","@bh,GBPJPY,h1,close,1")</calculatedColumnFormula>
    </tableColumn>
    <tableColumn id="19" xr3:uid="{C9082031-F7D9-455E-979C-4B1A1C37113C}" name="NZDJPY" dataDxfId="41" totalsRowDxfId="40">
      <calculatedColumnFormula>RTD("fxbluelabs.excelrtd", , "2000072004","@bh,NZDJPY,h1,close,1")</calculatedColumnFormula>
    </tableColumn>
    <tableColumn id="20" xr3:uid="{C84D4F71-2CC4-4F17-9DE9-8B14A15CD5AB}" name="NZDCHF" dataDxfId="39" totalsRowDxfId="38">
      <calculatedColumnFormula>RTD("fxbluelabs.excelrtd", , "2000072004","@bh,NZDCHF,h1,close,1")</calculatedColumnFormula>
    </tableColumn>
    <tableColumn id="21" xr3:uid="{F9D317E9-5C91-4A2F-A86D-6DC8059183A4}" name="NZDUSD" dataDxfId="37" totalsRowDxfId="36">
      <calculatedColumnFormula>RTD("fxbluelabs.excelrtd", , "2000072004","@bh,NZDUSD,h1,close,1")</calculatedColumnFormula>
    </tableColumn>
    <tableColumn id="22" xr3:uid="{C4960751-C877-4380-9632-04812A62590D}" name="NZDCAD" dataDxfId="35" totalsRowDxfId="34">
      <calculatedColumnFormula>RTD("fxbluelabs.excelrtd", , "2000072004","@bh,NZDCAD,h1,close,1")</calculatedColumnFormula>
    </tableColumn>
    <tableColumn id="23" xr3:uid="{AFACC940-99E6-4D54-A8A1-033559A1002E}" name="CADJPY" dataDxfId="33" totalsRowDxfId="32">
      <calculatedColumnFormula>RTD("fxbluelabs.excelrtd", , "2000072004","@bh,CADJPY,h1,close,1")</calculatedColumnFormula>
    </tableColumn>
    <tableColumn id="24" xr3:uid="{86957DF6-C15D-4A35-81F4-447C3B8F2840}" name="CADCHF" dataDxfId="31" totalsRowDxfId="30">
      <calculatedColumnFormula>RTD("fxbluelabs.excelrtd", , "2000072004","@bh,CADCHF,h1,close,1")</calculatedColumnFormula>
    </tableColumn>
    <tableColumn id="25" xr3:uid="{09D7A94D-7F38-4C29-8D43-6B825FA7F95C}" name="CHFJPY" dataDxfId="29" totalsRowDxfId="28">
      <calculatedColumnFormula>RTD("fxbluelabs.excelrtd", , "2000072004","@bh,CHFJPY,h1,close,1")</calculatedColumnFormula>
    </tableColumn>
    <tableColumn id="26" xr3:uid="{7B53DC70-45BB-4E4F-9440-9869BFC4C533}" name="USDCAD" dataDxfId="27" totalsRowDxfId="26">
      <calculatedColumnFormula>RTD("fxbluelabs.excelrtd", , "2000072004","@bh,USDCAD,h1,close,1")</calculatedColumnFormula>
    </tableColumn>
    <tableColumn id="27" xr3:uid="{851B3E8C-7BFD-48E3-963C-5CB24643B208}" name="USDCHF" dataDxfId="25" totalsRowDxfId="24">
      <calculatedColumnFormula>RTD("fxbluelabs.excelrtd", , "2000072004","@bh,USDCHF,h1,close,1")</calculatedColumnFormula>
    </tableColumn>
    <tableColumn id="28" xr3:uid="{D3B500F9-ACE0-4CEE-98C5-DD003C8C39F8}" name="USDJPY" totalsRowFunction="sum" dataDxfId="23" totalsRowDxfId="22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24635-57A6-48D6-BFF2-5F0804818FCE}">
  <dimension ref="A1:FN119"/>
  <sheetViews>
    <sheetView tabSelected="1" topLeftCell="DM1" zoomScale="40" zoomScaleNormal="40" workbookViewId="0">
      <selection activeCell="DW26" sqref="DV26:DW26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91" width="14.6640625" bestFit="1" customWidth="1"/>
    <col min="92" max="92" width="13.88671875" bestFit="1" customWidth="1"/>
    <col min="93" max="93" width="14.6640625" bestFit="1" customWidth="1"/>
    <col min="94" max="94" width="14.6640625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9.33203125" bestFit="1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38.5546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60" t="s">
        <v>1</v>
      </c>
      <c r="D1" s="61" t="s">
        <v>2</v>
      </c>
      <c r="E1" s="61" t="s">
        <v>3</v>
      </c>
      <c r="F1" s="61" t="s">
        <v>4</v>
      </c>
      <c r="G1" s="61" t="s">
        <v>5</v>
      </c>
      <c r="H1" s="61" t="s">
        <v>6</v>
      </c>
      <c r="I1" s="61" t="s">
        <v>7</v>
      </c>
      <c r="J1" s="61" t="s">
        <v>8</v>
      </c>
      <c r="K1" s="61" t="s">
        <v>9</v>
      </c>
      <c r="L1" s="61" t="s">
        <v>10</v>
      </c>
      <c r="M1" s="61" t="s">
        <v>11</v>
      </c>
      <c r="N1" s="61" t="s">
        <v>12</v>
      </c>
      <c r="O1" s="61" t="s">
        <v>13</v>
      </c>
      <c r="P1" s="61" t="s">
        <v>14</v>
      </c>
      <c r="Q1" s="61" t="s">
        <v>15</v>
      </c>
      <c r="R1" s="61" t="s">
        <v>16</v>
      </c>
      <c r="S1" s="61" t="s">
        <v>17</v>
      </c>
      <c r="T1" s="61" t="s">
        <v>18</v>
      </c>
      <c r="U1" s="61" t="s">
        <v>19</v>
      </c>
      <c r="V1" s="61" t="s">
        <v>20</v>
      </c>
      <c r="W1" s="61" t="s">
        <v>21</v>
      </c>
      <c r="X1" s="61" t="s">
        <v>22</v>
      </c>
      <c r="Y1" s="61" t="s">
        <v>23</v>
      </c>
      <c r="Z1" s="61" t="s">
        <v>24</v>
      </c>
      <c r="AA1" s="61" t="s">
        <v>25</v>
      </c>
      <c r="AB1" s="61" t="s">
        <v>26</v>
      </c>
      <c r="AC1" s="61" t="s">
        <v>27</v>
      </c>
      <c r="AD1" s="62" t="s">
        <v>28</v>
      </c>
      <c r="AH1" s="50" t="s">
        <v>29</v>
      </c>
      <c r="AI1" s="73" t="s">
        <v>1</v>
      </c>
      <c r="AJ1" s="73" t="s">
        <v>2</v>
      </c>
      <c r="AK1" s="73" t="s">
        <v>3</v>
      </c>
      <c r="AL1" s="73" t="s">
        <v>4</v>
      </c>
      <c r="AM1" s="73" t="s">
        <v>5</v>
      </c>
      <c r="AN1" s="73" t="s">
        <v>6</v>
      </c>
      <c r="AO1" s="73" t="s">
        <v>7</v>
      </c>
      <c r="AP1" s="73" t="s">
        <v>8</v>
      </c>
      <c r="AQ1" s="73" t="s">
        <v>9</v>
      </c>
      <c r="AR1" s="73" t="s">
        <v>10</v>
      </c>
      <c r="AS1" s="73" t="s">
        <v>11</v>
      </c>
      <c r="AT1" s="73" t="s">
        <v>12</v>
      </c>
      <c r="AU1" s="73" t="s">
        <v>13</v>
      </c>
      <c r="AV1" s="73" t="s">
        <v>14</v>
      </c>
      <c r="AW1" s="73" t="s">
        <v>15</v>
      </c>
      <c r="AX1" s="73" t="s">
        <v>16</v>
      </c>
      <c r="AY1" s="73" t="s">
        <v>17</v>
      </c>
      <c r="AZ1" s="73" t="s">
        <v>18</v>
      </c>
      <c r="BA1" s="73" t="s">
        <v>19</v>
      </c>
      <c r="BB1" s="73" t="s">
        <v>20</v>
      </c>
      <c r="BC1" s="73" t="s">
        <v>21</v>
      </c>
      <c r="BD1" s="73" t="s">
        <v>22</v>
      </c>
      <c r="BE1" s="73" t="s">
        <v>23</v>
      </c>
      <c r="BF1" s="73" t="s">
        <v>24</v>
      </c>
      <c r="BG1" s="73" t="s">
        <v>25</v>
      </c>
      <c r="BH1" s="73" t="s">
        <v>26</v>
      </c>
      <c r="BI1" s="73" t="s">
        <v>27</v>
      </c>
      <c r="BJ1" s="73" t="s">
        <v>28</v>
      </c>
      <c r="BN1" s="76" t="s">
        <v>29</v>
      </c>
      <c r="BO1" s="77" t="s">
        <v>1</v>
      </c>
      <c r="BP1" s="77" t="s">
        <v>2</v>
      </c>
      <c r="BQ1" s="77" t="s">
        <v>3</v>
      </c>
      <c r="BR1" s="77" t="s">
        <v>4</v>
      </c>
      <c r="BS1" s="77" t="s">
        <v>5</v>
      </c>
      <c r="BT1" s="77" t="s">
        <v>6</v>
      </c>
      <c r="BU1" s="77" t="s">
        <v>7</v>
      </c>
      <c r="BV1" s="77" t="s">
        <v>8</v>
      </c>
      <c r="BW1" s="77" t="s">
        <v>9</v>
      </c>
      <c r="BX1" s="77" t="s">
        <v>10</v>
      </c>
      <c r="BY1" s="77" t="s">
        <v>11</v>
      </c>
      <c r="BZ1" s="77" t="s">
        <v>12</v>
      </c>
      <c r="CA1" s="77" t="s">
        <v>13</v>
      </c>
      <c r="CB1" s="77" t="s">
        <v>14</v>
      </c>
      <c r="CC1" s="77" t="s">
        <v>15</v>
      </c>
      <c r="CD1" s="77" t="s">
        <v>16</v>
      </c>
      <c r="CE1" s="77" t="s">
        <v>17</v>
      </c>
      <c r="CF1" s="77" t="s">
        <v>18</v>
      </c>
      <c r="CG1" s="77" t="s">
        <v>19</v>
      </c>
      <c r="CH1" s="77" t="s">
        <v>20</v>
      </c>
      <c r="CI1" s="77" t="s">
        <v>21</v>
      </c>
      <c r="CJ1" s="77" t="s">
        <v>22</v>
      </c>
      <c r="CK1" s="77" t="s">
        <v>23</v>
      </c>
      <c r="CL1" s="77" t="s">
        <v>24</v>
      </c>
      <c r="CM1" s="77" t="s">
        <v>25</v>
      </c>
      <c r="CN1" s="77" t="s">
        <v>26</v>
      </c>
      <c r="CO1" s="77" t="s">
        <v>27</v>
      </c>
      <c r="CP1" s="77" t="s">
        <v>28</v>
      </c>
      <c r="CU1" s="55" t="s">
        <v>29</v>
      </c>
      <c r="CV1" s="55" t="s">
        <v>30</v>
      </c>
      <c r="CW1" s="55" t="s">
        <v>31</v>
      </c>
      <c r="CX1" s="55" t="s">
        <v>32</v>
      </c>
      <c r="CY1" s="55" t="s">
        <v>33</v>
      </c>
      <c r="CZ1" s="55" t="s">
        <v>34</v>
      </c>
      <c r="DA1" s="55" t="s">
        <v>35</v>
      </c>
      <c r="DB1" s="55" t="s">
        <v>36</v>
      </c>
      <c r="DC1" s="55" t="s">
        <v>37</v>
      </c>
      <c r="DF1" s="50" t="s">
        <v>29</v>
      </c>
      <c r="DG1" s="50" t="s">
        <v>26</v>
      </c>
      <c r="DH1" s="50" t="s">
        <v>7</v>
      </c>
      <c r="DI1" s="50" t="s">
        <v>27</v>
      </c>
      <c r="DJ1" s="50" t="s">
        <v>9</v>
      </c>
      <c r="DK1" s="50" t="s">
        <v>38</v>
      </c>
      <c r="DL1" s="50" t="s">
        <v>8</v>
      </c>
      <c r="DM1" s="50" t="s">
        <v>39</v>
      </c>
      <c r="DN1" s="50" t="s">
        <v>11</v>
      </c>
      <c r="DO1" s="50" t="s">
        <v>40</v>
      </c>
      <c r="DP1" s="50" t="s">
        <v>12</v>
      </c>
      <c r="DQ1" s="50" t="s">
        <v>28</v>
      </c>
      <c r="DR1" s="50" t="s">
        <v>10</v>
      </c>
      <c r="DS1" s="50" t="s">
        <v>41</v>
      </c>
      <c r="DT1" s="50" t="s">
        <v>42</v>
      </c>
      <c r="DX1" s="10" t="s">
        <v>29</v>
      </c>
      <c r="DY1" s="10" t="s">
        <v>43</v>
      </c>
      <c r="DZ1" s="10"/>
      <c r="EA1" s="10" t="s">
        <v>44</v>
      </c>
      <c r="EB1" s="10" t="s">
        <v>30</v>
      </c>
      <c r="EC1" s="10" t="s">
        <v>31</v>
      </c>
      <c r="ED1" s="10" t="s">
        <v>32</v>
      </c>
      <c r="EE1" s="10" t="s">
        <v>33</v>
      </c>
      <c r="EF1" s="10" t="s">
        <v>45</v>
      </c>
      <c r="EG1" s="10" t="s">
        <v>35</v>
      </c>
      <c r="EH1" s="10" t="s">
        <v>36</v>
      </c>
      <c r="EI1" s="10" t="s">
        <v>37</v>
      </c>
      <c r="EJ1" s="2" t="s">
        <v>46</v>
      </c>
      <c r="EM1" s="9" t="s">
        <v>29</v>
      </c>
      <c r="EN1" s="9" t="s">
        <v>30</v>
      </c>
      <c r="EO1" s="9" t="s">
        <v>31</v>
      </c>
      <c r="EP1" s="9" t="s">
        <v>32</v>
      </c>
      <c r="EQ1" s="9" t="s">
        <v>33</v>
      </c>
      <c r="ER1" s="9" t="s">
        <v>34</v>
      </c>
      <c r="ES1" s="9" t="s">
        <v>35</v>
      </c>
      <c r="ET1" s="9" t="s">
        <v>36</v>
      </c>
      <c r="EU1" s="9" t="s">
        <v>37</v>
      </c>
      <c r="EW1" s="11" t="s">
        <v>52</v>
      </c>
      <c r="FB1" s="9" t="s">
        <v>29</v>
      </c>
      <c r="FC1" s="9" t="s">
        <v>30</v>
      </c>
      <c r="FD1" s="9" t="s">
        <v>31</v>
      </c>
      <c r="FE1" s="9" t="s">
        <v>32</v>
      </c>
      <c r="FF1" s="9" t="s">
        <v>33</v>
      </c>
      <c r="FG1" s="9" t="s">
        <v>34</v>
      </c>
      <c r="FH1" s="9" t="s">
        <v>35</v>
      </c>
      <c r="FI1" s="9" t="s">
        <v>36</v>
      </c>
      <c r="FJ1" s="9" t="s">
        <v>37</v>
      </c>
    </row>
    <row r="2" spans="1:170" ht="18.600000000000001" thickBot="1" x14ac:dyDescent="0.4">
      <c r="A2" s="12">
        <f ca="1">NOW()</f>
        <v>45526.807172569446</v>
      </c>
      <c r="B2" s="12" t="s">
        <v>50</v>
      </c>
      <c r="C2" s="63">
        <f>RTD("fxbluelabs.excelrtd", , "21422436","@bh,AUDUSD,h1,close,0")</f>
        <v>0.67267999999999994</v>
      </c>
      <c r="D2" s="64">
        <f>RTD("fxbluelabs.excelrtd", , "21422436","@bh,AUDNZD,h1,close,0")</f>
        <v>1.09422</v>
      </c>
      <c r="E2" s="65">
        <f>RTD("fxbluelabs.excelrtd", , "21422436","@bh,AUDJPY,h1,close,0")</f>
        <v>98.289000000000001</v>
      </c>
      <c r="F2" s="64">
        <f>RTD("fxbluelabs.excelrtd", , "21422436","@bh,AUDCHF,h1,close,0")</f>
        <v>0.57330999999999999</v>
      </c>
      <c r="G2" s="64">
        <f>RTD("fxbluelabs.excelrtd", , "21422436","@bh,AUDCAD,h1,close,0")</f>
        <v>0.91422999999999999</v>
      </c>
      <c r="H2" s="64">
        <f>RTD("fxbluelabs.excelrtd", , "21422436","@bh,EURUSD,h1,close,0")</f>
        <v>1.1132200000000001</v>
      </c>
      <c r="I2" s="64">
        <f>RTD("fxbluelabs.excelrtd", , "21422436","@bh,EURCAD,h1,close,0")</f>
        <v>1.5129600000000001</v>
      </c>
      <c r="J2" s="64">
        <f>RTD("fxbluelabs.excelrtd", , "21422436","@bh,EURGBP,h1,close,0")</f>
        <v>0.84967000000000004</v>
      </c>
      <c r="K2" s="64">
        <f>RTD("fxbluelabs.excelrtd", , "21422436","@bh,EURCHF,h1,close,0")</f>
        <v>0.94874999999999998</v>
      </c>
      <c r="L2" s="65">
        <f>RTD("fxbluelabs.excelrtd", , "21422436","@bh,EURJPY,h1,close,0")</f>
        <v>162.654</v>
      </c>
      <c r="M2" s="64">
        <f>RTD("fxbluelabs.excelrtd", , "21422436","@bh,EURAUD,h1,close,0")</f>
        <v>1.65486</v>
      </c>
      <c r="N2" s="64">
        <f>RTD("fxbluelabs.excelrtd", , "21422436","@bh,EURNZD,h1,close,0")</f>
        <v>1.8108200000000001</v>
      </c>
      <c r="O2" s="64">
        <f>RTD("fxbluelabs.excelrtd", , "21422436","@bh,GBPUSD,h1,close,0")</f>
        <v>1.31026</v>
      </c>
      <c r="P2" s="64">
        <f>RTD("fxbluelabs.excelrtd", , "21422436","@bh,GBPAUD,h1,close,0")</f>
        <v>1.94763</v>
      </c>
      <c r="Q2" s="64">
        <f>RTD("fxbluelabs.excelrtd", , "21422436","@bh,GBPNZD,h1,close,0")</f>
        <v>2.1310600000000002</v>
      </c>
      <c r="R2" s="64">
        <f>RTD("fxbluelabs.excelrtd", , "21422436","@bh,GBPCAD,h1,close,0")</f>
        <v>1.7806200000000001</v>
      </c>
      <c r="S2" s="64">
        <f>RTD("fxbluelabs.excelrtd", , "21422436","@bh,GBPCHF,h1,close,0")</f>
        <v>1.1165400000000001</v>
      </c>
      <c r="T2" s="65">
        <f>RTD("fxbluelabs.excelrtd", , "21422436","@bh,GBPJPY,h1,close,0")</f>
        <v>191.417</v>
      </c>
      <c r="U2" s="65">
        <f>RTD("fxbluelabs.excelrtd", , "21422436","@bh,NZDJPY,h1,close,0")</f>
        <v>89.816000000000003</v>
      </c>
      <c r="V2" s="64">
        <f>RTD("fxbluelabs.excelrtd", , "21422436","@bh,NZDCHF,h1,close,0")</f>
        <v>0.52388999999999997</v>
      </c>
      <c r="W2" s="64">
        <f>RTD("fxbluelabs.excelrtd", , "21422436","@bh,NZDUSD,h1,close,0")</f>
        <v>0.61473</v>
      </c>
      <c r="X2" s="64">
        <f>RTD("fxbluelabs.excelrtd", , "21422436","@bh,NZDCAD,h1,close,0")</f>
        <v>0.83543000000000001</v>
      </c>
      <c r="Y2" s="65">
        <f>RTD("fxbluelabs.excelrtd", , "21422436","@bh,CADJPY,h1,close,0")</f>
        <v>107.508</v>
      </c>
      <c r="Z2" s="64">
        <f>RTD("fxbluelabs.excelrtd", , "21422436","@bh,CADCHF,h1,close,0")</f>
        <v>0.62709000000000004</v>
      </c>
      <c r="AA2" s="65">
        <f>RTD("fxbluelabs.excelrtd", , "21422436","@bh,CHFJPY,h1,close,0")</f>
        <v>171.43299999999999</v>
      </c>
      <c r="AB2" s="64">
        <f>RTD("fxbluelabs.excelrtd", , "21422436","@bh,USDCAD,h1,close,0")</f>
        <v>1.35917</v>
      </c>
      <c r="AC2" s="64">
        <f>RTD("fxbluelabs.excelrtd", , "21422436","@bh,USDCHF,h1,close,0")</f>
        <v>0.85228000000000004</v>
      </c>
      <c r="AD2" s="66">
        <f>RTD("fxbluelabs.excelrtd", , "21422436","@bh,USDJPY,h1,close,0")</f>
        <v>146.113</v>
      </c>
      <c r="AH2" s="56">
        <v>1</v>
      </c>
      <c r="AI2" s="74">
        <f>IF(C2=0,0,(C2-C3)*100/C3)</f>
        <v>-5.9428299756353921E-2</v>
      </c>
      <c r="AJ2" s="74">
        <f t="shared" ref="AJ2:AY3" si="0">IF(D2=0,0,(D2-D3)*100/D3)</f>
        <v>6.3976602842402324E-3</v>
      </c>
      <c r="AK2" s="74">
        <f t="shared" si="0"/>
        <v>2.6459603309481949E-2</v>
      </c>
      <c r="AL2" s="74">
        <f t="shared" si="0"/>
        <v>-2.2670200892850777E-2</v>
      </c>
      <c r="AM2" s="74">
        <f t="shared" si="0"/>
        <v>-3.2813422877490529E-3</v>
      </c>
      <c r="AN2" s="74">
        <f>IF(H2=0,0,(H2-H3)*100/H3)</f>
        <v>-4.1304503986774023E-2</v>
      </c>
      <c r="AO2" s="74">
        <f t="shared" si="0"/>
        <v>1.4543146872569575E-2</v>
      </c>
      <c r="AP2" s="74">
        <f t="shared" si="0"/>
        <v>3.0609481875659338E-2</v>
      </c>
      <c r="AQ2" s="74">
        <f t="shared" si="0"/>
        <v>-6.3237107534764607E-3</v>
      </c>
      <c r="AR2" s="74">
        <f t="shared" si="0"/>
        <v>3.9978104299797479E-2</v>
      </c>
      <c r="AS2" s="74">
        <f t="shared" si="0"/>
        <v>1.5713767677984221E-2</v>
      </c>
      <c r="AT2" s="74">
        <f t="shared" si="0"/>
        <v>2.4304289707133084E-2</v>
      </c>
      <c r="AU2" s="74">
        <f t="shared" si="0"/>
        <v>-7.1690054911526913E-2</v>
      </c>
      <c r="AV2" s="74">
        <f t="shared" si="0"/>
        <v>-1.8480587682695393E-2</v>
      </c>
      <c r="AW2" s="74">
        <f t="shared" si="0"/>
        <v>-1.7359237694869613E-2</v>
      </c>
      <c r="AX2" s="74">
        <f t="shared" si="0"/>
        <v>-2.0213590270520495E-2</v>
      </c>
      <c r="AY2" s="74">
        <f t="shared" si="0"/>
        <v>-3.7602062741715452E-2</v>
      </c>
      <c r="AZ2" s="74">
        <f t="shared" ref="AY2:BJ17" si="1">IF(T2=0,0,(T2-T3)*100/T3)</f>
        <v>1.1494553149241808E-2</v>
      </c>
      <c r="BA2" s="74">
        <f t="shared" si="1"/>
        <v>1.7817371937645148E-2</v>
      </c>
      <c r="BB2" s="74">
        <f t="shared" si="1"/>
        <v>-3.0531437839910122E-2</v>
      </c>
      <c r="BC2" s="74">
        <f t="shared" si="1"/>
        <v>-6.1777568239834657E-2</v>
      </c>
      <c r="BD2" s="74">
        <f t="shared" si="1"/>
        <v>-9.5749901257877208E-3</v>
      </c>
      <c r="BE2" s="74">
        <f t="shared" si="1"/>
        <v>2.7912689108469769E-2</v>
      </c>
      <c r="BF2" s="74">
        <f t="shared" si="1"/>
        <v>-1.9132348017411867E-2</v>
      </c>
      <c r="BG2" s="74">
        <f t="shared" si="1"/>
        <v>4.4351850230800849E-2</v>
      </c>
      <c r="BH2" s="74">
        <f t="shared" si="1"/>
        <v>5.2265064852847223E-2</v>
      </c>
      <c r="BI2" s="74">
        <f t="shared" si="1"/>
        <v>3.6386257732083579E-2</v>
      </c>
      <c r="BJ2" s="74">
        <f t="shared" si="1"/>
        <v>8.3566795213393746E-2</v>
      </c>
      <c r="BN2" s="59">
        <v>1</v>
      </c>
      <c r="BO2" s="78">
        <f>AI2+SUM(AI3:AI37)</f>
        <v>-0.1639925986425862</v>
      </c>
      <c r="BP2" s="78">
        <f t="shared" ref="BP2:BP28" si="2">AJ2+SUM(AJ3:AJ37)</f>
        <v>-0.28905934359967117</v>
      </c>
      <c r="BQ2" s="78">
        <f t="shared" ref="BQ2:CP11" si="3">AK2+SUM(AK3:AK37)</f>
        <v>-0.16278829933822603</v>
      </c>
      <c r="BR2" s="78">
        <f t="shared" si="3"/>
        <v>-0.49868356628692839</v>
      </c>
      <c r="BS2" s="78">
        <f t="shared" si="3"/>
        <v>-0.29232313066429971</v>
      </c>
      <c r="BT2" s="78">
        <f t="shared" si="3"/>
        <v>0.1363588922317302</v>
      </c>
      <c r="BU2" s="78">
        <f t="shared" si="3"/>
        <v>8.4329009036486074E-3</v>
      </c>
      <c r="BV2" s="78">
        <f t="shared" si="3"/>
        <v>-0.43528549618106704</v>
      </c>
      <c r="BW2" s="78">
        <f t="shared" si="3"/>
        <v>-0.20038623760410493</v>
      </c>
      <c r="BX2" s="78">
        <f t="shared" si="3"/>
        <v>0.13461793973079683</v>
      </c>
      <c r="BY2" s="78">
        <f t="shared" si="3"/>
        <v>0.29911936742534823</v>
      </c>
      <c r="BZ2" s="78">
        <f t="shared" si="3"/>
        <v>1.1156271001596618E-2</v>
      </c>
      <c r="CA2" s="78">
        <f t="shared" si="3"/>
        <v>0.57774933384432836</v>
      </c>
      <c r="CB2" s="78">
        <f t="shared" si="3"/>
        <v>0.73364638852585951</v>
      </c>
      <c r="CC2" s="78">
        <f t="shared" si="3"/>
        <v>0.44039026819091848</v>
      </c>
      <c r="CD2" s="78">
        <f t="shared" si="3"/>
        <v>0.4422753323804024</v>
      </c>
      <c r="CE2" s="78">
        <f t="shared" si="3"/>
        <v>0.22840713731235618</v>
      </c>
      <c r="CF2" s="78">
        <f t="shared" si="3"/>
        <v>0.56307280981202179</v>
      </c>
      <c r="CG2" s="78">
        <f t="shared" si="3"/>
        <v>0.12389605529151718</v>
      </c>
      <c r="CH2" s="78">
        <f t="shared" si="3"/>
        <v>-0.2113032583666124</v>
      </c>
      <c r="CI2" s="78">
        <f t="shared" si="3"/>
        <v>0.13116819688331438</v>
      </c>
      <c r="CJ2" s="78">
        <f t="shared" si="3"/>
        <v>-1.9745929341124999E-3</v>
      </c>
      <c r="CK2" s="78">
        <f t="shared" si="3"/>
        <v>0.12778677690211171</v>
      </c>
      <c r="CL2" s="78">
        <f t="shared" si="3"/>
        <v>-0.20664603350785035</v>
      </c>
      <c r="CM2" s="78">
        <f t="shared" si="3"/>
        <v>0.3311856466834337</v>
      </c>
      <c r="CN2" s="78">
        <f t="shared" si="3"/>
        <v>-0.12477691654029878</v>
      </c>
      <c r="CO2" s="78">
        <f t="shared" si="3"/>
        <v>-0.33428837763106756</v>
      </c>
      <c r="CP2" s="78">
        <f t="shared" si="3"/>
        <v>-5.8242350828510703E-4</v>
      </c>
      <c r="CU2" s="56">
        <v>1</v>
      </c>
      <c r="CV2" s="57">
        <f>BT2+BU2+BV2+BW2+BX2+BY2+BZ2</f>
        <v>-4.5986362492051444E-2</v>
      </c>
      <c r="CW2" s="57">
        <f>CN2+CO2+CP2-CI2-CA2-BT2-BO2</f>
        <v>-1.1409315419964381</v>
      </c>
      <c r="CX2" s="57">
        <f>CK2+CL2-CN2-CJ2-CD2-BU2-BS2</f>
        <v>-0.11049284975107865</v>
      </c>
      <c r="CY2" s="57">
        <f>CM2-CO2-CH2-CE2-BW2-BR2</f>
        <v>1.3474399492597906</v>
      </c>
      <c r="CZ2" s="57">
        <f>CA2+CB2+CC2+CD2+CE2+CF2-BV2</f>
        <v>3.4208267662469538</v>
      </c>
      <c r="DA2" s="57">
        <f>BO2+BP2+BQ2+BR2+BS2-BY2-CB2</f>
        <v>-2.4396126944829195</v>
      </c>
      <c r="DB2" s="57">
        <f>CG2+CH2+CI2+CJ2-CC2-BZ2-BP2</f>
        <v>-0.12070079471873724</v>
      </c>
      <c r="DC2" s="57">
        <f>-BQ2-BX2-CF2-CG2-CK2-CM2-CP2</f>
        <v>-1.1171885055733699</v>
      </c>
      <c r="DF2" s="51">
        <v>1</v>
      </c>
      <c r="DG2" s="52">
        <f>CN2</f>
        <v>-0.12477691654029878</v>
      </c>
      <c r="DH2" s="52">
        <f>BU2</f>
        <v>8.4329009036486074E-3</v>
      </c>
      <c r="DI2" s="52">
        <f>CO2</f>
        <v>-0.33428837763106756</v>
      </c>
      <c r="DJ2" s="52">
        <f>BW2</f>
        <v>-0.20038623760410493</v>
      </c>
      <c r="DK2" s="52">
        <f>-(CA2)</f>
        <v>-0.57774933384432836</v>
      </c>
      <c r="DL2" s="52">
        <f>BV2</f>
        <v>-0.43528549618106704</v>
      </c>
      <c r="DM2" s="52">
        <f>-(BO2)</f>
        <v>0.1639925986425862</v>
      </c>
      <c r="DN2" s="52">
        <f>BY2</f>
        <v>0.29911936742534823</v>
      </c>
      <c r="DO2" s="52">
        <f>-(CI2)</f>
        <v>-0.13116819688331438</v>
      </c>
      <c r="DP2" s="52">
        <f>BZ2</f>
        <v>1.1156271001596618E-2</v>
      </c>
      <c r="DQ2" s="52">
        <f>CP2</f>
        <v>-5.8242350828510703E-4</v>
      </c>
      <c r="DR2" s="52">
        <f>BX2</f>
        <v>0.13461793973079683</v>
      </c>
      <c r="DS2" s="52">
        <f>-(BT2)</f>
        <v>-0.1363588922317302</v>
      </c>
      <c r="DT2" s="52">
        <f>BT2</f>
        <v>0.1363588922317302</v>
      </c>
      <c r="DX2">
        <v>1</v>
      </c>
      <c r="DY2" s="19">
        <f t="shared" ref="DY2:DY37" si="4"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1.0949451795043867</v>
      </c>
      <c r="EB2" t="s">
        <v>48</v>
      </c>
      <c r="EC2" t="s">
        <v>49</v>
      </c>
      <c r="ED2" t="s">
        <v>57</v>
      </c>
      <c r="EJ2" t="s">
        <v>48</v>
      </c>
      <c r="EM2" s="13">
        <v>1</v>
      </c>
      <c r="EN2" s="16">
        <f>BT2+BU2+BV2+BW2+BX2+BY2+BZ2</f>
        <v>-4.5986362492051444E-2</v>
      </c>
      <c r="EO2" s="16">
        <f t="shared" ref="EO2:EO37" si="5">CN2+CO2+CP2-CI2-CA2-BT2-BO2</f>
        <v>-1.1409315419964381</v>
      </c>
      <c r="EP2" s="16">
        <f>CK2+CL2-CN2-CJ2-CD2-BU2-BS2</f>
        <v>-0.11049284975107865</v>
      </c>
      <c r="EQ2" s="16">
        <f>CM2-CO2-CH2-CE2-BW2-BR2</f>
        <v>1.3474399492597906</v>
      </c>
      <c r="ER2" s="16">
        <f>CA2+CB2+CC2+CD2+CE2+CF2-BV2</f>
        <v>3.4208267662469538</v>
      </c>
      <c r="ES2" s="16">
        <f>BO2+BP2+BQ2+BR2+BS2-BY2-CB2</f>
        <v>-2.4396126944829195</v>
      </c>
      <c r="ET2" s="16">
        <f>CG2+CH2+CI2+CJ2-CC2-BZ2-BP2</f>
        <v>-0.12070079471873724</v>
      </c>
      <c r="EU2" s="16">
        <f>-BQ2-BX2-CF2-CG2-CK2-CM2-CP2</f>
        <v>-1.1171885055733699</v>
      </c>
      <c r="EW2" s="40">
        <f>LARGE($EN$2:$EU$2,1)</f>
        <v>3.4208267662469538</v>
      </c>
      <c r="EX2" s="39" t="str">
        <f>INDEX(EN1:EU1,MATCH(EW2,EN2:EU2,0))</f>
        <v>GBP</v>
      </c>
      <c r="FK2" s="20"/>
      <c r="FL2" s="20"/>
    </row>
    <row r="3" spans="1:170" ht="18.600000000000001" thickBot="1" x14ac:dyDescent="0.4">
      <c r="A3" s="37" t="s">
        <v>51</v>
      </c>
      <c r="B3" s="38">
        <v>1</v>
      </c>
      <c r="C3" s="63">
        <f>RTD("fxbluelabs.excelrtd", , "21422436","@bh,AUDUSD,h1,close,1")</f>
        <v>0.67308000000000001</v>
      </c>
      <c r="D3" s="64">
        <f>RTD("fxbluelabs.excelrtd", , "21422436","@bh,AUDNZD,h1,close,1")</f>
        <v>1.09415</v>
      </c>
      <c r="E3" s="65">
        <f>RTD("fxbluelabs.excelrtd", , "21422436","@bh,AUDJPY,h1,close,1")</f>
        <v>98.263000000000005</v>
      </c>
      <c r="F3" s="64">
        <f>RTD("fxbluelabs.excelrtd", , "21422436","@bh,AUDCHF,h1,close,1")</f>
        <v>0.57343999999999995</v>
      </c>
      <c r="G3" s="64">
        <f>RTD("fxbluelabs.excelrtd", , "21422436","@bh,AUDCAD,h1,close,1")</f>
        <v>0.91425999999999996</v>
      </c>
      <c r="H3" s="64">
        <f>RTD("fxbluelabs.excelrtd", , "21422436","@bh,EURUSD,h1,close,1")</f>
        <v>1.11368</v>
      </c>
      <c r="I3" s="64">
        <f>RTD("fxbluelabs.excelrtd", , "21422436","@bh,EURCAD,h1,close,1")</f>
        <v>1.51274</v>
      </c>
      <c r="J3" s="64">
        <f>RTD("fxbluelabs.excelrtd", , "21422436","@bh,EURGBP,h1,close,1")</f>
        <v>0.84941</v>
      </c>
      <c r="K3" s="64">
        <f>RTD("fxbluelabs.excelrtd", , "21422436","@bh,EURCHF,h1,close,1")</f>
        <v>0.94881000000000004</v>
      </c>
      <c r="L3" s="65">
        <f>RTD("fxbluelabs.excelrtd", , "21422436","@bh,EURJPY,h1,close,1")</f>
        <v>162.589</v>
      </c>
      <c r="M3" s="64">
        <f>RTD("fxbluelabs.excelrtd", , "21422436","@bh,EURAUD,h1,close,1")</f>
        <v>1.6546000000000001</v>
      </c>
      <c r="N3" s="64">
        <f>RTD("fxbluelabs.excelrtd", , "21422436","@bh,EURNZD,h1,close,1")</f>
        <v>1.8103800000000001</v>
      </c>
      <c r="O3" s="64">
        <f>RTD("fxbluelabs.excelrtd", , "21422436","@bh,GBPUSD,h1,close,1")</f>
        <v>1.3111999999999999</v>
      </c>
      <c r="P3" s="64">
        <f>RTD("fxbluelabs.excelrtd", , "21422436","@bh,GBPAUD,h1,close,1")</f>
        <v>1.9479900000000001</v>
      </c>
      <c r="Q3" s="64">
        <f>RTD("fxbluelabs.excelrtd", , "21422436","@bh,GBPNZD,h1,close,1")</f>
        <v>2.1314299999999999</v>
      </c>
      <c r="R3" s="64">
        <f>RTD("fxbluelabs.excelrtd", , "21422436","@bh,GBPCAD,h1,close,1")</f>
        <v>1.78098</v>
      </c>
      <c r="S3" s="64">
        <f>RTD("fxbluelabs.excelrtd", , "21422436","@bh,GBPCHF,h1,close,1")</f>
        <v>1.11696</v>
      </c>
      <c r="T3" s="65">
        <f>RTD("fxbluelabs.excelrtd", , "21422436","@bh,GBPJPY,h1,close,1")</f>
        <v>191.39500000000001</v>
      </c>
      <c r="U3" s="65">
        <f>RTD("fxbluelabs.excelrtd", , "21422436","@bh,NZDJPY,h1,close,1")</f>
        <v>89.8</v>
      </c>
      <c r="V3" s="64">
        <f>RTD("fxbluelabs.excelrtd", , "21422436","@bh,NZDCHF,h1,close,1")</f>
        <v>0.52405000000000002</v>
      </c>
      <c r="W3" s="64">
        <f>RTD("fxbluelabs.excelrtd", , "21422436","@bh,NZDUSD,h1,close,1")</f>
        <v>0.61511000000000005</v>
      </c>
      <c r="X3" s="64">
        <f>RTD("fxbluelabs.excelrtd", , "21422436","@bh,NZDCAD,h1,close,1")</f>
        <v>0.83550999999999997</v>
      </c>
      <c r="Y3" s="65">
        <f>RTD("fxbluelabs.excelrtd", , "21422436","@bh,CADJPY,h1,close,1")</f>
        <v>107.47799999999999</v>
      </c>
      <c r="Z3" s="64">
        <f>RTD("fxbluelabs.excelrtd", , "21422436","@bh,CADCHF,h1,close,1")</f>
        <v>0.62721000000000005</v>
      </c>
      <c r="AA3" s="65">
        <f>RTD("fxbluelabs.excelrtd", , "21422436","@bh,CHFJPY,h1,close,1")</f>
        <v>171.357</v>
      </c>
      <c r="AB3" s="64">
        <f>RTD("fxbluelabs.excelrtd", , "21422436","@bh,USDCAD,h1,close,1")</f>
        <v>1.35846</v>
      </c>
      <c r="AC3" s="64">
        <f>RTD("fxbluelabs.excelrtd", , "21422436","@bh,USDCHF,h1,close,1")</f>
        <v>0.85197000000000001</v>
      </c>
      <c r="AD3" s="66">
        <f>RTD("fxbluelabs.excelrtd", , "21422436","@bh,USDJPY,h1,close,1")</f>
        <v>145.99100000000001</v>
      </c>
      <c r="AH3" s="56">
        <v>2</v>
      </c>
      <c r="AI3" s="75">
        <f>IF(C3=0,0,(C3-C4)*100/C4)</f>
        <v>-8.609684410533873E-2</v>
      </c>
      <c r="AJ3" s="75">
        <f t="shared" si="0"/>
        <v>-1.5534761312961793E-2</v>
      </c>
      <c r="AK3" s="75">
        <f t="shared" si="0"/>
        <v>6.9249961810695107E-2</v>
      </c>
      <c r="AL3" s="75">
        <f t="shared" si="0"/>
        <v>-2.2665062677628623E-2</v>
      </c>
      <c r="AM3" s="75">
        <f t="shared" si="0"/>
        <v>-7.6506076768387027E-2</v>
      </c>
      <c r="AN3" s="75">
        <f>IF(H3=0,0,(H3-H4)*100/H4)</f>
        <v>-7.7161878443131951E-2</v>
      </c>
      <c r="AO3" s="75">
        <f t="shared" si="0"/>
        <v>-6.5401359555538066E-2</v>
      </c>
      <c r="AP3" s="75">
        <f t="shared" si="0"/>
        <v>-5.8860923410159974E-3</v>
      </c>
      <c r="AQ3" s="75">
        <f t="shared" si="0"/>
        <v>-1.3699496280056008E-2</v>
      </c>
      <c r="AR3" s="75">
        <f t="shared" si="0"/>
        <v>8.0636225978406861E-2</v>
      </c>
      <c r="AS3" s="75">
        <f t="shared" si="0"/>
        <v>1.0275442297347332E-2</v>
      </c>
      <c r="AT3" s="75">
        <f t="shared" si="0"/>
        <v>-6.0757032626433984E-3</v>
      </c>
      <c r="AU3" s="75">
        <f t="shared" si="0"/>
        <v>-6.706908115358759E-2</v>
      </c>
      <c r="AV3" s="75">
        <f t="shared" si="0"/>
        <v>1.8997545722481978E-2</v>
      </c>
      <c r="AW3" s="75">
        <f t="shared" si="0"/>
        <v>3.7534895723405361E-3</v>
      </c>
      <c r="AX3" s="75">
        <f t="shared" si="0"/>
        <v>-5.6678208070749858E-2</v>
      </c>
      <c r="AY3" s="75">
        <f t="shared" si="1"/>
        <v>-3.5810205908719788E-3</v>
      </c>
      <c r="AZ3" s="75">
        <f t="shared" si="1"/>
        <v>8.8900509870579639E-2</v>
      </c>
      <c r="BA3" s="75">
        <f t="shared" si="1"/>
        <v>8.4704204003380815E-2</v>
      </c>
      <c r="BB3" s="75">
        <f t="shared" si="1"/>
        <v>-7.6322768989923462E-3</v>
      </c>
      <c r="BC3" s="75">
        <f t="shared" si="1"/>
        <v>-6.9857361016332081E-2</v>
      </c>
      <c r="BD3" s="75">
        <f t="shared" si="1"/>
        <v>-5.9807897034731154E-2</v>
      </c>
      <c r="BE3" s="75">
        <f t="shared" si="1"/>
        <v>0.14629010165764061</v>
      </c>
      <c r="BF3" s="75">
        <f t="shared" si="1"/>
        <v>5.2641653905061973E-2</v>
      </c>
      <c r="BG3" s="75">
        <f t="shared" si="1"/>
        <v>9.4044253370406644E-2</v>
      </c>
      <c r="BH3" s="75">
        <f t="shared" si="1"/>
        <v>1.1779430170060955E-2</v>
      </c>
      <c r="BI3" s="75">
        <f t="shared" si="1"/>
        <v>6.3422712377997598E-2</v>
      </c>
      <c r="BJ3" s="75">
        <f t="shared" si="1"/>
        <v>0.15573118191048807</v>
      </c>
      <c r="BN3" s="59">
        <v>2</v>
      </c>
      <c r="BO3" s="79">
        <f t="shared" ref="BO3:BO28" si="6">AI3+SUM(AI4:AI38)</f>
        <v>-0.10456429888623231</v>
      </c>
      <c r="BP3" s="79">
        <f t="shared" si="2"/>
        <v>-0.29545700388391138</v>
      </c>
      <c r="BQ3" s="79">
        <f t="shared" si="3"/>
        <v>-0.18924790264770797</v>
      </c>
      <c r="BR3" s="79">
        <f t="shared" si="3"/>
        <v>-0.47601336539407768</v>
      </c>
      <c r="BS3" s="79">
        <f t="shared" si="3"/>
        <v>-0.28904178837655059</v>
      </c>
      <c r="BT3" s="79">
        <f t="shared" si="3"/>
        <v>0.17766339621850424</v>
      </c>
      <c r="BU3" s="79">
        <f t="shared" si="3"/>
        <v>-6.1102459689209715E-3</v>
      </c>
      <c r="BV3" s="79">
        <f t="shared" si="3"/>
        <v>-0.46589497805672636</v>
      </c>
      <c r="BW3" s="79">
        <f t="shared" si="3"/>
        <v>-0.19406252685062847</v>
      </c>
      <c r="BX3" s="79">
        <f t="shared" si="3"/>
        <v>9.4639835430999394E-2</v>
      </c>
      <c r="BY3" s="79">
        <f t="shared" si="3"/>
        <v>0.28340559974736401</v>
      </c>
      <c r="BZ3" s="79">
        <f t="shared" si="3"/>
        <v>-1.314801870553647E-2</v>
      </c>
      <c r="CA3" s="79">
        <f t="shared" si="3"/>
        <v>0.64943938875585538</v>
      </c>
      <c r="CB3" s="79">
        <f t="shared" si="3"/>
        <v>0.75212697620855495</v>
      </c>
      <c r="CC3" s="79">
        <f t="shared" si="3"/>
        <v>0.45774950588578811</v>
      </c>
      <c r="CD3" s="79">
        <f t="shared" si="3"/>
        <v>0.4624889226509229</v>
      </c>
      <c r="CE3" s="79">
        <f t="shared" si="3"/>
        <v>0.26600920005407164</v>
      </c>
      <c r="CF3" s="79">
        <f t="shared" si="3"/>
        <v>0.55157825666278004</v>
      </c>
      <c r="CG3" s="79">
        <f t="shared" si="3"/>
        <v>0.10607868335387199</v>
      </c>
      <c r="CH3" s="79">
        <f t="shared" si="3"/>
        <v>-0.18077182052670229</v>
      </c>
      <c r="CI3" s="79">
        <f t="shared" si="3"/>
        <v>0.19294576512314901</v>
      </c>
      <c r="CJ3" s="79">
        <f t="shared" si="3"/>
        <v>7.6003971916752192E-3</v>
      </c>
      <c r="CK3" s="79">
        <f t="shared" si="3"/>
        <v>9.9874087793641805E-2</v>
      </c>
      <c r="CL3" s="79">
        <f t="shared" si="3"/>
        <v>-0.18751368549043854</v>
      </c>
      <c r="CM3" s="79">
        <f t="shared" si="3"/>
        <v>0.28683379645263268</v>
      </c>
      <c r="CN3" s="79">
        <f t="shared" si="3"/>
        <v>-0.17704198139314603</v>
      </c>
      <c r="CO3" s="79">
        <f t="shared" si="3"/>
        <v>-0.37067463536315115</v>
      </c>
      <c r="CP3" s="79">
        <f t="shared" si="3"/>
        <v>-8.4149218721678798E-2</v>
      </c>
      <c r="CU3" s="56">
        <v>2</v>
      </c>
      <c r="CV3" s="58">
        <f t="shared" ref="CV3:CV37" si="7">BT3+BU3+BV3+BW3+BX3+BY3+BZ3</f>
        <v>-0.1235069381849446</v>
      </c>
      <c r="CW3" s="58">
        <f t="shared" ref="CW3:CW37" si="8">CN3+CO3+CP3-CI3-CA3-BT3-BO3</f>
        <v>-1.5473500866892522</v>
      </c>
      <c r="CX3" s="58">
        <f t="shared" ref="CX3:CX37" si="9">CK3+CL3-CN3-CJ3-CD3-BU3-BS3</f>
        <v>-8.5534901800777274E-2</v>
      </c>
      <c r="CY3" s="58">
        <f t="shared" ref="CY3:CY37" si="10">CM3-CO3-CH3-CE3-BW3-BR3</f>
        <v>1.2423469445331206</v>
      </c>
      <c r="CZ3" s="58">
        <f t="shared" ref="CZ3:CZ37" si="11">CA3+CB3+CC3+CD3+CE3+CF3-BV3</f>
        <v>3.6052872282746993</v>
      </c>
      <c r="DA3" s="58">
        <f t="shared" ref="DA3:DA37" si="12">BO3+BP3+BQ3+BR3+BS3-BY3-CB3</f>
        <v>-2.3898569351443988</v>
      </c>
      <c r="DB3" s="58">
        <f t="shared" ref="DB3:DB37" si="13">CG3+CH3+CI3+CJ3-CC3-BZ3-BP3</f>
        <v>-2.3291458154346356E-2</v>
      </c>
      <c r="DC3" s="58">
        <f t="shared" ref="DC3:DC37" si="14">-BQ3-BX3-CF3-CG3-CK3-CM3-CP3</f>
        <v>-0.86560753832453918</v>
      </c>
      <c r="DF3" s="53">
        <v>2</v>
      </c>
      <c r="DG3" s="54">
        <f>CN3</f>
        <v>-0.17704198139314603</v>
      </c>
      <c r="DH3" s="54">
        <f t="shared" ref="DH3:DH37" si="15">BU3</f>
        <v>-6.1102459689209715E-3</v>
      </c>
      <c r="DI3" s="54">
        <f t="shared" ref="DI3:DI37" si="16">CO3</f>
        <v>-0.37067463536315115</v>
      </c>
      <c r="DJ3" s="54">
        <f t="shared" ref="DJ3:DJ37" si="17">BW3</f>
        <v>-0.19406252685062847</v>
      </c>
      <c r="DK3" s="54">
        <f t="shared" ref="DK3:DK37" si="18">-(CA3)</f>
        <v>-0.64943938875585538</v>
      </c>
      <c r="DL3" s="54">
        <f t="shared" ref="DL3:DL37" si="19">BV3</f>
        <v>-0.46589497805672636</v>
      </c>
      <c r="DM3" s="54">
        <f t="shared" ref="DM3:DM37" si="20">-(BO3)</f>
        <v>0.10456429888623231</v>
      </c>
      <c r="DN3" s="54">
        <f t="shared" ref="DN3:DN37" si="21">BY3</f>
        <v>0.28340559974736401</v>
      </c>
      <c r="DO3" s="54">
        <f t="shared" ref="DO3:DO37" si="22">-(CI3)</f>
        <v>-0.19294576512314901</v>
      </c>
      <c r="DP3" s="54">
        <f t="shared" ref="DP3:DP37" si="23">BZ3</f>
        <v>-1.314801870553647E-2</v>
      </c>
      <c r="DQ3" s="54">
        <f t="shared" ref="DQ3:DQ37" si="24">CP3</f>
        <v>-8.4149218721678798E-2</v>
      </c>
      <c r="DR3" s="54">
        <f t="shared" ref="DR3:DR37" si="25">BX3</f>
        <v>9.4639835430999394E-2</v>
      </c>
      <c r="DS3" s="54">
        <f t="shared" ref="DS3:DS37" si="26">-(BT3)</f>
        <v>-0.17766339621850424</v>
      </c>
      <c r="DT3" s="54">
        <f t="shared" ref="DT3:DT37" si="27">BT3</f>
        <v>0.17766339621850424</v>
      </c>
      <c r="DX3">
        <v>2</v>
      </c>
      <c r="DY3" s="19">
        <f t="shared" si="4"/>
        <v>1.4238431485043077</v>
      </c>
      <c r="EJ3" t="s">
        <v>49</v>
      </c>
      <c r="EM3" s="21">
        <v>2</v>
      </c>
      <c r="EN3" s="16">
        <f t="shared" ref="EN3:EN37" si="28">BT3+BU3+BV3+BW3+BX3+BY3+BZ3</f>
        <v>-0.1235069381849446</v>
      </c>
      <c r="EO3" s="16">
        <f t="shared" si="5"/>
        <v>-1.5473500866892522</v>
      </c>
      <c r="EP3" s="16">
        <f t="shared" ref="EP3:EP37" si="29">CK3+CL3-CN3-CJ3-CD3-BU3-BS3</f>
        <v>-8.5534901800777274E-2</v>
      </c>
      <c r="EQ3" s="16">
        <f t="shared" ref="EQ3:EQ37" si="30">CM3-CO3-CH3-CE3-BW3-BR3</f>
        <v>1.2423469445331206</v>
      </c>
      <c r="ER3" s="16">
        <f t="shared" ref="ER3:ER37" si="31">CA3+CB3+CC3+CD3+CE3+CF3-BV3</f>
        <v>3.6052872282746993</v>
      </c>
      <c r="ES3" s="16">
        <f t="shared" ref="ES3:ES37" si="32">BO3+BP3+BQ3+BR3+BS3-BY3-CB3</f>
        <v>-2.3898569351443988</v>
      </c>
      <c r="ET3" s="16">
        <f t="shared" ref="ET3:ET37" si="33">CG3+CH3+CI3+CJ3-CC3-BZ3-BP3</f>
        <v>-2.3291458154346356E-2</v>
      </c>
      <c r="EU3" s="16">
        <f t="shared" ref="EU3:EU37" si="34">-BQ3-BX3-CF3-CG3-CK3-CM3-CP3</f>
        <v>-0.86560753832453918</v>
      </c>
      <c r="EW3" s="40">
        <f>LARGE($EN$2:$EU$2,2)</f>
        <v>1.3474399492597906</v>
      </c>
      <c r="EX3" s="39" t="str">
        <f>INDEX(EN1:EU1,MATCH(EW3,EN2:EU2,0))</f>
        <v>CHF</v>
      </c>
      <c r="FK3" s="20"/>
      <c r="FL3" s="20"/>
    </row>
    <row r="4" spans="1:170" ht="18.600000000000001" thickBot="1" x14ac:dyDescent="0.4">
      <c r="A4" s="37" t="s">
        <v>51</v>
      </c>
      <c r="B4" s="38">
        <v>2</v>
      </c>
      <c r="C4" s="63">
        <f>RTD("fxbluelabs.excelrtd", , "21422436","@bh,AUDUSD,h1,close,2")</f>
        <v>0.67366000000000004</v>
      </c>
      <c r="D4" s="64">
        <f>RTD("fxbluelabs.excelrtd", , "21422436","@bh,AUDNZD,h1,close,2")</f>
        <v>1.09432</v>
      </c>
      <c r="E4" s="65">
        <f>RTD("fxbluelabs.excelrtd", , "21422436","@bh,AUDJPY,h1,close,2")</f>
        <v>98.194999999999993</v>
      </c>
      <c r="F4" s="64">
        <f>RTD("fxbluelabs.excelrtd", , "21422436","@bh,AUDCHF,h1,close,2")</f>
        <v>0.57357000000000002</v>
      </c>
      <c r="G4" s="64">
        <f>RTD("fxbluelabs.excelrtd", , "21422436","@bh,AUDCAD,h1,close,2")</f>
        <v>0.91496</v>
      </c>
      <c r="H4" s="64">
        <f>RTD("fxbluelabs.excelrtd", , "21422436","@bh,EURUSD,h1,close,2")</f>
        <v>1.1145400000000001</v>
      </c>
      <c r="I4" s="64">
        <f>RTD("fxbluelabs.excelrtd", , "21422436","@bh,EURCAD,h1,close,2")</f>
        <v>1.51373</v>
      </c>
      <c r="J4" s="64">
        <f>RTD("fxbluelabs.excelrtd", , "21422436","@bh,EURGBP,h1,close,2")</f>
        <v>0.84945999999999999</v>
      </c>
      <c r="K4" s="64">
        <f>RTD("fxbluelabs.excelrtd", , "21422436","@bh,EURCHF,h1,close,2")</f>
        <v>0.94894000000000001</v>
      </c>
      <c r="L4" s="65">
        <f>RTD("fxbluelabs.excelrtd", , "21422436","@bh,EURJPY,h1,close,2")</f>
        <v>162.458</v>
      </c>
      <c r="M4" s="64">
        <f>RTD("fxbluelabs.excelrtd", , "21422436","@bh,EURAUD,h1,close,2")</f>
        <v>1.6544300000000001</v>
      </c>
      <c r="N4" s="64">
        <f>RTD("fxbluelabs.excelrtd", , "21422436","@bh,EURNZD,h1,close,2")</f>
        <v>1.8104899999999999</v>
      </c>
      <c r="O4" s="64">
        <f>RTD("fxbluelabs.excelrtd", , "21422436","@bh,GBPUSD,h1,close,2")</f>
        <v>1.3120799999999999</v>
      </c>
      <c r="P4" s="64">
        <f>RTD("fxbluelabs.excelrtd", , "21422436","@bh,GBPAUD,h1,close,2")</f>
        <v>1.9476199999999999</v>
      </c>
      <c r="Q4" s="64">
        <f>RTD("fxbluelabs.excelrtd", , "21422436","@bh,GBPNZD,h1,close,2")</f>
        <v>2.1313499999999999</v>
      </c>
      <c r="R4" s="64">
        <f>RTD("fxbluelabs.excelrtd", , "21422436","@bh,GBPCAD,h1,close,2")</f>
        <v>1.78199</v>
      </c>
      <c r="S4" s="64">
        <f>RTD("fxbluelabs.excelrtd", , "21422436","@bh,GBPCHF,h1,close,2")</f>
        <v>1.117</v>
      </c>
      <c r="T4" s="65">
        <f>RTD("fxbluelabs.excelrtd", , "21422436","@bh,GBPJPY,h1,close,2")</f>
        <v>191.22499999999999</v>
      </c>
      <c r="U4" s="65">
        <f>RTD("fxbluelabs.excelrtd", , "21422436","@bh,NZDJPY,h1,close,2")</f>
        <v>89.724000000000004</v>
      </c>
      <c r="V4" s="64">
        <f>RTD("fxbluelabs.excelrtd", , "21422436","@bh,NZDCHF,h1,close,2")</f>
        <v>0.52408999999999994</v>
      </c>
      <c r="W4" s="64">
        <f>RTD("fxbluelabs.excelrtd", , "21422436","@bh,NZDUSD,h1,close,2")</f>
        <v>0.61553999999999998</v>
      </c>
      <c r="X4" s="64">
        <f>RTD("fxbluelabs.excelrtd", , "21422436","@bh,NZDCAD,h1,close,2")</f>
        <v>0.83601000000000003</v>
      </c>
      <c r="Y4" s="65">
        <f>RTD("fxbluelabs.excelrtd", , "21422436","@bh,CADJPY,h1,close,2")</f>
        <v>107.321</v>
      </c>
      <c r="Z4" s="64">
        <f>RTD("fxbluelabs.excelrtd", , "21422436","@bh,CADCHF,h1,close,2")</f>
        <v>0.62687999999999999</v>
      </c>
      <c r="AA4" s="65">
        <f>RTD("fxbluelabs.excelrtd", , "21422436","@bh,CHFJPY,h1,close,2")</f>
        <v>171.196</v>
      </c>
      <c r="AB4" s="64">
        <f>RTD("fxbluelabs.excelrtd", , "21422436","@bh,USDCAD,h1,close,2")</f>
        <v>1.3583000000000001</v>
      </c>
      <c r="AC4" s="64">
        <f>RTD("fxbluelabs.excelrtd", , "21422436","@bh,USDCHF,h1,close,2")</f>
        <v>0.85143000000000002</v>
      </c>
      <c r="AD4" s="66">
        <f>RTD("fxbluelabs.excelrtd", , "21422436","@bh,USDJPY,h1,close,2")</f>
        <v>145.76400000000001</v>
      </c>
      <c r="AH4" s="56">
        <v>3</v>
      </c>
      <c r="AI4" s="74">
        <f t="shared" ref="AI4:AX19" si="35">IF(C4=0,0,(C4-C5)*100/C5)</f>
        <v>-5.0445103857567793E-2</v>
      </c>
      <c r="AJ4" s="74">
        <f t="shared" si="35"/>
        <v>1.8279530581652652E-2</v>
      </c>
      <c r="AK4" s="74">
        <f t="shared" si="35"/>
        <v>5.8081477103658061E-2</v>
      </c>
      <c r="AL4" s="74">
        <f t="shared" si="35"/>
        <v>0</v>
      </c>
      <c r="AM4" s="74">
        <f t="shared" si="35"/>
        <v>-1.7484045808205371E-2</v>
      </c>
      <c r="AN4" s="74">
        <f>IF(H4=0,0,(H4-H5)*100/H5)</f>
        <v>5.0270202337574822E-2</v>
      </c>
      <c r="AO4" s="74">
        <f t="shared" si="35"/>
        <v>8.1984013117450696E-2</v>
      </c>
      <c r="AP4" s="74">
        <f t="shared" si="35"/>
        <v>8.1294107944433522E-2</v>
      </c>
      <c r="AQ4" s="74">
        <f t="shared" si="35"/>
        <v>0.10126795923964227</v>
      </c>
      <c r="AR4" s="74">
        <f t="shared" si="35"/>
        <v>0.16029790749577116</v>
      </c>
      <c r="AS4" s="74">
        <f t="shared" si="35"/>
        <v>0.10164876720617914</v>
      </c>
      <c r="AT4" s="74">
        <f t="shared" si="35"/>
        <v>0.11778628149262123</v>
      </c>
      <c r="AU4" s="74">
        <f t="shared" si="35"/>
        <v>-3.5046550962266061E-2</v>
      </c>
      <c r="AV4" s="74">
        <f t="shared" si="35"/>
        <v>1.7460252249291677E-2</v>
      </c>
      <c r="AW4" s="74">
        <f t="shared" si="35"/>
        <v>3.2853823950423619E-2</v>
      </c>
      <c r="AX4" s="74">
        <f t="shared" si="35"/>
        <v>-1.6834827891928537E-3</v>
      </c>
      <c r="AY4" s="74">
        <f t="shared" si="1"/>
        <v>1.6117189878410935E-2</v>
      </c>
      <c r="AZ4" s="74">
        <f t="shared" si="1"/>
        <v>7.3265824109682257E-2</v>
      </c>
      <c r="BA4" s="74">
        <f t="shared" si="1"/>
        <v>4.0139149050041657E-2</v>
      </c>
      <c r="BB4" s="74">
        <f t="shared" si="1"/>
        <v>-1.7169674539286982E-2</v>
      </c>
      <c r="BC4" s="74">
        <f t="shared" si="1"/>
        <v>-6.8186245860116887E-2</v>
      </c>
      <c r="BD4" s="74">
        <f t="shared" si="1"/>
        <v>-3.4676551476744283E-2</v>
      </c>
      <c r="BE4" s="74">
        <f t="shared" si="1"/>
        <v>7.4598334592178642E-2</v>
      </c>
      <c r="BF4" s="74">
        <f t="shared" si="1"/>
        <v>1.7550297557308657E-2</v>
      </c>
      <c r="BG4" s="74">
        <f t="shared" si="1"/>
        <v>5.6107539450615806E-2</v>
      </c>
      <c r="BH4" s="74">
        <f t="shared" si="1"/>
        <v>3.1667243550572037E-2</v>
      </c>
      <c r="BI4" s="74">
        <f t="shared" si="1"/>
        <v>5.0528789659229315E-2</v>
      </c>
      <c r="BJ4" s="74">
        <f t="shared" si="1"/>
        <v>0.10644946397544185</v>
      </c>
      <c r="BN4" s="59">
        <v>3</v>
      </c>
      <c r="BO4" s="78">
        <f t="shared" si="6"/>
        <v>-1.846745478089358E-2</v>
      </c>
      <c r="BP4" s="78">
        <f t="shared" si="2"/>
        <v>-0.27992224257094955</v>
      </c>
      <c r="BQ4" s="78">
        <f t="shared" si="3"/>
        <v>-0.25849786445840306</v>
      </c>
      <c r="BR4" s="78">
        <f t="shared" si="3"/>
        <v>-0.45334830271644905</v>
      </c>
      <c r="BS4" s="78">
        <f t="shared" si="3"/>
        <v>-0.21253571160816359</v>
      </c>
      <c r="BT4" s="78">
        <f t="shared" si="3"/>
        <v>0.25482527466163618</v>
      </c>
      <c r="BU4" s="78">
        <f t="shared" si="3"/>
        <v>5.9291113586617122E-2</v>
      </c>
      <c r="BV4" s="78">
        <f t="shared" si="3"/>
        <v>-0.46000888571571036</v>
      </c>
      <c r="BW4" s="78">
        <f t="shared" si="3"/>
        <v>-0.18036303057057246</v>
      </c>
      <c r="BX4" s="78">
        <f t="shared" si="3"/>
        <v>1.4003609452592436E-2</v>
      </c>
      <c r="BY4" s="78">
        <f t="shared" si="3"/>
        <v>0.27313015745001668</v>
      </c>
      <c r="BZ4" s="78">
        <f t="shared" si="3"/>
        <v>-7.0723154428931206E-3</v>
      </c>
      <c r="CA4" s="78">
        <f t="shared" si="3"/>
        <v>0.71650846990944284</v>
      </c>
      <c r="CB4" s="78">
        <f t="shared" si="3"/>
        <v>0.73312943048607293</v>
      </c>
      <c r="CC4" s="78">
        <f t="shared" si="3"/>
        <v>0.4539960163134476</v>
      </c>
      <c r="CD4" s="78">
        <f t="shared" si="3"/>
        <v>0.51916713072167275</v>
      </c>
      <c r="CE4" s="78">
        <f t="shared" si="3"/>
        <v>0.26959022064494359</v>
      </c>
      <c r="CF4" s="78">
        <f t="shared" si="3"/>
        <v>0.46267774679220064</v>
      </c>
      <c r="CG4" s="78">
        <f t="shared" si="3"/>
        <v>2.1374479350491159E-2</v>
      </c>
      <c r="CH4" s="78">
        <f t="shared" si="3"/>
        <v>-0.17313954362770989</v>
      </c>
      <c r="CI4" s="78">
        <f t="shared" si="3"/>
        <v>0.26280312613948109</v>
      </c>
      <c r="CJ4" s="78">
        <f t="shared" si="3"/>
        <v>6.7408294226406401E-2</v>
      </c>
      <c r="CK4" s="78">
        <f t="shared" si="3"/>
        <v>-4.641601386399874E-2</v>
      </c>
      <c r="CL4" s="78">
        <f t="shared" si="3"/>
        <v>-0.24015533939550046</v>
      </c>
      <c r="CM4" s="78">
        <f t="shared" si="3"/>
        <v>0.19278954308222615</v>
      </c>
      <c r="CN4" s="78">
        <f t="shared" si="3"/>
        <v>-0.18882141156320692</v>
      </c>
      <c r="CO4" s="78">
        <f t="shared" si="3"/>
        <v>-0.43409734774114878</v>
      </c>
      <c r="CP4" s="78">
        <f t="shared" si="3"/>
        <v>-0.23988040063216687</v>
      </c>
      <c r="CU4" s="56">
        <v>3</v>
      </c>
      <c r="CV4" s="57">
        <f t="shared" si="7"/>
        <v>-4.619407657831355E-2</v>
      </c>
      <c r="CW4" s="57">
        <f t="shared" si="8"/>
        <v>-2.0784685758661889</v>
      </c>
      <c r="CX4" s="57">
        <f t="shared" si="9"/>
        <v>-0.53108076862282494</v>
      </c>
      <c r="CY4" s="57">
        <f t="shared" si="10"/>
        <v>1.1641475470931626</v>
      </c>
      <c r="CZ4" s="57">
        <f t="shared" si="11"/>
        <v>3.6150779005834908</v>
      </c>
      <c r="DA4" s="57">
        <f t="shared" si="12"/>
        <v>-2.2290311640709488</v>
      </c>
      <c r="DB4" s="57">
        <f t="shared" si="13"/>
        <v>1.1444897789063824E-2</v>
      </c>
      <c r="DC4" s="57">
        <f t="shared" si="14"/>
        <v>-0.14605109972294172</v>
      </c>
      <c r="DF4" s="51">
        <v>3</v>
      </c>
      <c r="DG4" s="52">
        <f t="shared" ref="DG4:DG37" si="36">CN4</f>
        <v>-0.18882141156320692</v>
      </c>
      <c r="DH4" s="52">
        <f t="shared" si="15"/>
        <v>5.9291113586617122E-2</v>
      </c>
      <c r="DI4" s="52">
        <f t="shared" si="16"/>
        <v>-0.43409734774114878</v>
      </c>
      <c r="DJ4" s="52">
        <f t="shared" si="17"/>
        <v>-0.18036303057057246</v>
      </c>
      <c r="DK4" s="52">
        <f t="shared" si="18"/>
        <v>-0.71650846990944284</v>
      </c>
      <c r="DL4" s="52">
        <f t="shared" si="19"/>
        <v>-0.46000888571571036</v>
      </c>
      <c r="DM4" s="52">
        <f t="shared" si="20"/>
        <v>1.846745478089358E-2</v>
      </c>
      <c r="DN4" s="52">
        <f t="shared" si="21"/>
        <v>0.27313015745001668</v>
      </c>
      <c r="DO4" s="52">
        <f t="shared" si="22"/>
        <v>-0.26280312613948109</v>
      </c>
      <c r="DP4" s="52">
        <f t="shared" si="23"/>
        <v>-7.0723154428931206E-3</v>
      </c>
      <c r="DQ4" s="52">
        <f t="shared" si="24"/>
        <v>-0.23988040063216687</v>
      </c>
      <c r="DR4" s="52">
        <f t="shared" si="25"/>
        <v>1.4003609452592436E-2</v>
      </c>
      <c r="DS4" s="52">
        <f t="shared" si="26"/>
        <v>-0.25482527466163618</v>
      </c>
      <c r="DT4" s="52">
        <f t="shared" si="27"/>
        <v>0.25482527466163618</v>
      </c>
      <c r="DX4">
        <v>3</v>
      </c>
      <c r="DY4" s="19">
        <f t="shared" si="4"/>
        <v>2.0322744992878752</v>
      </c>
      <c r="EJ4" t="str">
        <f>"-"</f>
        <v>-</v>
      </c>
      <c r="EM4" s="21">
        <v>3</v>
      </c>
      <c r="EN4" s="16">
        <f t="shared" si="28"/>
        <v>-4.619407657831355E-2</v>
      </c>
      <c r="EO4" s="16">
        <f t="shared" si="5"/>
        <v>-2.0784685758661889</v>
      </c>
      <c r="EP4" s="16">
        <f t="shared" si="29"/>
        <v>-0.53108076862282494</v>
      </c>
      <c r="EQ4" s="16">
        <f t="shared" si="30"/>
        <v>1.1641475470931626</v>
      </c>
      <c r="ER4" s="16">
        <f t="shared" si="31"/>
        <v>3.6150779005834908</v>
      </c>
      <c r="ES4" s="16">
        <f t="shared" si="32"/>
        <v>-2.2290311640709488</v>
      </c>
      <c r="ET4" s="16">
        <f t="shared" si="33"/>
        <v>1.1444897789063824E-2</v>
      </c>
      <c r="EU4" s="16">
        <f t="shared" si="34"/>
        <v>-0.14605109972294172</v>
      </c>
      <c r="EW4" s="40">
        <f>LARGE($EN$2:$EU$2,3)</f>
        <v>-4.5986362492051444E-2</v>
      </c>
      <c r="EX4" s="39" t="str">
        <f>INDEX(EN1:EU1,MATCH(EW4,EN2:EU2,0))</f>
        <v>EUR</v>
      </c>
      <c r="FK4" s="20"/>
      <c r="FL4" s="20"/>
    </row>
    <row r="5" spans="1:170" ht="18.600000000000001" thickBot="1" x14ac:dyDescent="0.4">
      <c r="A5" s="37" t="s">
        <v>51</v>
      </c>
      <c r="B5" s="38">
        <v>3</v>
      </c>
      <c r="C5" s="63">
        <f>RTD("fxbluelabs.excelrtd", , "21422436","@bh,AUDUSD,h1,close,3")</f>
        <v>0.67400000000000004</v>
      </c>
      <c r="D5" s="64">
        <f>RTD("fxbluelabs.excelrtd", , "21422436","@bh,AUDNZD,h1,close,3")</f>
        <v>1.09412</v>
      </c>
      <c r="E5" s="65">
        <f>RTD("fxbluelabs.excelrtd", , "21422436","@bh,AUDJPY,h1,close,3")</f>
        <v>98.138000000000005</v>
      </c>
      <c r="F5" s="64">
        <f>RTD("fxbluelabs.excelrtd", , "21422436","@bh,AUDCHF,h1,close,3")</f>
        <v>0.57357000000000002</v>
      </c>
      <c r="G5" s="64">
        <f>RTD("fxbluelabs.excelrtd", , "21422436","@bh,AUDCAD,h1,close,3")</f>
        <v>0.91512000000000004</v>
      </c>
      <c r="H5" s="64">
        <f>RTD("fxbluelabs.excelrtd", , "21422436","@bh,EURUSD,h1,close,3")</f>
        <v>1.11398</v>
      </c>
      <c r="I5" s="64">
        <f>RTD("fxbluelabs.excelrtd", , "21422436","@bh,EURCAD,h1,close,3")</f>
        <v>1.5124899999999999</v>
      </c>
      <c r="J5" s="64">
        <f>RTD("fxbluelabs.excelrtd", , "21422436","@bh,EURGBP,h1,close,3")</f>
        <v>0.84877000000000002</v>
      </c>
      <c r="K5" s="64">
        <f>RTD("fxbluelabs.excelrtd", , "21422436","@bh,EURCHF,h1,close,3")</f>
        <v>0.94798000000000004</v>
      </c>
      <c r="L5" s="65">
        <f>RTD("fxbluelabs.excelrtd", , "21422436","@bh,EURJPY,h1,close,3")</f>
        <v>162.19800000000001</v>
      </c>
      <c r="M5" s="64">
        <f>RTD("fxbluelabs.excelrtd", , "21422436","@bh,EURAUD,h1,close,3")</f>
        <v>1.6527499999999999</v>
      </c>
      <c r="N5" s="64">
        <f>RTD("fxbluelabs.excelrtd", , "21422436","@bh,EURNZD,h1,close,3")</f>
        <v>1.80836</v>
      </c>
      <c r="O5" s="64">
        <f>RTD("fxbluelabs.excelrtd", , "21422436","@bh,GBPUSD,h1,close,3")</f>
        <v>1.31254</v>
      </c>
      <c r="P5" s="64">
        <f>RTD("fxbluelabs.excelrtd", , "21422436","@bh,GBPAUD,h1,close,3")</f>
        <v>1.9472799999999999</v>
      </c>
      <c r="Q5" s="64">
        <f>RTD("fxbluelabs.excelrtd", , "21422436","@bh,GBPNZD,h1,close,3")</f>
        <v>2.1306500000000002</v>
      </c>
      <c r="R5" s="64">
        <f>RTD("fxbluelabs.excelrtd", , "21422436","@bh,GBPCAD,h1,close,3")</f>
        <v>1.7820199999999999</v>
      </c>
      <c r="S5" s="64">
        <f>RTD("fxbluelabs.excelrtd", , "21422436","@bh,GBPCHF,h1,close,3")</f>
        <v>1.1168199999999999</v>
      </c>
      <c r="T5" s="65">
        <f>RTD("fxbluelabs.excelrtd", , "21422436","@bh,GBPJPY,h1,close,3")</f>
        <v>191.08500000000001</v>
      </c>
      <c r="U5" s="65">
        <f>RTD("fxbluelabs.excelrtd", , "21422436","@bh,NZDJPY,h1,close,3")</f>
        <v>89.688000000000002</v>
      </c>
      <c r="V5" s="64">
        <f>RTD("fxbluelabs.excelrtd", , "21422436","@bh,NZDCHF,h1,close,3")</f>
        <v>0.52417999999999998</v>
      </c>
      <c r="W5" s="64">
        <f>RTD("fxbluelabs.excelrtd", , "21422436","@bh,NZDUSD,h1,close,3")</f>
        <v>0.61595999999999995</v>
      </c>
      <c r="X5" s="64">
        <f>RTD("fxbluelabs.excelrtd", , "21422436","@bh,NZDCAD,h1,close,3")</f>
        <v>0.83630000000000004</v>
      </c>
      <c r="Y5" s="65">
        <f>RTD("fxbluelabs.excelrtd", , "21422436","@bh,CADJPY,h1,close,3")</f>
        <v>107.241</v>
      </c>
      <c r="Z5" s="64">
        <f>RTD("fxbluelabs.excelrtd", , "21422436","@bh,CADCHF,h1,close,3")</f>
        <v>0.62677000000000005</v>
      </c>
      <c r="AA5" s="65">
        <f>RTD("fxbluelabs.excelrtd", , "21422436","@bh,CHFJPY,h1,close,3")</f>
        <v>171.1</v>
      </c>
      <c r="AB5" s="64">
        <f>RTD("fxbluelabs.excelrtd", , "21422436","@bh,USDCAD,h1,close,3")</f>
        <v>1.3578699999999999</v>
      </c>
      <c r="AC5" s="64">
        <f>RTD("fxbluelabs.excelrtd", , "21422436","@bh,USDCHF,h1,close,3")</f>
        <v>0.85099999999999998</v>
      </c>
      <c r="AD5" s="66">
        <f>RTD("fxbluelabs.excelrtd", , "21422436","@bh,USDJPY,h1,close,3")</f>
        <v>145.60900000000001</v>
      </c>
      <c r="AH5" s="56">
        <v>4</v>
      </c>
      <c r="AI5" s="75">
        <f t="shared" si="35"/>
        <v>-8.8941595019260883E-2</v>
      </c>
      <c r="AJ5" s="75">
        <f t="shared" si="35"/>
        <v>-7.3064698790771196E-2</v>
      </c>
      <c r="AK5" s="75">
        <f t="shared" si="35"/>
        <v>-0.11094486345638509</v>
      </c>
      <c r="AL5" s="75">
        <f t="shared" si="35"/>
        <v>-0.1166759543048113</v>
      </c>
      <c r="AM5" s="75">
        <f t="shared" si="35"/>
        <v>-8.2980303096473654E-2</v>
      </c>
      <c r="AN5" s="75">
        <f t="shared" si="35"/>
        <v>-2.512878502324933E-2</v>
      </c>
      <c r="AO5" s="75">
        <f t="shared" si="35"/>
        <v>-1.9830908453928767E-2</v>
      </c>
      <c r="AP5" s="75">
        <f t="shared" si="35"/>
        <v>-0.11180153462317073</v>
      </c>
      <c r="AQ5" s="75">
        <f t="shared" si="35"/>
        <v>-5.2715924426444939E-2</v>
      </c>
      <c r="AR5" s="75">
        <f t="shared" si="35"/>
        <v>-4.8066257487245773E-2</v>
      </c>
      <c r="AS5" s="75">
        <f t="shared" si="35"/>
        <v>6.2359237643175858E-2</v>
      </c>
      <c r="AT5" s="75">
        <f t="shared" si="35"/>
        <v>-8.2941205744007217E-3</v>
      </c>
      <c r="AU5" s="75">
        <f t="shared" si="35"/>
        <v>8.7693211020366507E-2</v>
      </c>
      <c r="AV5" s="75">
        <f t="shared" si="35"/>
        <v>0.17542325361263422</v>
      </c>
      <c r="AW5" s="75">
        <f t="shared" si="35"/>
        <v>0.10477255428909492</v>
      </c>
      <c r="AX5" s="75">
        <f t="shared" si="35"/>
        <v>9.3239569525264271E-2</v>
      </c>
      <c r="AY5" s="75">
        <f t="shared" si="1"/>
        <v>6.002777404470263E-2</v>
      </c>
      <c r="AZ5" s="75">
        <f t="shared" si="1"/>
        <v>6.6506771122450778E-2</v>
      </c>
      <c r="BA5" s="75">
        <f t="shared" si="1"/>
        <v>-4.4579172610547481E-2</v>
      </c>
      <c r="BB5" s="75">
        <f t="shared" si="1"/>
        <v>-5.148250548193202E-2</v>
      </c>
      <c r="BC5" s="75">
        <f t="shared" si="1"/>
        <v>-2.2723583833797922E-2</v>
      </c>
      <c r="BD5" s="75">
        <f t="shared" si="1"/>
        <v>-1.7932930838661425E-2</v>
      </c>
      <c r="BE5" s="75">
        <f t="shared" si="1"/>
        <v>-2.7034585625054872E-2</v>
      </c>
      <c r="BF5" s="75">
        <f t="shared" si="1"/>
        <v>-3.3493891352185473E-2</v>
      </c>
      <c r="BG5" s="75">
        <f t="shared" si="1"/>
        <v>9.9366973924913098E-3</v>
      </c>
      <c r="BH5" s="75">
        <f t="shared" si="1"/>
        <v>5.8919273230660088E-3</v>
      </c>
      <c r="BI5" s="75">
        <f t="shared" si="1"/>
        <v>-2.8194163808093836E-2</v>
      </c>
      <c r="BJ5" s="75">
        <f t="shared" si="1"/>
        <v>-1.9912385503780855E-2</v>
      </c>
      <c r="BN5" s="59">
        <v>4</v>
      </c>
      <c r="BO5" s="79">
        <f t="shared" si="6"/>
        <v>3.1977649076674233E-2</v>
      </c>
      <c r="BP5" s="79">
        <f t="shared" si="2"/>
        <v>-0.29820177315260227</v>
      </c>
      <c r="BQ5" s="79">
        <f t="shared" si="3"/>
        <v>-0.31657934156206124</v>
      </c>
      <c r="BR5" s="79">
        <f t="shared" si="3"/>
        <v>-0.45334830271644894</v>
      </c>
      <c r="BS5" s="79">
        <f t="shared" si="3"/>
        <v>-0.19505166579995828</v>
      </c>
      <c r="BT5" s="79">
        <f t="shared" si="3"/>
        <v>0.20455507232406134</v>
      </c>
      <c r="BU5" s="79">
        <f t="shared" si="3"/>
        <v>-2.2692899530833602E-2</v>
      </c>
      <c r="BV5" s="79">
        <f t="shared" si="3"/>
        <v>-0.54130299366014389</v>
      </c>
      <c r="BW5" s="79">
        <f t="shared" si="3"/>
        <v>-0.28163098981021473</v>
      </c>
      <c r="BX5" s="79">
        <f t="shared" si="3"/>
        <v>-0.14629429804317862</v>
      </c>
      <c r="BY5" s="79">
        <f t="shared" si="3"/>
        <v>0.17148139024383757</v>
      </c>
      <c r="BZ5" s="79">
        <f t="shared" si="3"/>
        <v>-0.12485859693551431</v>
      </c>
      <c r="CA5" s="79">
        <f t="shared" si="3"/>
        <v>0.75155502087170889</v>
      </c>
      <c r="CB5" s="79">
        <f t="shared" si="3"/>
        <v>0.71566917823678122</v>
      </c>
      <c r="CC5" s="79">
        <f t="shared" si="3"/>
        <v>0.42114219236302408</v>
      </c>
      <c r="CD5" s="79">
        <f t="shared" si="3"/>
        <v>0.52085061351086559</v>
      </c>
      <c r="CE5" s="79">
        <f t="shared" si="3"/>
        <v>0.2534730307665326</v>
      </c>
      <c r="CF5" s="79">
        <f t="shared" si="3"/>
        <v>0.38941192268251823</v>
      </c>
      <c r="CG5" s="79">
        <f t="shared" si="3"/>
        <v>-1.8764669699550533E-2</v>
      </c>
      <c r="CH5" s="79">
        <f t="shared" si="3"/>
        <v>-0.15596986908842292</v>
      </c>
      <c r="CI5" s="79">
        <f t="shared" si="3"/>
        <v>0.33098937199959799</v>
      </c>
      <c r="CJ5" s="79">
        <f t="shared" si="3"/>
        <v>0.10208484570315068</v>
      </c>
      <c r="CK5" s="79">
        <f t="shared" si="3"/>
        <v>-0.12101434845617735</v>
      </c>
      <c r="CL5" s="79">
        <f t="shared" si="3"/>
        <v>-0.25770563695280913</v>
      </c>
      <c r="CM5" s="79">
        <f t="shared" si="3"/>
        <v>0.13668200363161029</v>
      </c>
      <c r="CN5" s="79">
        <f t="shared" si="3"/>
        <v>-0.22048865511377899</v>
      </c>
      <c r="CO5" s="79">
        <f t="shared" si="3"/>
        <v>-0.48462613740037819</v>
      </c>
      <c r="CP5" s="79">
        <f t="shared" si="3"/>
        <v>-0.34632986460760873</v>
      </c>
      <c r="CU5" s="56">
        <v>4</v>
      </c>
      <c r="CV5" s="58">
        <f t="shared" si="7"/>
        <v>-0.74074331541198624</v>
      </c>
      <c r="CW5" s="58">
        <f t="shared" si="8"/>
        <v>-2.3705217713938085</v>
      </c>
      <c r="CX5" s="58">
        <f t="shared" si="9"/>
        <v>-0.56342222417843191</v>
      </c>
      <c r="CY5" s="58">
        <f t="shared" si="10"/>
        <v>1.2587842718805424</v>
      </c>
      <c r="CZ5" s="58">
        <f t="shared" si="11"/>
        <v>3.5934049520915745</v>
      </c>
      <c r="DA5" s="58">
        <f t="shared" si="12"/>
        <v>-2.1183540026350149</v>
      </c>
      <c r="DB5" s="58">
        <f t="shared" si="13"/>
        <v>0.26025785663986772</v>
      </c>
      <c r="DC5" s="58">
        <f t="shared" si="14"/>
        <v>0.42288859605444795</v>
      </c>
      <c r="DF5" s="53">
        <v>4</v>
      </c>
      <c r="DG5" s="54">
        <f t="shared" si="36"/>
        <v>-0.22048865511377899</v>
      </c>
      <c r="DH5" s="54">
        <f t="shared" si="15"/>
        <v>-2.2692899530833602E-2</v>
      </c>
      <c r="DI5" s="54">
        <f t="shared" si="16"/>
        <v>-0.48462613740037819</v>
      </c>
      <c r="DJ5" s="54">
        <f t="shared" si="17"/>
        <v>-0.28163098981021473</v>
      </c>
      <c r="DK5" s="54">
        <f t="shared" si="18"/>
        <v>-0.75155502087170889</v>
      </c>
      <c r="DL5" s="54">
        <f t="shared" si="19"/>
        <v>-0.54130299366014389</v>
      </c>
      <c r="DM5" s="54">
        <f t="shared" si="20"/>
        <v>-3.1977649076674233E-2</v>
      </c>
      <c r="DN5" s="54">
        <f t="shared" si="21"/>
        <v>0.17148139024383757</v>
      </c>
      <c r="DO5" s="54">
        <f t="shared" si="22"/>
        <v>-0.33098937199959799</v>
      </c>
      <c r="DP5" s="54">
        <f t="shared" si="23"/>
        <v>-0.12485859693551431</v>
      </c>
      <c r="DQ5" s="54">
        <f t="shared" si="24"/>
        <v>-0.34632986460760873</v>
      </c>
      <c r="DR5" s="54">
        <f t="shared" si="25"/>
        <v>-0.14629429804317862</v>
      </c>
      <c r="DS5" s="54">
        <f t="shared" si="26"/>
        <v>-0.20455507232406134</v>
      </c>
      <c r="DT5" s="54">
        <f t="shared" si="27"/>
        <v>0.20455507232406134</v>
      </c>
      <c r="DX5">
        <v>4</v>
      </c>
      <c r="DY5" s="19">
        <f t="shared" si="4"/>
        <v>1.6297784559818222</v>
      </c>
      <c r="EM5" s="21">
        <v>4</v>
      </c>
      <c r="EN5" s="16">
        <f t="shared" si="28"/>
        <v>-0.74074331541198624</v>
      </c>
      <c r="EO5" s="16">
        <f t="shared" si="5"/>
        <v>-2.3705217713938085</v>
      </c>
      <c r="EP5" s="16">
        <f t="shared" si="29"/>
        <v>-0.56342222417843191</v>
      </c>
      <c r="EQ5" s="16">
        <f t="shared" si="30"/>
        <v>1.2587842718805424</v>
      </c>
      <c r="ER5" s="16">
        <f t="shared" si="31"/>
        <v>3.5934049520915745</v>
      </c>
      <c r="ES5" s="16">
        <f t="shared" si="32"/>
        <v>-2.1183540026350149</v>
      </c>
      <c r="ET5" s="16">
        <f t="shared" si="33"/>
        <v>0.26025785663986772</v>
      </c>
      <c r="EU5" s="16">
        <f t="shared" si="34"/>
        <v>0.42288859605444795</v>
      </c>
      <c r="EW5" s="40">
        <f>LARGE($EN$2:$EU$2,4)</f>
        <v>-0.11049284975107865</v>
      </c>
      <c r="EX5" s="39" t="str">
        <f>INDEX(EN1:EU1,MATCH(EW5,EN2:EU2,0))</f>
        <v>CAD</v>
      </c>
      <c r="FK5" s="20"/>
      <c r="FL5" s="20"/>
    </row>
    <row r="6" spans="1:170" ht="18.600000000000001" thickBot="1" x14ac:dyDescent="0.4">
      <c r="A6" s="37" t="s">
        <v>51</v>
      </c>
      <c r="B6" s="38">
        <v>4</v>
      </c>
      <c r="C6" s="63">
        <f>RTD("fxbluelabs.excelrtd", , "21422436","@bh,AUDUSD,h1,close,4")</f>
        <v>0.67459999999999998</v>
      </c>
      <c r="D6" s="64">
        <f>RTD("fxbluelabs.excelrtd", , "21422436","@bh,AUDNZD,h1,close,4")</f>
        <v>1.0949199999999999</v>
      </c>
      <c r="E6" s="65">
        <f>RTD("fxbluelabs.excelrtd", , "21422436","@bh,AUDJPY,h1,close,4")</f>
        <v>98.247</v>
      </c>
      <c r="F6" s="64">
        <f>RTD("fxbluelabs.excelrtd", , "21422436","@bh,AUDCHF,h1,close,4")</f>
        <v>0.57423999999999997</v>
      </c>
      <c r="G6" s="64">
        <f>RTD("fxbluelabs.excelrtd", , "21422436","@bh,AUDCAD,h1,close,4")</f>
        <v>0.91588000000000003</v>
      </c>
      <c r="H6" s="64">
        <f>RTD("fxbluelabs.excelrtd", , "21422436","@bh,EURUSD,h1,close,4")</f>
        <v>1.11426</v>
      </c>
      <c r="I6" s="64">
        <f>RTD("fxbluelabs.excelrtd", , "21422436","@bh,EURCAD,h1,close,4")</f>
        <v>1.5127900000000001</v>
      </c>
      <c r="J6" s="64">
        <f>RTD("fxbluelabs.excelrtd", , "21422436","@bh,EURGBP,h1,close,4")</f>
        <v>0.84972000000000003</v>
      </c>
      <c r="K6" s="64">
        <f>RTD("fxbluelabs.excelrtd", , "21422436","@bh,EURCHF,h1,close,4")</f>
        <v>0.94847999999999999</v>
      </c>
      <c r="L6" s="65">
        <f>RTD("fxbluelabs.excelrtd", , "21422436","@bh,EURJPY,h1,close,4")</f>
        <v>162.27600000000001</v>
      </c>
      <c r="M6" s="64">
        <f>RTD("fxbluelabs.excelrtd", , "21422436","@bh,EURAUD,h1,close,4")</f>
        <v>1.6517200000000001</v>
      </c>
      <c r="N6" s="64">
        <f>RTD("fxbluelabs.excelrtd", , "21422436","@bh,EURNZD,h1,close,4")</f>
        <v>1.8085100000000001</v>
      </c>
      <c r="O6" s="64">
        <f>RTD("fxbluelabs.excelrtd", , "21422436","@bh,GBPUSD,h1,close,4")</f>
        <v>1.3113900000000001</v>
      </c>
      <c r="P6" s="64">
        <f>RTD("fxbluelabs.excelrtd", , "21422436","@bh,GBPAUD,h1,close,4")</f>
        <v>1.94387</v>
      </c>
      <c r="Q6" s="64">
        <f>RTD("fxbluelabs.excelrtd", , "21422436","@bh,GBPNZD,h1,close,4")</f>
        <v>2.1284200000000002</v>
      </c>
      <c r="R6" s="64">
        <f>RTD("fxbluelabs.excelrtd", , "21422436","@bh,GBPCAD,h1,close,4")</f>
        <v>1.7803599999999999</v>
      </c>
      <c r="S6" s="64">
        <f>RTD("fxbluelabs.excelrtd", , "21422436","@bh,GBPCHF,h1,close,4")</f>
        <v>1.11615</v>
      </c>
      <c r="T6" s="65">
        <f>RTD("fxbluelabs.excelrtd", , "21422436","@bh,GBPJPY,h1,close,4")</f>
        <v>190.958</v>
      </c>
      <c r="U6" s="65">
        <f>RTD("fxbluelabs.excelrtd", , "21422436","@bh,NZDJPY,h1,close,4")</f>
        <v>89.727999999999994</v>
      </c>
      <c r="V6" s="64">
        <f>RTD("fxbluelabs.excelrtd", , "21422436","@bh,NZDCHF,h1,close,4")</f>
        <v>0.52444999999999997</v>
      </c>
      <c r="W6" s="64">
        <f>RTD("fxbluelabs.excelrtd", , "21422436","@bh,NZDUSD,h1,close,4")</f>
        <v>0.61609999999999998</v>
      </c>
      <c r="X6" s="64">
        <f>RTD("fxbluelabs.excelrtd", , "21422436","@bh,NZDCAD,h1,close,4")</f>
        <v>0.83645000000000003</v>
      </c>
      <c r="Y6" s="65">
        <f>RTD("fxbluelabs.excelrtd", , "21422436","@bh,CADJPY,h1,close,4")</f>
        <v>107.27</v>
      </c>
      <c r="Z6" s="64">
        <f>RTD("fxbluelabs.excelrtd", , "21422436","@bh,CADCHF,h1,close,4")</f>
        <v>0.62697999999999998</v>
      </c>
      <c r="AA6" s="65">
        <f>RTD("fxbluelabs.excelrtd", , "21422436","@bh,CHFJPY,h1,close,4")</f>
        <v>171.083</v>
      </c>
      <c r="AB6" s="64">
        <f>RTD("fxbluelabs.excelrtd", , "21422436","@bh,USDCAD,h1,close,4")</f>
        <v>1.3577900000000001</v>
      </c>
      <c r="AC6" s="64">
        <f>RTD("fxbluelabs.excelrtd", , "21422436","@bh,USDCHF,h1,close,4")</f>
        <v>0.85124</v>
      </c>
      <c r="AD6" s="66">
        <f>RTD("fxbluelabs.excelrtd", , "21422436","@bh,USDJPY,h1,close,4")</f>
        <v>145.63800000000001</v>
      </c>
      <c r="AH6" s="56">
        <v>5</v>
      </c>
      <c r="AI6" s="74">
        <f t="shared" si="35"/>
        <v>-3.7045269319103874E-2</v>
      </c>
      <c r="AJ6" s="74">
        <f t="shared" si="35"/>
        <v>3.563173234172571E-2</v>
      </c>
      <c r="AK6" s="74">
        <f t="shared" si="35"/>
        <v>0.23158539073658832</v>
      </c>
      <c r="AL6" s="74">
        <f t="shared" si="35"/>
        <v>8.3658672615714746E-2</v>
      </c>
      <c r="AM6" s="74">
        <f t="shared" si="35"/>
        <v>-2.5106155374349421E-2</v>
      </c>
      <c r="AN6" s="74">
        <f t="shared" si="35"/>
        <v>4.9384489678646185E-2</v>
      </c>
      <c r="AO6" s="74">
        <f t="shared" si="35"/>
        <v>6.1513632214629493E-2</v>
      </c>
      <c r="AP6" s="74">
        <f t="shared" si="35"/>
        <v>-7.4087140589171444E-2</v>
      </c>
      <c r="AQ6" s="74">
        <f t="shared" si="35"/>
        <v>0.17426570767720082</v>
      </c>
      <c r="AR6" s="74">
        <f t="shared" si="35"/>
        <v>0.3183709299522226</v>
      </c>
      <c r="AS6" s="74">
        <f t="shared" si="35"/>
        <v>8.7257919868150124E-2</v>
      </c>
      <c r="AT6" s="74">
        <f t="shared" si="35"/>
        <v>0.1223495543375987</v>
      </c>
      <c r="AU6" s="74">
        <f t="shared" si="35"/>
        <v>0.1221569869979192</v>
      </c>
      <c r="AV6" s="74">
        <f t="shared" si="35"/>
        <v>0.15921433650388181</v>
      </c>
      <c r="AW6" s="74">
        <f t="shared" si="35"/>
        <v>0.19488956258120549</v>
      </c>
      <c r="AX6" s="74">
        <f t="shared" si="35"/>
        <v>0.13385977345077271</v>
      </c>
      <c r="AY6" s="74">
        <f t="shared" si="1"/>
        <v>0.24338985486420375</v>
      </c>
      <c r="AZ6" s="74">
        <f t="shared" si="1"/>
        <v>0.39008285317743524</v>
      </c>
      <c r="BA6" s="74">
        <f t="shared" si="1"/>
        <v>0.19653385742360607</v>
      </c>
      <c r="BB6" s="74">
        <f t="shared" si="1"/>
        <v>4.9600335756105028E-2</v>
      </c>
      <c r="BC6" s="74">
        <f t="shared" si="1"/>
        <v>-7.2986781282955382E-2</v>
      </c>
      <c r="BD6" s="74">
        <f t="shared" si="1"/>
        <v>-6.2128869613004643E-2</v>
      </c>
      <c r="BE6" s="74">
        <f t="shared" si="1"/>
        <v>0.2560843396014813</v>
      </c>
      <c r="BF6" s="74">
        <f t="shared" si="1"/>
        <v>0.11017260374586348</v>
      </c>
      <c r="BG6" s="74">
        <f t="shared" si="1"/>
        <v>0.14399690933463438</v>
      </c>
      <c r="BH6" s="74">
        <f t="shared" si="1"/>
        <v>1.1785243402116926E-2</v>
      </c>
      <c r="BI6" s="74">
        <f t="shared" si="1"/>
        <v>0.1199689492131473</v>
      </c>
      <c r="BJ6" s="74">
        <f t="shared" si="1"/>
        <v>0.26850627891607098</v>
      </c>
      <c r="BN6" s="59">
        <v>5</v>
      </c>
      <c r="BO6" s="78">
        <f t="shared" si="6"/>
        <v>0.1209192440959351</v>
      </c>
      <c r="BP6" s="78">
        <f t="shared" si="2"/>
        <v>-0.22513707436183109</v>
      </c>
      <c r="BQ6" s="78">
        <f t="shared" si="3"/>
        <v>-0.20563447810567606</v>
      </c>
      <c r="BR6" s="78">
        <f t="shared" si="3"/>
        <v>-0.33667234841163773</v>
      </c>
      <c r="BS6" s="78">
        <f t="shared" si="3"/>
        <v>-0.11207136270348461</v>
      </c>
      <c r="BT6" s="78">
        <f t="shared" si="3"/>
        <v>0.22968385734731067</v>
      </c>
      <c r="BU6" s="78">
        <f t="shared" si="3"/>
        <v>-2.8619910769048379E-3</v>
      </c>
      <c r="BV6" s="78">
        <f t="shared" si="3"/>
        <v>-0.42950145903697312</v>
      </c>
      <c r="BW6" s="78">
        <f t="shared" si="3"/>
        <v>-0.22891506538376985</v>
      </c>
      <c r="BX6" s="78">
        <f t="shared" si="3"/>
        <v>-9.8228040555932872E-2</v>
      </c>
      <c r="BY6" s="78">
        <f t="shared" si="3"/>
        <v>0.10912215260066167</v>
      </c>
      <c r="BZ6" s="78">
        <f t="shared" si="3"/>
        <v>-0.11656447636111347</v>
      </c>
      <c r="CA6" s="78">
        <f t="shared" si="3"/>
        <v>0.66386180985134235</v>
      </c>
      <c r="CB6" s="78">
        <f t="shared" si="3"/>
        <v>0.54024592462414689</v>
      </c>
      <c r="CC6" s="78">
        <f t="shared" si="3"/>
        <v>0.31636963807392904</v>
      </c>
      <c r="CD6" s="78">
        <f t="shared" si="3"/>
        <v>0.42761104398560135</v>
      </c>
      <c r="CE6" s="78">
        <f t="shared" si="3"/>
        <v>0.19344525672182999</v>
      </c>
      <c r="CF6" s="78">
        <f t="shared" si="3"/>
        <v>0.3229051515600676</v>
      </c>
      <c r="CG6" s="78">
        <f t="shared" si="3"/>
        <v>2.5814502910996961E-2</v>
      </c>
      <c r="CH6" s="78">
        <f t="shared" si="3"/>
        <v>-0.10448736360649091</v>
      </c>
      <c r="CI6" s="78">
        <f t="shared" si="3"/>
        <v>0.35371295583339596</v>
      </c>
      <c r="CJ6" s="78">
        <f t="shared" si="3"/>
        <v>0.12001777654181212</v>
      </c>
      <c r="CK6" s="78">
        <f t="shared" si="3"/>
        <v>-9.3979762831122526E-2</v>
      </c>
      <c r="CL6" s="78">
        <f t="shared" si="3"/>
        <v>-0.22421174560062362</v>
      </c>
      <c r="CM6" s="78">
        <f t="shared" si="3"/>
        <v>0.12674530623911906</v>
      </c>
      <c r="CN6" s="78">
        <f t="shared" si="3"/>
        <v>-0.22638058243684497</v>
      </c>
      <c r="CO6" s="78">
        <f t="shared" si="3"/>
        <v>-0.45643197359228427</v>
      </c>
      <c r="CP6" s="78">
        <f t="shared" si="3"/>
        <v>-0.32641747910382785</v>
      </c>
      <c r="CU6" s="56">
        <v>5</v>
      </c>
      <c r="CV6" s="57">
        <f t="shared" si="7"/>
        <v>-0.53726502246672181</v>
      </c>
      <c r="CW6" s="57">
        <f t="shared" si="8"/>
        <v>-2.3774079022609413</v>
      </c>
      <c r="CX6" s="57">
        <f t="shared" si="9"/>
        <v>-0.52450639274192512</v>
      </c>
      <c r="CY6" s="57">
        <f t="shared" si="10"/>
        <v>1.0598068005114718</v>
      </c>
      <c r="CZ6" s="57">
        <f t="shared" si="11"/>
        <v>2.8939402838538903</v>
      </c>
      <c r="DA6" s="57">
        <f t="shared" si="12"/>
        <v>-1.407964096711503</v>
      </c>
      <c r="DB6" s="57">
        <f t="shared" si="13"/>
        <v>0.42038978432872964</v>
      </c>
      <c r="DC6" s="57">
        <f t="shared" si="14"/>
        <v>0.24879479988637571</v>
      </c>
      <c r="DF6" s="51">
        <v>5</v>
      </c>
      <c r="DG6" s="52">
        <f t="shared" si="36"/>
        <v>-0.22638058243684497</v>
      </c>
      <c r="DH6" s="52">
        <f t="shared" si="15"/>
        <v>-2.8619910769048379E-3</v>
      </c>
      <c r="DI6" s="52">
        <f t="shared" si="16"/>
        <v>-0.45643197359228427</v>
      </c>
      <c r="DJ6" s="52">
        <f t="shared" si="17"/>
        <v>-0.22891506538376985</v>
      </c>
      <c r="DK6" s="52">
        <f t="shared" si="18"/>
        <v>-0.66386180985134235</v>
      </c>
      <c r="DL6" s="52">
        <f t="shared" si="19"/>
        <v>-0.42950145903697312</v>
      </c>
      <c r="DM6" s="52">
        <f t="shared" si="20"/>
        <v>-0.1209192440959351</v>
      </c>
      <c r="DN6" s="52">
        <f t="shared" si="21"/>
        <v>0.10912215260066167</v>
      </c>
      <c r="DO6" s="52">
        <f t="shared" si="22"/>
        <v>-0.35371295583339596</v>
      </c>
      <c r="DP6" s="52">
        <f t="shared" si="23"/>
        <v>-0.11656447636111347</v>
      </c>
      <c r="DQ6" s="52">
        <f t="shared" si="24"/>
        <v>-0.32641747910382785</v>
      </c>
      <c r="DR6" s="52">
        <f t="shared" si="25"/>
        <v>-9.8228040555932872E-2</v>
      </c>
      <c r="DS6" s="52">
        <f t="shared" si="26"/>
        <v>-0.22968385734731067</v>
      </c>
      <c r="DT6" s="52">
        <f t="shared" si="27"/>
        <v>0.22968385734731067</v>
      </c>
      <c r="DX6">
        <v>5</v>
      </c>
      <c r="DY6" s="19">
        <f t="shared" si="4"/>
        <v>1.8401428797942194</v>
      </c>
      <c r="EM6" s="21">
        <v>5</v>
      </c>
      <c r="EN6" s="16">
        <f t="shared" si="28"/>
        <v>-0.53726502246672181</v>
      </c>
      <c r="EO6" s="16">
        <f t="shared" si="5"/>
        <v>-2.3774079022609413</v>
      </c>
      <c r="EP6" s="16">
        <f t="shared" si="29"/>
        <v>-0.52450639274192512</v>
      </c>
      <c r="EQ6" s="16">
        <f t="shared" si="30"/>
        <v>1.0598068005114718</v>
      </c>
      <c r="ER6" s="16">
        <f t="shared" si="31"/>
        <v>2.8939402838538903</v>
      </c>
      <c r="ES6" s="16">
        <f t="shared" si="32"/>
        <v>-1.407964096711503</v>
      </c>
      <c r="ET6" s="16">
        <f t="shared" si="33"/>
        <v>0.42038978432872964</v>
      </c>
      <c r="EU6" s="16">
        <f t="shared" si="34"/>
        <v>0.24879479988637571</v>
      </c>
      <c r="EW6" s="40">
        <f>LARGE($EN$2:$EU$2,5)</f>
        <v>-0.12070079471873724</v>
      </c>
      <c r="EX6" s="39" t="str">
        <f>INDEX(EN1:EU1,MATCH(EW6,EN2:EU2,0))</f>
        <v>NZD</v>
      </c>
      <c r="FK6" s="20"/>
    </row>
    <row r="7" spans="1:170" ht="18.600000000000001" thickBot="1" x14ac:dyDescent="0.4">
      <c r="A7" s="37" t="s">
        <v>51</v>
      </c>
      <c r="B7" s="38">
        <v>5</v>
      </c>
      <c r="C7" s="63">
        <f>RTD("fxbluelabs.excelrtd", , "21422436","@bh,AUDUSD,h1,close,5")</f>
        <v>0.67484999999999995</v>
      </c>
      <c r="D7" s="64">
        <f>RTD("fxbluelabs.excelrtd", , "21422436","@bh,AUDNZD,h1,close,5")</f>
        <v>1.09453</v>
      </c>
      <c r="E7" s="65">
        <f>RTD("fxbluelabs.excelrtd", , "21422436","@bh,AUDJPY,h1,close,5")</f>
        <v>98.02</v>
      </c>
      <c r="F7" s="64">
        <f>RTD("fxbluelabs.excelrtd", , "21422436","@bh,AUDCHF,h1,close,5")</f>
        <v>0.57376000000000005</v>
      </c>
      <c r="G7" s="64">
        <f>RTD("fxbluelabs.excelrtd", , "21422436","@bh,AUDCAD,h1,close,5")</f>
        <v>0.91610999999999998</v>
      </c>
      <c r="H7" s="64">
        <f>RTD("fxbluelabs.excelrtd", , "21422436","@bh,EURUSD,h1,close,5")</f>
        <v>1.11371</v>
      </c>
      <c r="I7" s="64">
        <f>RTD("fxbluelabs.excelrtd", , "21422436","@bh,EURCAD,h1,close,5")</f>
        <v>1.51186</v>
      </c>
      <c r="J7" s="64">
        <f>RTD("fxbluelabs.excelrtd", , "21422436","@bh,EURGBP,h1,close,5")</f>
        <v>0.85035000000000005</v>
      </c>
      <c r="K7" s="64">
        <f>RTD("fxbluelabs.excelrtd", , "21422436","@bh,EURCHF,h1,close,5")</f>
        <v>0.94682999999999995</v>
      </c>
      <c r="L7" s="65">
        <f>RTD("fxbluelabs.excelrtd", , "21422436","@bh,EURJPY,h1,close,5")</f>
        <v>161.761</v>
      </c>
      <c r="M7" s="64">
        <f>RTD("fxbluelabs.excelrtd", , "21422436","@bh,EURAUD,h1,close,5")</f>
        <v>1.65028</v>
      </c>
      <c r="N7" s="64">
        <f>RTD("fxbluelabs.excelrtd", , "21422436","@bh,EURNZD,h1,close,5")</f>
        <v>1.8063</v>
      </c>
      <c r="O7" s="64">
        <f>RTD("fxbluelabs.excelrtd", , "21422436","@bh,GBPUSD,h1,close,5")</f>
        <v>1.30979</v>
      </c>
      <c r="P7" s="64">
        <f>RTD("fxbluelabs.excelrtd", , "21422436","@bh,GBPAUD,h1,close,5")</f>
        <v>1.9407799999999999</v>
      </c>
      <c r="Q7" s="64">
        <f>RTD("fxbluelabs.excelrtd", , "21422436","@bh,GBPNZD,h1,close,5")</f>
        <v>2.1242800000000002</v>
      </c>
      <c r="R7" s="64">
        <f>RTD("fxbluelabs.excelrtd", , "21422436","@bh,GBPCAD,h1,close,5")</f>
        <v>1.7779799999999999</v>
      </c>
      <c r="S7" s="64">
        <f>RTD("fxbluelabs.excelrtd", , "21422436","@bh,GBPCHF,h1,close,5")</f>
        <v>1.11344</v>
      </c>
      <c r="T7" s="65">
        <f>RTD("fxbluelabs.excelrtd", , "21422436","@bh,GBPJPY,h1,close,5")</f>
        <v>190.21600000000001</v>
      </c>
      <c r="U7" s="65">
        <f>RTD("fxbluelabs.excelrtd", , "21422436","@bh,NZDJPY,h1,close,5")</f>
        <v>89.552000000000007</v>
      </c>
      <c r="V7" s="64">
        <f>RTD("fxbluelabs.excelrtd", , "21422436","@bh,NZDCHF,h1,close,5")</f>
        <v>0.52419000000000004</v>
      </c>
      <c r="W7" s="64">
        <f>RTD("fxbluelabs.excelrtd", , "21422436","@bh,NZDUSD,h1,close,5")</f>
        <v>0.61655000000000004</v>
      </c>
      <c r="X7" s="64">
        <f>RTD("fxbluelabs.excelrtd", , "21422436","@bh,NZDCAD,h1,close,5")</f>
        <v>0.83696999999999999</v>
      </c>
      <c r="Y7" s="65">
        <f>RTD("fxbluelabs.excelrtd", , "21422436","@bh,CADJPY,h1,close,5")</f>
        <v>106.996</v>
      </c>
      <c r="Z7" s="64">
        <f>RTD("fxbluelabs.excelrtd", , "21422436","@bh,CADCHF,h1,close,5")</f>
        <v>0.62629000000000001</v>
      </c>
      <c r="AA7" s="65">
        <f>RTD("fxbluelabs.excelrtd", , "21422436","@bh,CHFJPY,h1,close,5")</f>
        <v>170.83699999999999</v>
      </c>
      <c r="AB7" s="64">
        <f>RTD("fxbluelabs.excelrtd", , "21422436","@bh,USDCAD,h1,close,5")</f>
        <v>1.3576299999999999</v>
      </c>
      <c r="AC7" s="64">
        <f>RTD("fxbluelabs.excelrtd", , "21422436","@bh,USDCHF,h1,close,5")</f>
        <v>0.85021999999999998</v>
      </c>
      <c r="AD7" s="66">
        <f>RTD("fxbluelabs.excelrtd", , "21422436","@bh,USDJPY,h1,close,5")</f>
        <v>145.24799999999999</v>
      </c>
      <c r="AH7" s="56">
        <v>6</v>
      </c>
      <c r="AI7" s="75">
        <f t="shared" si="35"/>
        <v>0.11274458900146611</v>
      </c>
      <c r="AJ7" s="75">
        <f t="shared" si="35"/>
        <v>0</v>
      </c>
      <c r="AK7" s="75">
        <f t="shared" si="35"/>
        <v>2.1428790089695605E-2</v>
      </c>
      <c r="AL7" s="75">
        <f t="shared" si="35"/>
        <v>3.4869935141936155E-2</v>
      </c>
      <c r="AM7" s="75">
        <f t="shared" si="35"/>
        <v>6.6630256690333095E-2</v>
      </c>
      <c r="AN7" s="75">
        <f t="shared" si="35"/>
        <v>-0.11121574958519483</v>
      </c>
      <c r="AO7" s="75">
        <f t="shared" si="35"/>
        <v>-0.15717455621302096</v>
      </c>
      <c r="AP7" s="75">
        <f t="shared" si="35"/>
        <v>-0.14912754514924417</v>
      </c>
      <c r="AQ7" s="75">
        <f t="shared" si="35"/>
        <v>-0.19500780031201442</v>
      </c>
      <c r="AR7" s="75">
        <f t="shared" si="35"/>
        <v>-0.20358934178949634</v>
      </c>
      <c r="AS7" s="75">
        <f t="shared" si="35"/>
        <v>-0.22490931076178633</v>
      </c>
      <c r="AT7" s="75">
        <f t="shared" si="35"/>
        <v>-0.22426478711416253</v>
      </c>
      <c r="AU7" s="75">
        <f t="shared" si="35"/>
        <v>4.124498758831277E-2</v>
      </c>
      <c r="AV7" s="75">
        <f t="shared" si="35"/>
        <v>-7.2083946905027743E-2</v>
      </c>
      <c r="AW7" s="75">
        <f t="shared" si="35"/>
        <v>-7.1502493179026433E-2</v>
      </c>
      <c r="AX7" s="75">
        <f t="shared" si="35"/>
        <v>-5.061667988332603E-3</v>
      </c>
      <c r="AY7" s="75">
        <f t="shared" si="1"/>
        <v>-3.8604145905709868E-2</v>
      </c>
      <c r="AZ7" s="75">
        <f t="shared" si="1"/>
        <v>-4.9918291638422825E-2</v>
      </c>
      <c r="BA7" s="75">
        <f t="shared" si="1"/>
        <v>2.6807255830579156E-2</v>
      </c>
      <c r="BB7" s="75">
        <f t="shared" si="1"/>
        <v>4.007786556739637E-2</v>
      </c>
      <c r="BC7" s="75">
        <f t="shared" si="1"/>
        <v>0.11854113214900594</v>
      </c>
      <c r="BD7" s="75">
        <f t="shared" si="1"/>
        <v>7.4131643450702916E-2</v>
      </c>
      <c r="BE7" s="75">
        <f t="shared" si="1"/>
        <v>-4.4841373640747563E-2</v>
      </c>
      <c r="BF7" s="75">
        <f t="shared" si="1"/>
        <v>-3.3519553072614922E-2</v>
      </c>
      <c r="BG7" s="75">
        <f t="shared" si="1"/>
        <v>-9.3647755673119896E-3</v>
      </c>
      <c r="BH7" s="75">
        <f t="shared" si="1"/>
        <v>-4.5646972206888639E-2</v>
      </c>
      <c r="BI7" s="75">
        <f t="shared" si="1"/>
        <v>-7.7566754418953776E-2</v>
      </c>
      <c r="BJ7" s="75">
        <f t="shared" si="1"/>
        <v>-9.1483756474374081E-2</v>
      </c>
      <c r="BN7" s="59">
        <v>6</v>
      </c>
      <c r="BO7" s="79">
        <f t="shared" si="6"/>
        <v>0.15796451341503898</v>
      </c>
      <c r="BP7" s="79">
        <f t="shared" si="2"/>
        <v>-0.26076880670355679</v>
      </c>
      <c r="BQ7" s="79">
        <f t="shared" si="3"/>
        <v>-0.43721986884226444</v>
      </c>
      <c r="BR7" s="79">
        <f t="shared" si="3"/>
        <v>-0.42033102102735248</v>
      </c>
      <c r="BS7" s="79">
        <f t="shared" si="3"/>
        <v>-8.6965207329135152E-2</v>
      </c>
      <c r="BT7" s="79">
        <f t="shared" si="3"/>
        <v>0.1802993676686645</v>
      </c>
      <c r="BU7" s="79">
        <f t="shared" si="3"/>
        <v>-6.4375623291534345E-2</v>
      </c>
      <c r="BV7" s="79">
        <f t="shared" si="3"/>
        <v>-0.35541431844780169</v>
      </c>
      <c r="BW7" s="79">
        <f t="shared" si="3"/>
        <v>-0.40318077306097061</v>
      </c>
      <c r="BX7" s="79">
        <f t="shared" si="3"/>
        <v>-0.41659897050815553</v>
      </c>
      <c r="BY7" s="79">
        <f t="shared" si="3"/>
        <v>2.1864232732511563E-2</v>
      </c>
      <c r="BZ7" s="79">
        <f t="shared" si="3"/>
        <v>-0.23891403069871228</v>
      </c>
      <c r="CA7" s="79">
        <f t="shared" si="3"/>
        <v>0.54170482285342314</v>
      </c>
      <c r="CB7" s="79">
        <f t="shared" si="3"/>
        <v>0.38103158812026511</v>
      </c>
      <c r="CC7" s="79">
        <f t="shared" si="3"/>
        <v>0.12148007549272358</v>
      </c>
      <c r="CD7" s="79">
        <f t="shared" si="3"/>
        <v>0.29375127053482852</v>
      </c>
      <c r="CE7" s="79">
        <f t="shared" si="3"/>
        <v>-4.9944598142373751E-2</v>
      </c>
      <c r="CF7" s="79">
        <f t="shared" si="3"/>
        <v>-6.7177701617367663E-2</v>
      </c>
      <c r="CG7" s="79">
        <f t="shared" si="3"/>
        <v>-0.17071935451260903</v>
      </c>
      <c r="CH7" s="79">
        <f t="shared" si="3"/>
        <v>-0.15408769936259595</v>
      </c>
      <c r="CI7" s="79">
        <f t="shared" si="3"/>
        <v>0.42669973711635123</v>
      </c>
      <c r="CJ7" s="79">
        <f t="shared" si="3"/>
        <v>0.18214664615481677</v>
      </c>
      <c r="CK7" s="79">
        <f t="shared" si="3"/>
        <v>-0.35006410243260389</v>
      </c>
      <c r="CL7" s="79">
        <f t="shared" si="3"/>
        <v>-0.33438434934648709</v>
      </c>
      <c r="CM7" s="79">
        <f t="shared" si="3"/>
        <v>-1.7251603095515336E-2</v>
      </c>
      <c r="CN7" s="79">
        <f t="shared" si="3"/>
        <v>-0.2381658258389619</v>
      </c>
      <c r="CO7" s="79">
        <f t="shared" si="3"/>
        <v>-0.57640092280543154</v>
      </c>
      <c r="CP7" s="79">
        <f t="shared" si="3"/>
        <v>-0.59492375801989883</v>
      </c>
      <c r="CU7" s="56">
        <v>6</v>
      </c>
      <c r="CV7" s="58">
        <f t="shared" si="7"/>
        <v>-1.2763201156059985</v>
      </c>
      <c r="CW7" s="58">
        <f t="shared" si="8"/>
        <v>-2.7161589477177706</v>
      </c>
      <c r="CX7" s="58">
        <f t="shared" si="9"/>
        <v>-0.77083971200910484</v>
      </c>
      <c r="CY7" s="58">
        <f t="shared" si="10"/>
        <v>1.586693411303209</v>
      </c>
      <c r="CZ7" s="58">
        <f t="shared" si="11"/>
        <v>1.5762597756893006</v>
      </c>
      <c r="DA7" s="58">
        <f t="shared" si="12"/>
        <v>-1.4502162113400465</v>
      </c>
      <c r="DB7" s="58">
        <f t="shared" si="13"/>
        <v>0.66224209130550848</v>
      </c>
      <c r="DC7" s="58">
        <f t="shared" si="14"/>
        <v>2.0539553590284148</v>
      </c>
      <c r="DF7" s="53">
        <v>6</v>
      </c>
      <c r="DG7" s="54">
        <f t="shared" si="36"/>
        <v>-0.2381658258389619</v>
      </c>
      <c r="DH7" s="54">
        <f t="shared" si="15"/>
        <v>-6.4375623291534345E-2</v>
      </c>
      <c r="DI7" s="54">
        <f t="shared" si="16"/>
        <v>-0.57640092280543154</v>
      </c>
      <c r="DJ7" s="54">
        <f t="shared" si="17"/>
        <v>-0.40318077306097061</v>
      </c>
      <c r="DK7" s="54">
        <f t="shared" si="18"/>
        <v>-0.54170482285342314</v>
      </c>
      <c r="DL7" s="54">
        <f t="shared" si="19"/>
        <v>-0.35541431844780169</v>
      </c>
      <c r="DM7" s="54">
        <f t="shared" si="20"/>
        <v>-0.15796451341503898</v>
      </c>
      <c r="DN7" s="54">
        <f t="shared" si="21"/>
        <v>2.1864232732511563E-2</v>
      </c>
      <c r="DO7" s="54">
        <f t="shared" si="22"/>
        <v>-0.42669973711635123</v>
      </c>
      <c r="DP7" s="54">
        <f t="shared" si="23"/>
        <v>-0.23891403069871228</v>
      </c>
      <c r="DQ7" s="54">
        <f t="shared" si="24"/>
        <v>-0.59492375801989883</v>
      </c>
      <c r="DR7" s="54">
        <f t="shared" si="25"/>
        <v>-0.41659897050815553</v>
      </c>
      <c r="DS7" s="54">
        <f t="shared" si="26"/>
        <v>-0.1802993676686645</v>
      </c>
      <c r="DT7" s="54">
        <f t="shared" si="27"/>
        <v>0.1802993676686645</v>
      </c>
      <c r="DX7">
        <v>6</v>
      </c>
      <c r="DY7" s="19">
        <f t="shared" si="4"/>
        <v>1.4398388321117721</v>
      </c>
      <c r="EM7" s="13">
        <v>6</v>
      </c>
      <c r="EN7" s="16">
        <f t="shared" si="28"/>
        <v>-1.2763201156059985</v>
      </c>
      <c r="EO7" s="16">
        <f t="shared" si="5"/>
        <v>-2.7161589477177706</v>
      </c>
      <c r="EP7" s="16">
        <f t="shared" si="29"/>
        <v>-0.77083971200910484</v>
      </c>
      <c r="EQ7" s="16">
        <f t="shared" si="30"/>
        <v>1.586693411303209</v>
      </c>
      <c r="ER7" s="16">
        <f t="shared" si="31"/>
        <v>1.5762597756893006</v>
      </c>
      <c r="ES7" s="16">
        <f t="shared" si="32"/>
        <v>-1.4502162113400465</v>
      </c>
      <c r="ET7" s="16">
        <f t="shared" si="33"/>
        <v>0.66224209130550848</v>
      </c>
      <c r="EU7" s="16">
        <f t="shared" si="34"/>
        <v>2.0539553590284148</v>
      </c>
      <c r="EW7" s="40">
        <f>LARGE($EN$2:$EU$2,6)</f>
        <v>-1.1171885055733699</v>
      </c>
      <c r="EX7" s="39" t="str">
        <f>INDEX(EN1:EU1,MATCH(EW7,EN2:EU2,0))</f>
        <v>JPY</v>
      </c>
      <c r="FK7" s="20"/>
      <c r="FL7" s="20"/>
    </row>
    <row r="8" spans="1:170" ht="18.600000000000001" thickBot="1" x14ac:dyDescent="0.4">
      <c r="A8" s="37" t="s">
        <v>51</v>
      </c>
      <c r="B8" s="38">
        <v>6</v>
      </c>
      <c r="C8" s="63">
        <f>RTD("fxbluelabs.excelrtd", , "21422436","@bh,AUDUSD,h1,close,6")</f>
        <v>0.67408999999999997</v>
      </c>
      <c r="D8" s="64">
        <f>RTD("fxbluelabs.excelrtd", , "21422436","@bh,AUDNZD,h1,close,6")</f>
        <v>1.09453</v>
      </c>
      <c r="E8" s="65">
        <f>RTD("fxbluelabs.excelrtd", , "21422436","@bh,AUDJPY,h1,close,6")</f>
        <v>97.998999999999995</v>
      </c>
      <c r="F8" s="64">
        <f>RTD("fxbluelabs.excelrtd", , "21422436","@bh,AUDCHF,h1,close,6")</f>
        <v>0.57355999999999996</v>
      </c>
      <c r="G8" s="64">
        <f>RTD("fxbluelabs.excelrtd", , "21422436","@bh,AUDCAD,h1,close,6")</f>
        <v>0.91549999999999998</v>
      </c>
      <c r="H8" s="64">
        <f>RTD("fxbluelabs.excelrtd", , "21422436","@bh,EURUSD,h1,close,6")</f>
        <v>1.1149500000000001</v>
      </c>
      <c r="I8" s="64">
        <f>RTD("fxbluelabs.excelrtd", , "21422436","@bh,EURCAD,h1,close,6")</f>
        <v>1.51424</v>
      </c>
      <c r="J8" s="64">
        <f>RTD("fxbluelabs.excelrtd", , "21422436","@bh,EURGBP,h1,close,6")</f>
        <v>0.85162000000000004</v>
      </c>
      <c r="K8" s="64">
        <f>RTD("fxbluelabs.excelrtd", , "21422436","@bh,EURCHF,h1,close,6")</f>
        <v>0.94867999999999997</v>
      </c>
      <c r="L8" s="65">
        <f>RTD("fxbluelabs.excelrtd", , "21422436","@bh,EURJPY,h1,close,6")</f>
        <v>162.09100000000001</v>
      </c>
      <c r="M8" s="64">
        <f>RTD("fxbluelabs.excelrtd", , "21422436","@bh,EURAUD,h1,close,6")</f>
        <v>1.6539999999999999</v>
      </c>
      <c r="N8" s="64">
        <f>RTD("fxbluelabs.excelrtd", , "21422436","@bh,EURNZD,h1,close,6")</f>
        <v>1.81036</v>
      </c>
      <c r="O8" s="64">
        <f>RTD("fxbluelabs.excelrtd", , "21422436","@bh,GBPUSD,h1,close,6")</f>
        <v>1.30925</v>
      </c>
      <c r="P8" s="64">
        <f>RTD("fxbluelabs.excelrtd", , "21422436","@bh,GBPAUD,h1,close,6")</f>
        <v>1.94218</v>
      </c>
      <c r="Q8" s="64">
        <f>RTD("fxbluelabs.excelrtd", , "21422436","@bh,GBPNZD,h1,close,6")</f>
        <v>2.1257999999999999</v>
      </c>
      <c r="R8" s="64">
        <f>RTD("fxbluelabs.excelrtd", , "21422436","@bh,GBPCAD,h1,close,6")</f>
        <v>1.77807</v>
      </c>
      <c r="S8" s="64">
        <f>RTD("fxbluelabs.excelrtd", , "21422436","@bh,GBPCHF,h1,close,6")</f>
        <v>1.1138699999999999</v>
      </c>
      <c r="T8" s="65">
        <f>RTD("fxbluelabs.excelrtd", , "21422436","@bh,GBPJPY,h1,close,6")</f>
        <v>190.31100000000001</v>
      </c>
      <c r="U8" s="65">
        <f>RTD("fxbluelabs.excelrtd", , "21422436","@bh,NZDJPY,h1,close,6")</f>
        <v>89.528000000000006</v>
      </c>
      <c r="V8" s="64">
        <f>RTD("fxbluelabs.excelrtd", , "21422436","@bh,NZDCHF,h1,close,6")</f>
        <v>0.52398</v>
      </c>
      <c r="W8" s="64">
        <f>RTD("fxbluelabs.excelrtd", , "21422436","@bh,NZDUSD,h1,close,6")</f>
        <v>0.61582000000000003</v>
      </c>
      <c r="X8" s="64">
        <f>RTD("fxbluelabs.excelrtd", , "21422436","@bh,NZDCAD,h1,close,6")</f>
        <v>0.83635000000000004</v>
      </c>
      <c r="Y8" s="65">
        <f>RTD("fxbluelabs.excelrtd", , "21422436","@bh,CADJPY,h1,close,6")</f>
        <v>107.044</v>
      </c>
      <c r="Z8" s="64">
        <f>RTD("fxbluelabs.excelrtd", , "21422436","@bh,CADCHF,h1,close,6")</f>
        <v>0.62649999999999995</v>
      </c>
      <c r="AA8" s="65">
        <f>RTD("fxbluelabs.excelrtd", , "21422436","@bh,CHFJPY,h1,close,6")</f>
        <v>170.85300000000001</v>
      </c>
      <c r="AB8" s="64">
        <f>RTD("fxbluelabs.excelrtd", , "21422436","@bh,USDCAD,h1,close,6")</f>
        <v>1.35825</v>
      </c>
      <c r="AC8" s="64">
        <f>RTD("fxbluelabs.excelrtd", , "21422436","@bh,USDCHF,h1,close,6")</f>
        <v>0.85087999999999997</v>
      </c>
      <c r="AD8" s="66">
        <f>RTD("fxbluelabs.excelrtd", , "21422436","@bh,USDJPY,h1,close,6")</f>
        <v>145.381</v>
      </c>
      <c r="AH8" s="56">
        <v>7</v>
      </c>
      <c r="AI8" s="74">
        <f t="shared" si="35"/>
        <v>3.1162818305919816E-2</v>
      </c>
      <c r="AJ8" s="74">
        <f t="shared" si="35"/>
        <v>-5.2962716074186601E-2</v>
      </c>
      <c r="AK8" s="74">
        <f t="shared" si="35"/>
        <v>0.10623627355840361</v>
      </c>
      <c r="AL8" s="74">
        <f t="shared" si="35"/>
        <v>-3.4857780256568771E-2</v>
      </c>
      <c r="AM8" s="74">
        <f t="shared" si="35"/>
        <v>1.0924186148130762E-2</v>
      </c>
      <c r="AN8" s="74">
        <f t="shared" si="35"/>
        <v>5.6536721947028724E-2</v>
      </c>
      <c r="AO8" s="74">
        <f t="shared" si="35"/>
        <v>3.8978627820175762E-2</v>
      </c>
      <c r="AP8" s="74">
        <f t="shared" si="35"/>
        <v>-1.1740947729299416E-2</v>
      </c>
      <c r="AQ8" s="74">
        <f t="shared" si="35"/>
        <v>-7.37812911726108E-3</v>
      </c>
      <c r="AR8" s="74">
        <f t="shared" si="35"/>
        <v>0.1365293136467558</v>
      </c>
      <c r="AS8" s="74">
        <f t="shared" si="35"/>
        <v>2.7214175561660631E-2</v>
      </c>
      <c r="AT8" s="74">
        <f t="shared" si="35"/>
        <v>-2.5402856164617519E-2</v>
      </c>
      <c r="AU8" s="74">
        <f t="shared" si="35"/>
        <v>6.8024091228718206E-2</v>
      </c>
      <c r="AV8" s="74">
        <f t="shared" si="35"/>
        <v>3.7085492361421502E-2</v>
      </c>
      <c r="AW8" s="74">
        <f t="shared" si="35"/>
        <v>-1.6461679561652398E-2</v>
      </c>
      <c r="AX8" s="74">
        <f t="shared" si="35"/>
        <v>4.8953409858212268E-2</v>
      </c>
      <c r="AY8" s="74">
        <f t="shared" si="1"/>
        <v>2.6933850463239329E-3</v>
      </c>
      <c r="AZ8" s="74">
        <f t="shared" si="1"/>
        <v>0.14365547943042767</v>
      </c>
      <c r="BA8" s="74">
        <f t="shared" si="1"/>
        <v>0.1532592766609619</v>
      </c>
      <c r="BB8" s="74">
        <f t="shared" si="1"/>
        <v>1.1452130096188154E-2</v>
      </c>
      <c r="BC8" s="74">
        <f t="shared" si="1"/>
        <v>7.8005655410023064E-2</v>
      </c>
      <c r="BD8" s="74">
        <f t="shared" si="1"/>
        <v>5.8622257315817293E-2</v>
      </c>
      <c r="BE8" s="74">
        <f t="shared" si="1"/>
        <v>9.6314790398438793E-2</v>
      </c>
      <c r="BF8" s="74">
        <f t="shared" si="1"/>
        <v>-4.6267489908902899E-2</v>
      </c>
      <c r="BG8" s="74">
        <f t="shared" si="1"/>
        <v>0.13832150371886648</v>
      </c>
      <c r="BH8" s="74">
        <f t="shared" si="1"/>
        <v>-1.9874569384329452E-2</v>
      </c>
      <c r="BI8" s="74">
        <f t="shared" si="1"/>
        <v>-6.4597207051671948E-2</v>
      </c>
      <c r="BJ8" s="74">
        <f t="shared" si="1"/>
        <v>7.5720549868875178E-2</v>
      </c>
      <c r="BN8" s="59">
        <v>7</v>
      </c>
      <c r="BO8" s="78">
        <f t="shared" si="6"/>
        <v>4.5219924413572893E-2</v>
      </c>
      <c r="BP8" s="78">
        <f t="shared" si="2"/>
        <v>-0.26076880670355679</v>
      </c>
      <c r="BQ8" s="78">
        <f t="shared" si="3"/>
        <v>-0.45864865893195994</v>
      </c>
      <c r="BR8" s="78">
        <f t="shared" si="3"/>
        <v>-0.45520095616928868</v>
      </c>
      <c r="BS8" s="78">
        <f t="shared" si="3"/>
        <v>-0.15359546401946822</v>
      </c>
      <c r="BT8" s="78">
        <f t="shared" si="3"/>
        <v>0.29151511725385931</v>
      </c>
      <c r="BU8" s="78">
        <f t="shared" si="3"/>
        <v>9.2798932921486624E-2</v>
      </c>
      <c r="BV8" s="78">
        <f t="shared" si="3"/>
        <v>-0.20628677329855752</v>
      </c>
      <c r="BW8" s="78">
        <f t="shared" si="3"/>
        <v>-0.20817297274895616</v>
      </c>
      <c r="BX8" s="78">
        <f t="shared" si="3"/>
        <v>-0.21300962871865908</v>
      </c>
      <c r="BY8" s="78">
        <f t="shared" si="3"/>
        <v>0.24677354349429786</v>
      </c>
      <c r="BZ8" s="78">
        <f t="shared" si="3"/>
        <v>-1.4649243584549745E-2</v>
      </c>
      <c r="CA8" s="78">
        <f t="shared" si="3"/>
        <v>0.5004598352651104</v>
      </c>
      <c r="CB8" s="78">
        <f t="shared" si="3"/>
        <v>0.45311553502529289</v>
      </c>
      <c r="CC8" s="78">
        <f t="shared" si="3"/>
        <v>0.19298256867175001</v>
      </c>
      <c r="CD8" s="78">
        <f t="shared" si="3"/>
        <v>0.29881293852316121</v>
      </c>
      <c r="CE8" s="78">
        <f t="shared" si="3"/>
        <v>-1.1340452236663887E-2</v>
      </c>
      <c r="CF8" s="78">
        <f t="shared" si="3"/>
        <v>-1.7259409978944873E-2</v>
      </c>
      <c r="CG8" s="78">
        <f t="shared" si="3"/>
        <v>-0.19752661034318825</v>
      </c>
      <c r="CH8" s="78">
        <f t="shared" si="3"/>
        <v>-0.19416556492999235</v>
      </c>
      <c r="CI8" s="78">
        <f t="shared" si="3"/>
        <v>0.30815860496734537</v>
      </c>
      <c r="CJ8" s="78">
        <f t="shared" si="3"/>
        <v>0.10801500270411382</v>
      </c>
      <c r="CK8" s="78">
        <f t="shared" si="3"/>
        <v>-0.3052227287918563</v>
      </c>
      <c r="CL8" s="78">
        <f t="shared" si="3"/>
        <v>-0.30086479627387225</v>
      </c>
      <c r="CM8" s="78">
        <f t="shared" si="3"/>
        <v>-7.8868275282033551E-3</v>
      </c>
      <c r="CN8" s="78">
        <f t="shared" si="3"/>
        <v>-0.19251885363207327</v>
      </c>
      <c r="CO8" s="78">
        <f t="shared" si="3"/>
        <v>-0.49883416838647782</v>
      </c>
      <c r="CP8" s="78">
        <f t="shared" si="3"/>
        <v>-0.50344000154552471</v>
      </c>
      <c r="CU8" s="56">
        <v>7</v>
      </c>
      <c r="CV8" s="57">
        <f t="shared" si="7"/>
        <v>-1.1031024681078718E-2</v>
      </c>
      <c r="CW8" s="57">
        <f>CN8+CO8+CP8-CI8-CA8-BT8-BO8</f>
        <v>-2.3401465054639639</v>
      </c>
      <c r="CX8" s="57">
        <f t="shared" si="9"/>
        <v>-0.75960008156294878</v>
      </c>
      <c r="CY8" s="57">
        <f t="shared" si="10"/>
        <v>1.3598272869431756</v>
      </c>
      <c r="CZ8" s="57">
        <f t="shared" si="11"/>
        <v>1.6230577885682635</v>
      </c>
      <c r="DA8" s="57">
        <f t="shared" si="12"/>
        <v>-1.9828830399302915</v>
      </c>
      <c r="DB8" s="57">
        <f t="shared" si="13"/>
        <v>0.10691691401463516</v>
      </c>
      <c r="DC8" s="57">
        <f t="shared" si="14"/>
        <v>1.7029938658383366</v>
      </c>
      <c r="DF8" s="51">
        <v>7</v>
      </c>
      <c r="DG8" s="52">
        <f t="shared" si="36"/>
        <v>-0.19251885363207327</v>
      </c>
      <c r="DH8" s="52">
        <f t="shared" si="15"/>
        <v>9.2798932921486624E-2</v>
      </c>
      <c r="DI8" s="52">
        <f t="shared" si="16"/>
        <v>-0.49883416838647782</v>
      </c>
      <c r="DJ8" s="52">
        <f t="shared" si="17"/>
        <v>-0.20817297274895616</v>
      </c>
      <c r="DK8" s="52">
        <f t="shared" si="18"/>
        <v>-0.5004598352651104</v>
      </c>
      <c r="DL8" s="52">
        <f t="shared" si="19"/>
        <v>-0.20628677329855752</v>
      </c>
      <c r="DM8" s="52">
        <f t="shared" si="20"/>
        <v>-4.5219924413572893E-2</v>
      </c>
      <c r="DN8" s="52">
        <f t="shared" si="21"/>
        <v>0.24677354349429786</v>
      </c>
      <c r="DO8" s="52">
        <f t="shared" si="22"/>
        <v>-0.30815860496734537</v>
      </c>
      <c r="DP8" s="52">
        <f t="shared" si="23"/>
        <v>-1.4649243584549745E-2</v>
      </c>
      <c r="DQ8" s="52">
        <f t="shared" si="24"/>
        <v>-0.50344000154552471</v>
      </c>
      <c r="DR8" s="52">
        <f t="shared" si="25"/>
        <v>-0.21300962871865908</v>
      </c>
      <c r="DS8" s="52">
        <f t="shared" si="26"/>
        <v>-0.29151511725385931</v>
      </c>
      <c r="DT8" s="52">
        <f t="shared" si="27"/>
        <v>0.29151511725385931</v>
      </c>
      <c r="DX8">
        <v>7</v>
      </c>
      <c r="DY8" s="19">
        <f t="shared" si="4"/>
        <v>2.3291154807828853</v>
      </c>
      <c r="EM8" s="21">
        <v>7</v>
      </c>
      <c r="EN8" s="16">
        <f t="shared" si="28"/>
        <v>-1.1031024681078718E-2</v>
      </c>
      <c r="EO8" s="16">
        <f t="shared" si="5"/>
        <v>-2.3401465054639639</v>
      </c>
      <c r="EP8" s="16">
        <f t="shared" si="29"/>
        <v>-0.75960008156294878</v>
      </c>
      <c r="EQ8" s="16">
        <f t="shared" si="30"/>
        <v>1.3598272869431756</v>
      </c>
      <c r="ER8" s="16">
        <f t="shared" si="31"/>
        <v>1.6230577885682635</v>
      </c>
      <c r="ES8" s="16">
        <f t="shared" si="32"/>
        <v>-1.9828830399302915</v>
      </c>
      <c r="ET8" s="16">
        <f t="shared" si="33"/>
        <v>0.10691691401463516</v>
      </c>
      <c r="EU8" s="16">
        <f t="shared" si="34"/>
        <v>1.7029938658383366</v>
      </c>
      <c r="EW8" s="40">
        <f>LARGE($EN$2:$EU$2,7)</f>
        <v>-1.1409315419964381</v>
      </c>
      <c r="EX8" s="39" t="str">
        <f>INDEX(EN1:EU1,MATCH(EW8,EN2:EU2,0))</f>
        <v>USD</v>
      </c>
      <c r="FK8" s="20"/>
      <c r="FL8" s="20"/>
    </row>
    <row r="9" spans="1:170" ht="18.600000000000001" thickBot="1" x14ac:dyDescent="0.4">
      <c r="A9" s="37" t="s">
        <v>51</v>
      </c>
      <c r="B9" s="38">
        <v>7</v>
      </c>
      <c r="C9" s="63">
        <f>RTD("fxbluelabs.excelrtd", , "21422436","@bh,AUDUSD,h1,close,7")</f>
        <v>0.67388000000000003</v>
      </c>
      <c r="D9" s="64">
        <f>RTD("fxbluelabs.excelrtd", , "21422436","@bh,AUDNZD,h1,close,7")</f>
        <v>1.09511</v>
      </c>
      <c r="E9" s="65">
        <f>RTD("fxbluelabs.excelrtd", , "21422436","@bh,AUDJPY,h1,close,7")</f>
        <v>97.894999999999996</v>
      </c>
      <c r="F9" s="64">
        <f>RTD("fxbluelabs.excelrtd", , "21422436","@bh,AUDCHF,h1,close,7")</f>
        <v>0.57376000000000005</v>
      </c>
      <c r="G9" s="64">
        <f>RTD("fxbluelabs.excelrtd", , "21422436","@bh,AUDCAD,h1,close,7")</f>
        <v>0.91539999999999999</v>
      </c>
      <c r="H9" s="64">
        <f>RTD("fxbluelabs.excelrtd", , "21422436","@bh,EURUSD,h1,close,7")</f>
        <v>1.11432</v>
      </c>
      <c r="I9" s="64">
        <f>RTD("fxbluelabs.excelrtd", , "21422436","@bh,EURCAD,h1,close,7")</f>
        <v>1.5136499999999999</v>
      </c>
      <c r="J9" s="64">
        <f>RTD("fxbluelabs.excelrtd", , "21422436","@bh,EURGBP,h1,close,7")</f>
        <v>0.85172000000000003</v>
      </c>
      <c r="K9" s="64">
        <f>RTD("fxbluelabs.excelrtd", , "21422436","@bh,EURCHF,h1,close,7")</f>
        <v>0.94874999999999998</v>
      </c>
      <c r="L9" s="65">
        <f>RTD("fxbluelabs.excelrtd", , "21422436","@bh,EURJPY,h1,close,7")</f>
        <v>161.87</v>
      </c>
      <c r="M9" s="64">
        <f>RTD("fxbluelabs.excelrtd", , "21422436","@bh,EURAUD,h1,close,7")</f>
        <v>1.6535500000000001</v>
      </c>
      <c r="N9" s="64">
        <f>RTD("fxbluelabs.excelrtd", , "21422436","@bh,EURNZD,h1,close,7")</f>
        <v>1.8108200000000001</v>
      </c>
      <c r="O9" s="64">
        <f>RTD("fxbluelabs.excelrtd", , "21422436","@bh,GBPUSD,h1,close,7")</f>
        <v>1.30836</v>
      </c>
      <c r="P9" s="64">
        <f>RTD("fxbluelabs.excelrtd", , "21422436","@bh,GBPAUD,h1,close,7")</f>
        <v>1.94146</v>
      </c>
      <c r="Q9" s="64">
        <f>RTD("fxbluelabs.excelrtd", , "21422436","@bh,GBPNZD,h1,close,7")</f>
        <v>2.12615</v>
      </c>
      <c r="R9" s="64">
        <f>RTD("fxbluelabs.excelrtd", , "21422436","@bh,GBPCAD,h1,close,7")</f>
        <v>1.7771999999999999</v>
      </c>
      <c r="S9" s="64">
        <f>RTD("fxbluelabs.excelrtd", , "21422436","@bh,GBPCHF,h1,close,7")</f>
        <v>1.1138399999999999</v>
      </c>
      <c r="T9" s="65">
        <f>RTD("fxbluelabs.excelrtd", , "21422436","@bh,GBPJPY,h1,close,7")</f>
        <v>190.03800000000001</v>
      </c>
      <c r="U9" s="65">
        <f>RTD("fxbluelabs.excelrtd", , "21422436","@bh,NZDJPY,h1,close,7")</f>
        <v>89.391000000000005</v>
      </c>
      <c r="V9" s="64">
        <f>RTD("fxbluelabs.excelrtd", , "21422436","@bh,NZDCHF,h1,close,7")</f>
        <v>0.52392000000000005</v>
      </c>
      <c r="W9" s="64">
        <f>RTD("fxbluelabs.excelrtd", , "21422436","@bh,NZDUSD,h1,close,7")</f>
        <v>0.61534</v>
      </c>
      <c r="X9" s="64">
        <f>RTD("fxbluelabs.excelrtd", , "21422436","@bh,NZDCAD,h1,close,7")</f>
        <v>0.83586000000000005</v>
      </c>
      <c r="Y9" s="65">
        <f>RTD("fxbluelabs.excelrtd", , "21422436","@bh,CADJPY,h1,close,7")</f>
        <v>106.941</v>
      </c>
      <c r="Z9" s="64">
        <f>RTD("fxbluelabs.excelrtd", , "21422436","@bh,CADCHF,h1,close,7")</f>
        <v>0.62678999999999996</v>
      </c>
      <c r="AA9" s="65">
        <f>RTD("fxbluelabs.excelrtd", , "21422436","@bh,CHFJPY,h1,close,7")</f>
        <v>170.61699999999999</v>
      </c>
      <c r="AB9" s="64">
        <f>RTD("fxbluelabs.excelrtd", , "21422436","@bh,USDCAD,h1,close,7")</f>
        <v>1.3585199999999999</v>
      </c>
      <c r="AC9" s="64">
        <f>RTD("fxbluelabs.excelrtd", , "21422436","@bh,USDCHF,h1,close,7")</f>
        <v>0.85143000000000002</v>
      </c>
      <c r="AD9" s="66">
        <f>RTD("fxbluelabs.excelrtd", , "21422436","@bh,USDJPY,h1,close,7")</f>
        <v>145.27099999999999</v>
      </c>
      <c r="AH9" s="56">
        <v>8</v>
      </c>
      <c r="AI9" s="75">
        <f t="shared" si="35"/>
        <v>5.1965020117897123E-2</v>
      </c>
      <c r="AJ9" s="75">
        <f t="shared" si="35"/>
        <v>1.6439407085390757E-2</v>
      </c>
      <c r="AK9" s="75">
        <f t="shared" si="35"/>
        <v>0.1452640839667283</v>
      </c>
      <c r="AL9" s="75">
        <f t="shared" si="35"/>
        <v>5.4058767111349285E-2</v>
      </c>
      <c r="AM9" s="75">
        <f t="shared" si="35"/>
        <v>3.2783302371321925E-2</v>
      </c>
      <c r="AN9" s="75">
        <f t="shared" si="35"/>
        <v>-1.7947843566713051E-3</v>
      </c>
      <c r="AO9" s="75">
        <f t="shared" si="35"/>
        <v>-2.1136482228848522E-2</v>
      </c>
      <c r="AP9" s="75">
        <f t="shared" si="35"/>
        <v>0</v>
      </c>
      <c r="AQ9" s="75">
        <f t="shared" si="35"/>
        <v>0</v>
      </c>
      <c r="AR9" s="75">
        <f t="shared" si="35"/>
        <v>8.718288000296244E-2</v>
      </c>
      <c r="AS9" s="75">
        <f t="shared" si="35"/>
        <v>-5.3794637460399614E-2</v>
      </c>
      <c r="AT9" s="75">
        <f t="shared" si="35"/>
        <v>-3.8089770412520901E-2</v>
      </c>
      <c r="AU9" s="75">
        <f t="shared" si="35"/>
        <v>-2.2928943204988186E-3</v>
      </c>
      <c r="AV9" s="75">
        <f t="shared" si="35"/>
        <v>-5.3539253539249931E-2</v>
      </c>
      <c r="AW9" s="75">
        <f t="shared" si="35"/>
        <v>-3.7612543783347607E-2</v>
      </c>
      <c r="AX9" s="75">
        <f t="shared" si="35"/>
        <v>-2.081493274527605E-2</v>
      </c>
      <c r="AY9" s="75">
        <f t="shared" si="1"/>
        <v>0</v>
      </c>
      <c r="AZ9" s="75">
        <f t="shared" si="1"/>
        <v>9.2171723821919682E-2</v>
      </c>
      <c r="BA9" s="75">
        <f t="shared" si="1"/>
        <v>0.12993559227107213</v>
      </c>
      <c r="BB9" s="75">
        <f t="shared" si="1"/>
        <v>3.8188344917148287E-2</v>
      </c>
      <c r="BC9" s="75">
        <f t="shared" si="1"/>
        <v>3.5765379113018268E-2</v>
      </c>
      <c r="BD9" s="75">
        <f t="shared" si="1"/>
        <v>1.6752022208398623E-2</v>
      </c>
      <c r="BE9" s="75">
        <f t="shared" si="1"/>
        <v>0.11327466766523997</v>
      </c>
      <c r="BF9" s="75">
        <f t="shared" si="1"/>
        <v>2.3937188816542748E-2</v>
      </c>
      <c r="BG9" s="75">
        <f t="shared" si="1"/>
        <v>9.0929356689468124E-2</v>
      </c>
      <c r="BH9" s="75">
        <f t="shared" si="1"/>
        <v>-1.8398993207097852E-2</v>
      </c>
      <c r="BI9" s="75">
        <f t="shared" si="1"/>
        <v>2.3490445261413421E-3</v>
      </c>
      <c r="BJ9" s="75">
        <f t="shared" si="1"/>
        <v>9.3705860061319243E-2</v>
      </c>
      <c r="BN9" s="59">
        <v>8</v>
      </c>
      <c r="BO9" s="79">
        <f t="shared" si="6"/>
        <v>1.4057106107653067E-2</v>
      </c>
      <c r="BP9" s="79">
        <f t="shared" si="2"/>
        <v>-0.20780609062937017</v>
      </c>
      <c r="BQ9" s="79">
        <f t="shared" si="3"/>
        <v>-0.56488493249036353</v>
      </c>
      <c r="BR9" s="79">
        <f>AL9+SUM(AL10:AL44)</f>
        <v>-0.42034317591271991</v>
      </c>
      <c r="BS9" s="79">
        <f t="shared" si="3"/>
        <v>-0.16451965016759898</v>
      </c>
      <c r="BT9" s="79">
        <f t="shared" si="3"/>
        <v>0.23497839530683057</v>
      </c>
      <c r="BU9" s="79">
        <f t="shared" si="3"/>
        <v>5.3820305101310903E-2</v>
      </c>
      <c r="BV9" s="79">
        <f t="shared" si="3"/>
        <v>-0.19454582556925809</v>
      </c>
      <c r="BW9" s="79">
        <f t="shared" si="3"/>
        <v>-0.20079484363169509</v>
      </c>
      <c r="BX9" s="79">
        <f t="shared" si="3"/>
        <v>-0.34953894236541494</v>
      </c>
      <c r="BY9" s="79">
        <f t="shared" si="3"/>
        <v>0.21955936793263728</v>
      </c>
      <c r="BZ9" s="79">
        <f t="shared" si="3"/>
        <v>1.0753612580067747E-2</v>
      </c>
      <c r="CA9" s="79">
        <f t="shared" si="3"/>
        <v>0.43243574403639218</v>
      </c>
      <c r="CB9" s="79">
        <f t="shared" si="3"/>
        <v>0.41603004266387134</v>
      </c>
      <c r="CC9" s="79">
        <f t="shared" si="3"/>
        <v>0.20944424823340246</v>
      </c>
      <c r="CD9" s="79">
        <f t="shared" si="3"/>
        <v>0.24985952866494901</v>
      </c>
      <c r="CE9" s="79">
        <f t="shared" si="3"/>
        <v>-1.4033837282987821E-2</v>
      </c>
      <c r="CF9" s="79">
        <f t="shared" si="3"/>
        <v>-0.16091488940937249</v>
      </c>
      <c r="CG9" s="79">
        <f t="shared" si="3"/>
        <v>-0.35078588700415014</v>
      </c>
      <c r="CH9" s="79">
        <f t="shared" si="3"/>
        <v>-0.20561769502618049</v>
      </c>
      <c r="CI9" s="79">
        <f t="shared" si="3"/>
        <v>0.23015294955732232</v>
      </c>
      <c r="CJ9" s="79">
        <f t="shared" si="3"/>
        <v>4.9392745388296543E-2</v>
      </c>
      <c r="CK9" s="79">
        <f t="shared" si="3"/>
        <v>-0.40153751919029501</v>
      </c>
      <c r="CL9" s="79">
        <f t="shared" si="3"/>
        <v>-0.25459730636496936</v>
      </c>
      <c r="CM9" s="79">
        <f t="shared" si="3"/>
        <v>-0.14620833124706978</v>
      </c>
      <c r="CN9" s="79">
        <f t="shared" si="3"/>
        <v>-0.17264428424774383</v>
      </c>
      <c r="CO9" s="79">
        <f t="shared" si="3"/>
        <v>-0.43423696133480594</v>
      </c>
      <c r="CP9" s="79">
        <f t="shared" si="3"/>
        <v>-0.57916055141440004</v>
      </c>
      <c r="CU9" s="56">
        <v>8</v>
      </c>
      <c r="CV9" s="58">
        <f t="shared" si="7"/>
        <v>-0.22576793064552161</v>
      </c>
      <c r="CW9" s="58">
        <f t="shared" si="8"/>
        <v>-2.0976659920051479</v>
      </c>
      <c r="CX9" s="58">
        <f t="shared" si="9"/>
        <v>-0.67204347029447797</v>
      </c>
      <c r="CY9" s="58">
        <f t="shared" si="10"/>
        <v>1.1288181819413194</v>
      </c>
      <c r="CZ9" s="58">
        <f t="shared" si="11"/>
        <v>1.3273666624755127</v>
      </c>
      <c r="DA9" s="58">
        <f t="shared" si="12"/>
        <v>-1.9790861536889079</v>
      </c>
      <c r="DB9" s="58">
        <f t="shared" si="13"/>
        <v>-0.28924965726881174</v>
      </c>
      <c r="DC9" s="58">
        <f t="shared" si="14"/>
        <v>2.5530310531210665</v>
      </c>
      <c r="DF9" s="53">
        <v>8</v>
      </c>
      <c r="DG9" s="54">
        <f t="shared" si="36"/>
        <v>-0.17264428424774383</v>
      </c>
      <c r="DH9" s="54">
        <f t="shared" si="15"/>
        <v>5.3820305101310903E-2</v>
      </c>
      <c r="DI9" s="54">
        <f t="shared" si="16"/>
        <v>-0.43423696133480594</v>
      </c>
      <c r="DJ9" s="54">
        <f t="shared" si="17"/>
        <v>-0.20079484363169509</v>
      </c>
      <c r="DK9" s="54">
        <f t="shared" si="18"/>
        <v>-0.43243574403639218</v>
      </c>
      <c r="DL9" s="54">
        <f t="shared" si="19"/>
        <v>-0.19454582556925809</v>
      </c>
      <c r="DM9" s="54">
        <f t="shared" si="20"/>
        <v>-1.4057106107653067E-2</v>
      </c>
      <c r="DN9" s="54">
        <f t="shared" si="21"/>
        <v>0.21955936793263728</v>
      </c>
      <c r="DO9" s="54">
        <f t="shared" si="22"/>
        <v>-0.23015294955732232</v>
      </c>
      <c r="DP9" s="54">
        <f t="shared" si="23"/>
        <v>1.0753612580067747E-2</v>
      </c>
      <c r="DQ9" s="54">
        <f t="shared" si="24"/>
        <v>-0.57916055141440004</v>
      </c>
      <c r="DR9" s="54">
        <f t="shared" si="25"/>
        <v>-0.34953894236541494</v>
      </c>
      <c r="DS9" s="54">
        <f t="shared" si="26"/>
        <v>-0.23497839530683057</v>
      </c>
      <c r="DT9" s="54">
        <f t="shared" si="27"/>
        <v>0.23497839530683057</v>
      </c>
      <c r="DX9">
        <v>8</v>
      </c>
      <c r="DY9" s="19">
        <f t="shared" si="4"/>
        <v>1.8718980613596263</v>
      </c>
      <c r="EM9" s="21">
        <v>8</v>
      </c>
      <c r="EN9" s="16">
        <f t="shared" si="28"/>
        <v>-0.22576793064552161</v>
      </c>
      <c r="EO9" s="16">
        <f t="shared" si="5"/>
        <v>-2.0976659920051479</v>
      </c>
      <c r="EP9" s="16">
        <f t="shared" si="29"/>
        <v>-0.67204347029447797</v>
      </c>
      <c r="EQ9" s="16">
        <f t="shared" si="30"/>
        <v>1.1288181819413194</v>
      </c>
      <c r="ER9" s="16">
        <f t="shared" si="31"/>
        <v>1.3273666624755127</v>
      </c>
      <c r="ES9" s="16">
        <f t="shared" si="32"/>
        <v>-1.9790861536889079</v>
      </c>
      <c r="ET9" s="16">
        <f t="shared" si="33"/>
        <v>-0.28924965726881174</v>
      </c>
      <c r="EU9" s="16">
        <f t="shared" si="34"/>
        <v>2.5530310531210665</v>
      </c>
      <c r="EW9" s="40">
        <f>LARGE($EN$2:$EU$2,8)</f>
        <v>-2.4396126944829195</v>
      </c>
      <c r="EX9" s="39" t="str">
        <f>INDEX(EN1:EU1,MATCH(EW9,EN2:EU2,0))</f>
        <v>AUD</v>
      </c>
      <c r="FK9" s="20"/>
      <c r="FL9" s="20"/>
    </row>
    <row r="10" spans="1:170" ht="18.600000000000001" thickBot="1" x14ac:dyDescent="0.4">
      <c r="A10" s="37" t="s">
        <v>51</v>
      </c>
      <c r="B10" s="38">
        <v>8</v>
      </c>
      <c r="C10" s="63">
        <f>RTD("fxbluelabs.excelrtd", , "21422436","@bh,AUDUSD,h1,close,8")</f>
        <v>0.67352999999999996</v>
      </c>
      <c r="D10" s="64">
        <f>RTD("fxbluelabs.excelrtd", , "21422436","@bh,AUDNZD,h1,close,8")</f>
        <v>1.09493</v>
      </c>
      <c r="E10" s="65">
        <f>RTD("fxbluelabs.excelrtd", , "21422436","@bh,AUDJPY,h1,close,8")</f>
        <v>97.753</v>
      </c>
      <c r="F10" s="64">
        <f>RTD("fxbluelabs.excelrtd", , "21422436","@bh,AUDCHF,h1,close,8")</f>
        <v>0.57345000000000002</v>
      </c>
      <c r="G10" s="64">
        <f>RTD("fxbluelabs.excelrtd", , "21422436","@bh,AUDCAD,h1,close,8")</f>
        <v>0.91510000000000002</v>
      </c>
      <c r="H10" s="64">
        <f>RTD("fxbluelabs.excelrtd", , "21422436","@bh,EURUSD,h1,close,8")</f>
        <v>1.1143400000000001</v>
      </c>
      <c r="I10" s="64">
        <f>RTD("fxbluelabs.excelrtd", , "21422436","@bh,EURCAD,h1,close,8")</f>
        <v>1.51397</v>
      </c>
      <c r="J10" s="64">
        <f>RTD("fxbluelabs.excelrtd", , "21422436","@bh,EURGBP,h1,close,8")</f>
        <v>0.85172000000000003</v>
      </c>
      <c r="K10" s="64">
        <f>RTD("fxbluelabs.excelrtd", , "21422436","@bh,EURCHF,h1,close,8")</f>
        <v>0.94874999999999998</v>
      </c>
      <c r="L10" s="65">
        <f>RTD("fxbluelabs.excelrtd", , "21422436","@bh,EURJPY,h1,close,8")</f>
        <v>161.72900000000001</v>
      </c>
      <c r="M10" s="64">
        <f>RTD("fxbluelabs.excelrtd", , "21422436","@bh,EURAUD,h1,close,8")</f>
        <v>1.6544399999999999</v>
      </c>
      <c r="N10" s="64">
        <f>RTD("fxbluelabs.excelrtd", , "21422436","@bh,EURNZD,h1,close,8")</f>
        <v>1.81151</v>
      </c>
      <c r="O10" s="64">
        <f>RTD("fxbluelabs.excelrtd", , "21422436","@bh,GBPUSD,h1,close,8")</f>
        <v>1.3083899999999999</v>
      </c>
      <c r="P10" s="64">
        <f>RTD("fxbluelabs.excelrtd", , "21422436","@bh,GBPAUD,h1,close,8")</f>
        <v>1.9424999999999999</v>
      </c>
      <c r="Q10" s="64">
        <f>RTD("fxbluelabs.excelrtd", , "21422436","@bh,GBPNZD,h1,close,8")</f>
        <v>2.1269499999999999</v>
      </c>
      <c r="R10" s="64">
        <f>RTD("fxbluelabs.excelrtd", , "21422436","@bh,GBPCAD,h1,close,8")</f>
        <v>1.7775700000000001</v>
      </c>
      <c r="S10" s="64">
        <f>RTD("fxbluelabs.excelrtd", , "21422436","@bh,GBPCHF,h1,close,8")</f>
        <v>1.1138399999999999</v>
      </c>
      <c r="T10" s="65">
        <f>RTD("fxbluelabs.excelrtd", , "21422436","@bh,GBPJPY,h1,close,8")</f>
        <v>189.863</v>
      </c>
      <c r="U10" s="65">
        <f>RTD("fxbluelabs.excelrtd", , "21422436","@bh,NZDJPY,h1,close,8")</f>
        <v>89.275000000000006</v>
      </c>
      <c r="V10" s="64">
        <f>RTD("fxbluelabs.excelrtd", , "21422436","@bh,NZDCHF,h1,close,8")</f>
        <v>0.52371999999999996</v>
      </c>
      <c r="W10" s="64">
        <f>RTD("fxbluelabs.excelrtd", , "21422436","@bh,NZDUSD,h1,close,8")</f>
        <v>0.61512</v>
      </c>
      <c r="X10" s="64">
        <f>RTD("fxbluelabs.excelrtd", , "21422436","@bh,NZDCAD,h1,close,8")</f>
        <v>0.83572000000000002</v>
      </c>
      <c r="Y10" s="65">
        <f>RTD("fxbluelabs.excelrtd", , "21422436","@bh,CADJPY,h1,close,8")</f>
        <v>106.82</v>
      </c>
      <c r="Z10" s="64">
        <f>RTD("fxbluelabs.excelrtd", , "21422436","@bh,CADCHF,h1,close,8")</f>
        <v>0.62663999999999997</v>
      </c>
      <c r="AA10" s="65">
        <f>RTD("fxbluelabs.excelrtd", , "21422436","@bh,CHFJPY,h1,close,8")</f>
        <v>170.46199999999999</v>
      </c>
      <c r="AB10" s="64">
        <f>RTD("fxbluelabs.excelrtd", , "21422436","@bh,USDCAD,h1,close,8")</f>
        <v>1.35877</v>
      </c>
      <c r="AC10" s="64">
        <f>RTD("fxbluelabs.excelrtd", , "21422436","@bh,USDCHF,h1,close,8")</f>
        <v>0.85141</v>
      </c>
      <c r="AD10" s="66">
        <f>RTD("fxbluelabs.excelrtd", , "21422436","@bh,USDJPY,h1,close,8")</f>
        <v>145.13499999999999</v>
      </c>
      <c r="AH10" s="56">
        <v>9</v>
      </c>
      <c r="AI10" s="74">
        <f t="shared" si="35"/>
        <v>4.1589305607121714E-2</v>
      </c>
      <c r="AJ10" s="74">
        <f t="shared" si="35"/>
        <v>2.192401501795193E-2</v>
      </c>
      <c r="AK10" s="74">
        <f t="shared" si="35"/>
        <v>-4.9079252768378462E-2</v>
      </c>
      <c r="AL10" s="74">
        <f t="shared" si="35"/>
        <v>5.2342318764715505E-2</v>
      </c>
      <c r="AM10" s="74">
        <f t="shared" si="35"/>
        <v>4.1542767185591981E-2</v>
      </c>
      <c r="AN10" s="74">
        <f t="shared" si="35"/>
        <v>-1.2561912281943772E-2</v>
      </c>
      <c r="AO10" s="74">
        <f t="shared" si="35"/>
        <v>-1.2548211549632302E-2</v>
      </c>
      <c r="AP10" s="74">
        <f t="shared" si="35"/>
        <v>8.2193389303134492E-3</v>
      </c>
      <c r="AQ10" s="74">
        <f t="shared" si="35"/>
        <v>1.0540295549839249E-3</v>
      </c>
      <c r="AR10" s="74">
        <f t="shared" si="35"/>
        <v>-0.1019185392911362</v>
      </c>
      <c r="AS10" s="74">
        <f t="shared" si="35"/>
        <v>-5.3765714389279323E-2</v>
      </c>
      <c r="AT10" s="74">
        <f t="shared" si="35"/>
        <v>-3.2007240258487432E-2</v>
      </c>
      <c r="AU10" s="74">
        <f t="shared" si="35"/>
        <v>-2.215973347190478E-2</v>
      </c>
      <c r="AV10" s="74">
        <f t="shared" si="35"/>
        <v>-6.2252084930373118E-2</v>
      </c>
      <c r="AW10" s="74">
        <f t="shared" si="35"/>
        <v>-4.041714250803901E-2</v>
      </c>
      <c r="AX10" s="74">
        <f t="shared" si="35"/>
        <v>-2.1372929497445087E-2</v>
      </c>
      <c r="AY10" s="74">
        <f t="shared" si="1"/>
        <v>-9.8747699627500778E-3</v>
      </c>
      <c r="AZ10" s="74">
        <f t="shared" si="1"/>
        <v>-0.11206043898229859</v>
      </c>
      <c r="BA10" s="74">
        <f t="shared" si="1"/>
        <v>-6.492561539407915E-2</v>
      </c>
      <c r="BB10" s="74">
        <f t="shared" si="1"/>
        <v>3.6292094053810182E-2</v>
      </c>
      <c r="BC10" s="74">
        <f t="shared" si="1"/>
        <v>2.60179523871551E-2</v>
      </c>
      <c r="BD10" s="74">
        <f t="shared" si="1"/>
        <v>2.5134349080207716E-2</v>
      </c>
      <c r="BE10" s="74">
        <f t="shared" si="1"/>
        <v>-9.2593458599504075E-2</v>
      </c>
      <c r="BF10" s="74">
        <f t="shared" si="1"/>
        <v>7.9796996441045178E-3</v>
      </c>
      <c r="BG10" s="74">
        <f t="shared" si="1"/>
        <v>-0.1019714479945654</v>
      </c>
      <c r="BH10" s="74">
        <f t="shared" si="1"/>
        <v>0</v>
      </c>
      <c r="BI10" s="74">
        <f t="shared" si="1"/>
        <v>1.0571817882821325E-2</v>
      </c>
      <c r="BJ10" s="74">
        <f t="shared" si="1"/>
        <v>-9.0179395040821828E-2</v>
      </c>
      <c r="BN10" s="59">
        <v>9</v>
      </c>
      <c r="BO10" s="78">
        <f t="shared" si="6"/>
        <v>-3.7907914010244036E-2</v>
      </c>
      <c r="BP10" s="78">
        <f t="shared" si="2"/>
        <v>-0.22424549771476093</v>
      </c>
      <c r="BQ10" s="78">
        <f t="shared" si="3"/>
        <v>-0.71014901645709194</v>
      </c>
      <c r="BR10" s="78">
        <f t="shared" si="3"/>
        <v>-0.47440194302406902</v>
      </c>
      <c r="BS10" s="78">
        <f t="shared" si="3"/>
        <v>-0.19730295253892094</v>
      </c>
      <c r="BT10" s="78">
        <f t="shared" si="3"/>
        <v>0.23677317966350189</v>
      </c>
      <c r="BU10" s="78">
        <f t="shared" si="3"/>
        <v>7.4956787330159383E-2</v>
      </c>
      <c r="BV10" s="78">
        <f t="shared" si="3"/>
        <v>-0.19454582556925809</v>
      </c>
      <c r="BW10" s="78">
        <f t="shared" si="3"/>
        <v>-0.20079484363169511</v>
      </c>
      <c r="BX10" s="78">
        <f t="shared" si="3"/>
        <v>-0.43672182236837742</v>
      </c>
      <c r="BY10" s="78">
        <f t="shared" si="3"/>
        <v>0.27335400539303689</v>
      </c>
      <c r="BZ10" s="78">
        <f t="shared" si="3"/>
        <v>4.8843382992588683E-2</v>
      </c>
      <c r="CA10" s="78">
        <f t="shared" si="3"/>
        <v>0.43472863835689091</v>
      </c>
      <c r="CB10" s="78">
        <f t="shared" si="3"/>
        <v>0.46956929620312132</v>
      </c>
      <c r="CC10" s="78">
        <f t="shared" si="3"/>
        <v>0.24705679201675002</v>
      </c>
      <c r="CD10" s="78">
        <f t="shared" si="3"/>
        <v>0.27067446141022505</v>
      </c>
      <c r="CE10" s="78">
        <f t="shared" si="3"/>
        <v>-1.4033837282987847E-2</v>
      </c>
      <c r="CF10" s="78">
        <f t="shared" si="3"/>
        <v>-0.25308661323129222</v>
      </c>
      <c r="CG10" s="78">
        <f t="shared" si="3"/>
        <v>-0.48072147927522224</v>
      </c>
      <c r="CH10" s="78">
        <f t="shared" si="3"/>
        <v>-0.24380603994332878</v>
      </c>
      <c r="CI10" s="78">
        <f t="shared" si="3"/>
        <v>0.19438757044430402</v>
      </c>
      <c r="CJ10" s="78">
        <f t="shared" si="3"/>
        <v>3.2640723179897906E-2</v>
      </c>
      <c r="CK10" s="78">
        <f t="shared" si="3"/>
        <v>-0.51481218685553509</v>
      </c>
      <c r="CL10" s="78">
        <f t="shared" si="3"/>
        <v>-0.27853449518151208</v>
      </c>
      <c r="CM10" s="78">
        <f t="shared" si="3"/>
        <v>-0.237137687936538</v>
      </c>
      <c r="CN10" s="78">
        <f t="shared" si="3"/>
        <v>-0.15424529104064599</v>
      </c>
      <c r="CO10" s="78">
        <f t="shared" si="3"/>
        <v>-0.4365860058609472</v>
      </c>
      <c r="CP10" s="78">
        <f t="shared" si="3"/>
        <v>-0.67286641147571924</v>
      </c>
      <c r="CU10" s="56">
        <v>9</v>
      </c>
      <c r="CV10" s="57">
        <f t="shared" si="7"/>
        <v>-0.1981351361900438</v>
      </c>
      <c r="CW10" s="57">
        <f t="shared" si="8"/>
        <v>-2.0916791828317653</v>
      </c>
      <c r="CX10" s="57">
        <f t="shared" si="9"/>
        <v>-0.82007041037776252</v>
      </c>
      <c r="CY10" s="57">
        <f t="shared" si="10"/>
        <v>1.1324849818064899</v>
      </c>
      <c r="CZ10" s="57">
        <f t="shared" si="11"/>
        <v>1.3494545630419652</v>
      </c>
      <c r="DA10" s="57">
        <f t="shared" si="12"/>
        <v>-2.386930625341245</v>
      </c>
      <c r="DB10" s="57">
        <f t="shared" si="13"/>
        <v>-0.56915390288892675</v>
      </c>
      <c r="DC10" s="57">
        <f t="shared" si="14"/>
        <v>3.305495217599776</v>
      </c>
      <c r="DF10" s="51">
        <v>9</v>
      </c>
      <c r="DG10" s="52">
        <f t="shared" si="36"/>
        <v>-0.15424529104064599</v>
      </c>
      <c r="DH10" s="52">
        <f t="shared" si="15"/>
        <v>7.4956787330159383E-2</v>
      </c>
      <c r="DI10" s="52">
        <f t="shared" si="16"/>
        <v>-0.4365860058609472</v>
      </c>
      <c r="DJ10" s="52">
        <f t="shared" si="17"/>
        <v>-0.20079484363169511</v>
      </c>
      <c r="DK10" s="52">
        <f t="shared" si="18"/>
        <v>-0.43472863835689091</v>
      </c>
      <c r="DL10" s="52">
        <f t="shared" si="19"/>
        <v>-0.19454582556925809</v>
      </c>
      <c r="DM10" s="52">
        <f t="shared" si="20"/>
        <v>3.7907914010244036E-2</v>
      </c>
      <c r="DN10" s="52">
        <f t="shared" si="21"/>
        <v>0.27335400539303689</v>
      </c>
      <c r="DO10" s="52">
        <f t="shared" si="22"/>
        <v>-0.19438757044430402</v>
      </c>
      <c r="DP10" s="52">
        <f t="shared" si="23"/>
        <v>4.8843382992588683E-2</v>
      </c>
      <c r="DQ10" s="52">
        <f t="shared" si="24"/>
        <v>-0.67286641147571924</v>
      </c>
      <c r="DR10" s="52">
        <f t="shared" si="25"/>
        <v>-0.43672182236837742</v>
      </c>
      <c r="DS10" s="52">
        <f t="shared" si="26"/>
        <v>-0.23677317966350189</v>
      </c>
      <c r="DT10" s="52">
        <f t="shared" si="27"/>
        <v>0.23677317966350189</v>
      </c>
      <c r="DX10">
        <v>9</v>
      </c>
      <c r="DY10" s="19">
        <f t="shared" si="4"/>
        <v>1.8935440466417215</v>
      </c>
      <c r="EM10" s="21">
        <v>9</v>
      </c>
      <c r="EN10" s="16">
        <f t="shared" si="28"/>
        <v>-0.1981351361900438</v>
      </c>
      <c r="EO10" s="16">
        <f t="shared" si="5"/>
        <v>-2.0916791828317653</v>
      </c>
      <c r="EP10" s="16">
        <f t="shared" si="29"/>
        <v>-0.82007041037776252</v>
      </c>
      <c r="EQ10" s="16">
        <f t="shared" si="30"/>
        <v>1.1324849818064899</v>
      </c>
      <c r="ER10" s="16">
        <f t="shared" si="31"/>
        <v>1.3494545630419652</v>
      </c>
      <c r="ES10" s="16">
        <f t="shared" si="32"/>
        <v>-2.386930625341245</v>
      </c>
      <c r="ET10" s="16">
        <f t="shared" si="33"/>
        <v>-0.56915390288892675</v>
      </c>
      <c r="EU10" s="16">
        <f t="shared" si="34"/>
        <v>3.305495217599776</v>
      </c>
      <c r="EW10" s="41"/>
      <c r="FK10" s="20"/>
      <c r="FL10" s="20"/>
      <c r="FN10" s="20"/>
    </row>
    <row r="11" spans="1:170" ht="18.600000000000001" thickBot="1" x14ac:dyDescent="0.4">
      <c r="A11" s="37" t="s">
        <v>51</v>
      </c>
      <c r="B11" s="38">
        <v>9</v>
      </c>
      <c r="C11" s="63">
        <f>RTD("fxbluelabs.excelrtd", , "21422436","@bh,AUDUSD,h1,close,9")</f>
        <v>0.67325000000000002</v>
      </c>
      <c r="D11" s="64">
        <f>RTD("fxbluelabs.excelrtd", , "21422436","@bh,AUDNZD,h1,close,9")</f>
        <v>1.0946899999999999</v>
      </c>
      <c r="E11" s="65">
        <f>RTD("fxbluelabs.excelrtd", , "21422436","@bh,AUDJPY,h1,close,9")</f>
        <v>97.801000000000002</v>
      </c>
      <c r="F11" s="64">
        <f>RTD("fxbluelabs.excelrtd", , "21422436","@bh,AUDCHF,h1,close,9")</f>
        <v>0.57315000000000005</v>
      </c>
      <c r="G11" s="64">
        <f>RTD("fxbluelabs.excelrtd", , "21422436","@bh,AUDCAD,h1,close,9")</f>
        <v>0.91471999999999998</v>
      </c>
      <c r="H11" s="64">
        <f>RTD("fxbluelabs.excelrtd", , "21422436","@bh,EURUSD,h1,close,9")</f>
        <v>1.1144799999999999</v>
      </c>
      <c r="I11" s="64">
        <f>RTD("fxbluelabs.excelrtd", , "21422436","@bh,EURCAD,h1,close,9")</f>
        <v>1.51416</v>
      </c>
      <c r="J11" s="64">
        <f>RTD("fxbluelabs.excelrtd", , "21422436","@bh,EURGBP,h1,close,9")</f>
        <v>0.85165000000000002</v>
      </c>
      <c r="K11" s="64">
        <f>RTD("fxbluelabs.excelrtd", , "21422436","@bh,EURCHF,h1,close,9")</f>
        <v>0.94874000000000003</v>
      </c>
      <c r="L11" s="65">
        <f>RTD("fxbluelabs.excelrtd", , "21422436","@bh,EURJPY,h1,close,9")</f>
        <v>161.89400000000001</v>
      </c>
      <c r="M11" s="64">
        <f>RTD("fxbluelabs.excelrtd", , "21422436","@bh,EURAUD,h1,close,9")</f>
        <v>1.65533</v>
      </c>
      <c r="N11" s="64">
        <f>RTD("fxbluelabs.excelrtd", , "21422436","@bh,EURNZD,h1,close,9")</f>
        <v>1.81209</v>
      </c>
      <c r="O11" s="64">
        <f>RTD("fxbluelabs.excelrtd", , "21422436","@bh,GBPUSD,h1,close,9")</f>
        <v>1.3086800000000001</v>
      </c>
      <c r="P11" s="64">
        <f>RTD("fxbluelabs.excelrtd", , "21422436","@bh,GBPAUD,h1,close,9")</f>
        <v>1.94371</v>
      </c>
      <c r="Q11" s="64">
        <f>RTD("fxbluelabs.excelrtd", , "21422436","@bh,GBPNZD,h1,close,9")</f>
        <v>2.1278100000000002</v>
      </c>
      <c r="R11" s="64">
        <f>RTD("fxbluelabs.excelrtd", , "21422436","@bh,GBPCAD,h1,close,9")</f>
        <v>1.7779499999999999</v>
      </c>
      <c r="S11" s="64">
        <f>RTD("fxbluelabs.excelrtd", , "21422436","@bh,GBPCHF,h1,close,9")</f>
        <v>1.11395</v>
      </c>
      <c r="T11" s="65">
        <f>RTD("fxbluelabs.excelrtd", , "21422436","@bh,GBPJPY,h1,close,9")</f>
        <v>190.07599999999999</v>
      </c>
      <c r="U11" s="65">
        <f>RTD("fxbluelabs.excelrtd", , "21422436","@bh,NZDJPY,h1,close,9")</f>
        <v>89.332999999999998</v>
      </c>
      <c r="V11" s="64">
        <f>RTD("fxbluelabs.excelrtd", , "21422436","@bh,NZDCHF,h1,close,9")</f>
        <v>0.52353000000000005</v>
      </c>
      <c r="W11" s="64">
        <f>RTD("fxbluelabs.excelrtd", , "21422436","@bh,NZDUSD,h1,close,9")</f>
        <v>0.61495999999999995</v>
      </c>
      <c r="X11" s="64">
        <f>RTD("fxbluelabs.excelrtd", , "21422436","@bh,NZDCAD,h1,close,9")</f>
        <v>0.83550999999999997</v>
      </c>
      <c r="Y11" s="65">
        <f>RTD("fxbluelabs.excelrtd", , "21422436","@bh,CADJPY,h1,close,9")</f>
        <v>106.919</v>
      </c>
      <c r="Z11" s="64">
        <f>RTD("fxbluelabs.excelrtd", , "21422436","@bh,CADCHF,h1,close,9")</f>
        <v>0.62658999999999998</v>
      </c>
      <c r="AA11" s="65">
        <f>RTD("fxbluelabs.excelrtd", , "21422436","@bh,CHFJPY,h1,close,9")</f>
        <v>170.636</v>
      </c>
      <c r="AB11" s="64">
        <f>RTD("fxbluelabs.excelrtd", , "21422436","@bh,USDCAD,h1,close,9")</f>
        <v>1.35877</v>
      </c>
      <c r="AC11" s="64">
        <f>RTD("fxbluelabs.excelrtd", , "21422436","@bh,USDCHF,h1,close,9")</f>
        <v>0.85131999999999997</v>
      </c>
      <c r="AD11" s="66">
        <f>RTD("fxbluelabs.excelrtd", , "21422436","@bh,USDJPY,h1,close,9")</f>
        <v>145.26599999999999</v>
      </c>
      <c r="AH11" s="56">
        <v>10</v>
      </c>
      <c r="AI11" s="75">
        <f t="shared" si="35"/>
        <v>2.8229281193359209E-2</v>
      </c>
      <c r="AJ11" s="75">
        <f t="shared" si="35"/>
        <v>9.1350897064379239E-4</v>
      </c>
      <c r="AK11" s="75">
        <f t="shared" si="35"/>
        <v>-9.6021247254705649E-2</v>
      </c>
      <c r="AL11" s="75">
        <f t="shared" si="35"/>
        <v>-5.2314935914197745E-2</v>
      </c>
      <c r="AM11" s="75">
        <f t="shared" si="35"/>
        <v>2.7338239636070343E-2</v>
      </c>
      <c r="AN11" s="75">
        <f t="shared" si="35"/>
        <v>1.346100347292745E-2</v>
      </c>
      <c r="AO11" s="75">
        <f t="shared" si="35"/>
        <v>1.2549786323369186E-2</v>
      </c>
      <c r="AP11" s="75">
        <f t="shared" si="35"/>
        <v>3.5226979169083032E-3</v>
      </c>
      <c r="AQ11" s="75">
        <f t="shared" si="35"/>
        <v>-6.4254489914151725E-2</v>
      </c>
      <c r="AR11" s="75">
        <f t="shared" si="35"/>
        <v>-0.10797870043005323</v>
      </c>
      <c r="AS11" s="75">
        <f t="shared" si="35"/>
        <v>-1.4496517815617459E-2</v>
      </c>
      <c r="AT11" s="75">
        <f t="shared" si="35"/>
        <v>-1.2690915511606806E-2</v>
      </c>
      <c r="AU11" s="75">
        <f t="shared" si="35"/>
        <v>1.2991876256200066E-2</v>
      </c>
      <c r="AV11" s="75">
        <f t="shared" si="35"/>
        <v>-1.5946338000639524E-2</v>
      </c>
      <c r="AW11" s="75">
        <f t="shared" si="35"/>
        <v>-1.4566847734141422E-2</v>
      </c>
      <c r="AX11" s="75">
        <f t="shared" si="35"/>
        <v>1.1250175783995387E-2</v>
      </c>
      <c r="AY11" s="75">
        <f t="shared" si="1"/>
        <v>-6.8179167675906191E-2</v>
      </c>
      <c r="AZ11" s="75">
        <f t="shared" si="1"/>
        <v>-0.11245992958116488</v>
      </c>
      <c r="BA11" s="75">
        <f t="shared" si="1"/>
        <v>-0.1028795079675692</v>
      </c>
      <c r="BB11" s="75">
        <f t="shared" si="1"/>
        <v>-5.7270488517260743E-2</v>
      </c>
      <c r="BC11" s="75">
        <f t="shared" si="1"/>
        <v>2.1144056080536648E-2</v>
      </c>
      <c r="BD11" s="75">
        <f t="shared" si="1"/>
        <v>2.1548370105222842E-2</v>
      </c>
      <c r="BE11" s="75">
        <f t="shared" si="1"/>
        <v>-0.12330571409889211</v>
      </c>
      <c r="BF11" s="75">
        <f t="shared" si="1"/>
        <v>-7.813995024558118E-2</v>
      </c>
      <c r="BG11" s="75">
        <f t="shared" si="1"/>
        <v>-4.3933899983022211E-2</v>
      </c>
      <c r="BH11" s="75">
        <f t="shared" si="1"/>
        <v>0</v>
      </c>
      <c r="BI11" s="75">
        <f t="shared" si="1"/>
        <v>-7.9812206572771591E-2</v>
      </c>
      <c r="BJ11" s="75">
        <f t="shared" si="1"/>
        <v>-0.12375727073966064</v>
      </c>
      <c r="BN11" s="59">
        <v>10</v>
      </c>
      <c r="BO11" s="79">
        <f t="shared" si="6"/>
        <v>-7.949721961736575E-2</v>
      </c>
      <c r="BP11" s="79">
        <f t="shared" si="2"/>
        <v>-0.24616951273271287</v>
      </c>
      <c r="BQ11" s="79">
        <f t="shared" si="3"/>
        <v>-0.6610697636887134</v>
      </c>
      <c r="BR11" s="79">
        <f t="shared" si="3"/>
        <v>-0.52674426178878464</v>
      </c>
      <c r="BS11" s="79">
        <f t="shared" si="3"/>
        <v>-0.23884571972451296</v>
      </c>
      <c r="BT11" s="79">
        <f t="shared" si="3"/>
        <v>0.24933509194544567</v>
      </c>
      <c r="BU11" s="79">
        <f t="shared" si="3"/>
        <v>8.7504998879791698E-2</v>
      </c>
      <c r="BV11" s="79">
        <f t="shared" si="3"/>
        <v>-0.20276516449957155</v>
      </c>
      <c r="BW11" s="79">
        <f t="shared" si="3"/>
        <v>-0.20184887318667905</v>
      </c>
      <c r="BX11" s="79">
        <f t="shared" si="3"/>
        <v>-0.33480328307724128</v>
      </c>
      <c r="BY11" s="79">
        <f t="shared" si="3"/>
        <v>0.32711971978231619</v>
      </c>
      <c r="BZ11" s="79">
        <f t="shared" si="3"/>
        <v>8.0850623251076087E-2</v>
      </c>
      <c r="CA11" s="79">
        <f t="shared" si="3"/>
        <v>0.45688837182879577</v>
      </c>
      <c r="CB11" s="79">
        <f t="shared" si="3"/>
        <v>0.53182138113349442</v>
      </c>
      <c r="CC11" s="79">
        <f t="shared" si="3"/>
        <v>0.28747393452478903</v>
      </c>
      <c r="CD11" s="79">
        <f t="shared" si="3"/>
        <v>0.29204739090767018</v>
      </c>
      <c r="CE11" s="79">
        <f t="shared" si="3"/>
        <v>-4.1590673202377554E-3</v>
      </c>
      <c r="CF11" s="79">
        <f t="shared" si="3"/>
        <v>-0.14102617424899361</v>
      </c>
      <c r="CG11" s="79">
        <f t="shared" si="3"/>
        <v>-0.41579586388114309</v>
      </c>
      <c r="CH11" s="79">
        <f t="shared" si="3"/>
        <v>-0.2800981339971389</v>
      </c>
      <c r="CI11" s="79">
        <f t="shared" si="3"/>
        <v>0.16836961805714898</v>
      </c>
      <c r="CJ11" s="79">
        <f t="shared" si="3"/>
        <v>7.5063740996902262E-3</v>
      </c>
      <c r="CK11" s="79">
        <f t="shared" si="3"/>
        <v>-0.42221872825603102</v>
      </c>
      <c r="CL11" s="79">
        <f t="shared" si="3"/>
        <v>-0.28651419482561657</v>
      </c>
      <c r="CM11" s="79">
        <f t="shared" ref="CM11:CP26" si="37">BG11+SUM(BG12:BG46)</f>
        <v>-0.13516623994197255</v>
      </c>
      <c r="CN11" s="79">
        <f t="shared" si="37"/>
        <v>-0.15424529104064599</v>
      </c>
      <c r="CO11" s="79">
        <f t="shared" si="37"/>
        <v>-0.4471578237437685</v>
      </c>
      <c r="CP11" s="79">
        <f t="shared" si="37"/>
        <v>-0.5826870164348974</v>
      </c>
      <c r="CU11" s="56">
        <v>10</v>
      </c>
      <c r="CV11" s="58">
        <f t="shared" si="7"/>
        <v>5.3931130951377637E-3</v>
      </c>
      <c r="CW11" s="58">
        <f t="shared" si="8"/>
        <v>-1.9791859934333365</v>
      </c>
      <c r="CX11" s="58">
        <f t="shared" si="9"/>
        <v>-0.70270067620364074</v>
      </c>
      <c r="CY11" s="58">
        <f t="shared" si="10"/>
        <v>1.3248419200946362</v>
      </c>
      <c r="CZ11" s="58">
        <f t="shared" si="11"/>
        <v>1.6258110013250895</v>
      </c>
      <c r="DA11" s="58">
        <f t="shared" si="12"/>
        <v>-2.6112675784679</v>
      </c>
      <c r="DB11" s="58">
        <f t="shared" si="13"/>
        <v>-0.64217305076459485</v>
      </c>
      <c r="DC11" s="58">
        <f t="shared" si="14"/>
        <v>2.6927670695289923</v>
      </c>
      <c r="DF11" s="51">
        <v>10</v>
      </c>
      <c r="DG11" s="54">
        <f t="shared" si="36"/>
        <v>-0.15424529104064599</v>
      </c>
      <c r="DH11" s="54">
        <f t="shared" si="15"/>
        <v>8.7504998879791698E-2</v>
      </c>
      <c r="DI11" s="54">
        <f t="shared" si="16"/>
        <v>-0.4471578237437685</v>
      </c>
      <c r="DJ11" s="54">
        <f t="shared" si="17"/>
        <v>-0.20184887318667905</v>
      </c>
      <c r="DK11" s="54">
        <f t="shared" si="18"/>
        <v>-0.45688837182879577</v>
      </c>
      <c r="DL11" s="54">
        <f t="shared" si="19"/>
        <v>-0.20276516449957155</v>
      </c>
      <c r="DM11" s="54">
        <f t="shared" si="20"/>
        <v>7.949721961736575E-2</v>
      </c>
      <c r="DN11" s="54">
        <f t="shared" si="21"/>
        <v>0.32711971978231619</v>
      </c>
      <c r="DO11" s="54">
        <f t="shared" si="22"/>
        <v>-0.16836961805714898</v>
      </c>
      <c r="DP11" s="54">
        <f t="shared" si="23"/>
        <v>8.0850623251076087E-2</v>
      </c>
      <c r="DQ11" s="54">
        <f t="shared" si="24"/>
        <v>-0.5826870164348974</v>
      </c>
      <c r="DR11" s="54">
        <f t="shared" si="25"/>
        <v>-0.33480328307724128</v>
      </c>
      <c r="DS11" s="54">
        <f t="shared" si="26"/>
        <v>-0.24933509194544567</v>
      </c>
      <c r="DT11" s="54">
        <f t="shared" si="27"/>
        <v>0.24933509194544567</v>
      </c>
      <c r="DX11">
        <v>10</v>
      </c>
      <c r="DY11" s="19">
        <f t="shared" si="4"/>
        <v>1.9845791065284741</v>
      </c>
      <c r="EM11" s="21">
        <v>10</v>
      </c>
      <c r="EN11" s="16">
        <f t="shared" si="28"/>
        <v>5.3931130951377637E-3</v>
      </c>
      <c r="EO11" s="16">
        <f t="shared" si="5"/>
        <v>-1.9791859934333365</v>
      </c>
      <c r="EP11" s="16">
        <f t="shared" si="29"/>
        <v>-0.70270067620364074</v>
      </c>
      <c r="EQ11" s="16">
        <f t="shared" si="30"/>
        <v>1.3248419200946362</v>
      </c>
      <c r="ER11" s="16">
        <f t="shared" si="31"/>
        <v>1.6258110013250895</v>
      </c>
      <c r="ES11" s="16">
        <f t="shared" si="32"/>
        <v>-2.6112675784679</v>
      </c>
      <c r="ET11" s="16">
        <f t="shared" si="33"/>
        <v>-0.64217305076459485</v>
      </c>
      <c r="EU11" s="16">
        <f t="shared" si="34"/>
        <v>2.6927670695289923</v>
      </c>
      <c r="EW11" s="41"/>
      <c r="FK11" s="20"/>
      <c r="FL11" s="20"/>
    </row>
    <row r="12" spans="1:170" ht="18.600000000000001" thickBot="1" x14ac:dyDescent="0.35">
      <c r="A12" s="37" t="s">
        <v>51</v>
      </c>
      <c r="B12" s="38">
        <v>10</v>
      </c>
      <c r="C12" s="63">
        <f>RTD("fxbluelabs.excelrtd", , "21422436","@bh,AUDUSD,h1,close,10")</f>
        <v>0.67305999999999999</v>
      </c>
      <c r="D12" s="64">
        <f>RTD("fxbluelabs.excelrtd", , "21422436","@bh,AUDNZD,h1,close,10")</f>
        <v>1.0946800000000001</v>
      </c>
      <c r="E12" s="65">
        <f>RTD("fxbluelabs.excelrtd", , "21422436","@bh,AUDJPY,h1,close,10")</f>
        <v>97.894999999999996</v>
      </c>
      <c r="F12" s="64">
        <f>RTD("fxbluelabs.excelrtd", , "21422436","@bh,AUDCHF,h1,close,10")</f>
        <v>0.57345000000000002</v>
      </c>
      <c r="G12" s="64">
        <f>RTD("fxbluelabs.excelrtd", , "21422436","@bh,AUDCAD,h1,close,10")</f>
        <v>0.91447000000000001</v>
      </c>
      <c r="H12" s="64">
        <f>RTD("fxbluelabs.excelrtd", , "21422436","@bh,EURUSD,h1,close,10")</f>
        <v>1.11433</v>
      </c>
      <c r="I12" s="64">
        <f>RTD("fxbluelabs.excelrtd", , "21422436","@bh,EURCAD,h1,close,10")</f>
        <v>1.51397</v>
      </c>
      <c r="J12" s="64">
        <f>RTD("fxbluelabs.excelrtd", , "21422436","@bh,EURGBP,h1,close,10")</f>
        <v>0.85162000000000004</v>
      </c>
      <c r="K12" s="64">
        <f>RTD("fxbluelabs.excelrtd", , "21422436","@bh,EURCHF,h1,close,10")</f>
        <v>0.94935000000000003</v>
      </c>
      <c r="L12" s="65">
        <f>RTD("fxbluelabs.excelrtd", , "21422436","@bh,EURJPY,h1,close,10")</f>
        <v>162.06899999999999</v>
      </c>
      <c r="M12" s="64">
        <f>RTD("fxbluelabs.excelrtd", , "21422436","@bh,EURAUD,h1,close,10")</f>
        <v>1.65557</v>
      </c>
      <c r="N12" s="64">
        <f>RTD("fxbluelabs.excelrtd", , "21422436","@bh,EURNZD,h1,close,10")</f>
        <v>1.8123199999999999</v>
      </c>
      <c r="O12" s="64">
        <f>RTD("fxbluelabs.excelrtd", , "21422436","@bh,GBPUSD,h1,close,10")</f>
        <v>1.3085100000000001</v>
      </c>
      <c r="P12" s="64">
        <f>RTD("fxbluelabs.excelrtd", , "21422436","@bh,GBPAUD,h1,close,10")</f>
        <v>1.9440200000000001</v>
      </c>
      <c r="Q12" s="64">
        <f>RTD("fxbluelabs.excelrtd", , "21422436","@bh,GBPNZD,h1,close,10")</f>
        <v>2.12812</v>
      </c>
      <c r="R12" s="64">
        <f>RTD("fxbluelabs.excelrtd", , "21422436","@bh,GBPCAD,h1,close,10")</f>
        <v>1.7777499999999999</v>
      </c>
      <c r="S12" s="64">
        <f>RTD("fxbluelabs.excelrtd", , "21422436","@bh,GBPCHF,h1,close,10")</f>
        <v>1.1147100000000001</v>
      </c>
      <c r="T12" s="65">
        <f>RTD("fxbluelabs.excelrtd", , "21422436","@bh,GBPJPY,h1,close,10")</f>
        <v>190.29</v>
      </c>
      <c r="U12" s="65">
        <f>RTD("fxbluelabs.excelrtd", , "21422436","@bh,NZDJPY,h1,close,10")</f>
        <v>89.424999999999997</v>
      </c>
      <c r="V12" s="64">
        <f>RTD("fxbluelabs.excelrtd", , "21422436","@bh,NZDCHF,h1,close,10")</f>
        <v>0.52383000000000002</v>
      </c>
      <c r="W12" s="64">
        <f>RTD("fxbluelabs.excelrtd", , "21422436","@bh,NZDUSD,h1,close,10")</f>
        <v>0.61482999999999999</v>
      </c>
      <c r="X12" s="64">
        <f>RTD("fxbluelabs.excelrtd", , "21422436","@bh,NZDCAD,h1,close,10")</f>
        <v>0.83533000000000002</v>
      </c>
      <c r="Y12" s="65">
        <f>RTD("fxbluelabs.excelrtd", , "21422436","@bh,CADJPY,h1,close,10")</f>
        <v>107.051</v>
      </c>
      <c r="Z12" s="64">
        <f>RTD("fxbluelabs.excelrtd", , "21422436","@bh,CADCHF,h1,close,10")</f>
        <v>0.62707999999999997</v>
      </c>
      <c r="AA12" s="65">
        <f>RTD("fxbluelabs.excelrtd", , "21422436","@bh,CHFJPY,h1,close,10")</f>
        <v>170.71100000000001</v>
      </c>
      <c r="AB12" s="64">
        <f>RTD("fxbluelabs.excelrtd", , "21422436","@bh,USDCAD,h1,close,10")</f>
        <v>1.35877</v>
      </c>
      <c r="AC12" s="64">
        <f>RTD("fxbluelabs.excelrtd", , "21422436","@bh,USDCHF,h1,close,10")</f>
        <v>0.85199999999999998</v>
      </c>
      <c r="AD12" s="66">
        <f>RTD("fxbluelabs.excelrtd", , "21422436","@bh,USDJPY,h1,close,10")</f>
        <v>145.446</v>
      </c>
      <c r="AH12" s="56">
        <v>11</v>
      </c>
      <c r="AI12" s="74">
        <f t="shared" si="35"/>
        <v>-0.11427214579345657</v>
      </c>
      <c r="AJ12" s="74">
        <f t="shared" si="35"/>
        <v>-9.0355672784672797E-2</v>
      </c>
      <c r="AK12" s="74">
        <f t="shared" si="35"/>
        <v>-0.2293110476967066</v>
      </c>
      <c r="AL12" s="74">
        <f t="shared" si="35"/>
        <v>-0.14626756516741576</v>
      </c>
      <c r="AM12" s="74">
        <f t="shared" si="35"/>
        <v>-0.13214223309453568</v>
      </c>
      <c r="AN12" s="74">
        <f t="shared" si="35"/>
        <v>0</v>
      </c>
      <c r="AO12" s="74">
        <f t="shared" si="35"/>
        <v>-2.04717753651922E-2</v>
      </c>
      <c r="AP12" s="74">
        <f t="shared" si="35"/>
        <v>3.5228220152990894E-3</v>
      </c>
      <c r="AQ12" s="74">
        <f t="shared" si="35"/>
        <v>-3.5801156166749878E-2</v>
      </c>
      <c r="AR12" s="74">
        <f t="shared" si="35"/>
        <v>-0.11955898756957335</v>
      </c>
      <c r="AS12" s="74">
        <f t="shared" si="35"/>
        <v>0.11307976053698</v>
      </c>
      <c r="AT12" s="74">
        <f t="shared" si="35"/>
        <v>2.0419989514058417E-2</v>
      </c>
      <c r="AU12" s="74">
        <f t="shared" si="35"/>
        <v>-8.4058015313714044E-3</v>
      </c>
      <c r="AV12" s="74">
        <f t="shared" si="35"/>
        <v>0.10607839502359333</v>
      </c>
      <c r="AW12" s="74">
        <f t="shared" si="35"/>
        <v>1.3628908324449017E-2</v>
      </c>
      <c r="AX12" s="74">
        <f t="shared" si="35"/>
        <v>-2.6993133621637019E-2</v>
      </c>
      <c r="AY12" s="74">
        <f t="shared" si="1"/>
        <v>-4.1249316247738456E-2</v>
      </c>
      <c r="AZ12" s="74">
        <f t="shared" si="1"/>
        <v>-0.12386760862035544</v>
      </c>
      <c r="BA12" s="74">
        <f t="shared" si="1"/>
        <v>-0.13958682300390843</v>
      </c>
      <c r="BB12" s="74">
        <f t="shared" si="1"/>
        <v>-5.7237708202157282E-2</v>
      </c>
      <c r="BC12" s="74">
        <f t="shared" si="1"/>
        <v>-2.2765338146580969E-2</v>
      </c>
      <c r="BD12" s="74">
        <f t="shared" si="1"/>
        <v>-4.3078174921325728E-2</v>
      </c>
      <c r="BE12" s="74">
        <f t="shared" si="1"/>
        <v>-9.7987980141106393E-2</v>
      </c>
      <c r="BF12" s="74">
        <f t="shared" si="1"/>
        <v>-1.4350176188279811E-2</v>
      </c>
      <c r="BG12" s="74">
        <f t="shared" si="1"/>
        <v>-8.3112383159789943E-2</v>
      </c>
      <c r="BH12" s="74">
        <f t="shared" si="1"/>
        <v>-2.0602626834925718E-2</v>
      </c>
      <c r="BI12" s="74">
        <f t="shared" si="1"/>
        <v>-3.4025977073532776E-2</v>
      </c>
      <c r="BJ12" s="74">
        <f t="shared" si="1"/>
        <v>-0.11743134386781233</v>
      </c>
      <c r="BN12" s="59">
        <v>11</v>
      </c>
      <c r="BO12" s="78">
        <f t="shared" si="6"/>
        <v>-0.107726500810725</v>
      </c>
      <c r="BP12" s="78">
        <f t="shared" si="2"/>
        <v>-0.24708302170335664</v>
      </c>
      <c r="BQ12" s="78">
        <f t="shared" ref="BQ12:CL23" si="38">AK12+SUM(AK13:AK47)</f>
        <v>-0.56504851643400777</v>
      </c>
      <c r="BR12" s="78">
        <f t="shared" si="38"/>
        <v>-0.47442932587458686</v>
      </c>
      <c r="BS12" s="78">
        <f t="shared" si="38"/>
        <v>-0.26618395936058326</v>
      </c>
      <c r="BT12" s="78">
        <f t="shared" si="38"/>
        <v>0.23587408847251823</v>
      </c>
      <c r="BU12" s="78">
        <f t="shared" si="38"/>
        <v>7.4955212556422485E-2</v>
      </c>
      <c r="BV12" s="78">
        <f t="shared" si="38"/>
        <v>-0.20628786241647984</v>
      </c>
      <c r="BW12" s="78">
        <f t="shared" si="38"/>
        <v>-0.13759438327252729</v>
      </c>
      <c r="BX12" s="78">
        <f t="shared" si="38"/>
        <v>-0.22682458264718786</v>
      </c>
      <c r="BY12" s="78">
        <f t="shared" si="38"/>
        <v>0.34161623759793364</v>
      </c>
      <c r="BZ12" s="78">
        <f t="shared" si="38"/>
        <v>9.3541538762682883E-2</v>
      </c>
      <c r="CA12" s="78">
        <f t="shared" si="38"/>
        <v>0.4438964955725957</v>
      </c>
      <c r="CB12" s="78">
        <f t="shared" si="38"/>
        <v>0.54776771913413391</v>
      </c>
      <c r="CC12" s="78">
        <f t="shared" si="38"/>
        <v>0.3020407822589305</v>
      </c>
      <c r="CD12" s="78">
        <f t="shared" si="38"/>
        <v>0.28079721512367473</v>
      </c>
      <c r="CE12" s="78">
        <f t="shared" si="38"/>
        <v>6.4020100355668436E-2</v>
      </c>
      <c r="CF12" s="78">
        <f t="shared" si="38"/>
        <v>-2.8566244667828755E-2</v>
      </c>
      <c r="CG12" s="78">
        <f t="shared" si="38"/>
        <v>-0.31291635591357392</v>
      </c>
      <c r="CH12" s="78">
        <f t="shared" si="38"/>
        <v>-0.22282764547987821</v>
      </c>
      <c r="CI12" s="78">
        <f t="shared" si="38"/>
        <v>0.14722556197661224</v>
      </c>
      <c r="CJ12" s="78">
        <f t="shared" si="38"/>
        <v>-1.4041996005532645E-2</v>
      </c>
      <c r="CK12" s="78">
        <f t="shared" si="38"/>
        <v>-0.29891301415713878</v>
      </c>
      <c r="CL12" s="78">
        <f t="shared" si="38"/>
        <v>-0.20837424458003539</v>
      </c>
      <c r="CM12" s="78">
        <f t="shared" si="37"/>
        <v>-9.1232339958950387E-2</v>
      </c>
      <c r="CN12" s="78">
        <f t="shared" si="37"/>
        <v>-0.15424529104064602</v>
      </c>
      <c r="CO12" s="78">
        <f t="shared" si="37"/>
        <v>-0.3673456171709969</v>
      </c>
      <c r="CP12" s="78">
        <f t="shared" si="37"/>
        <v>-0.45892974569523676</v>
      </c>
      <c r="CU12" s="56">
        <v>11</v>
      </c>
      <c r="CV12" s="57">
        <f t="shared" si="7"/>
        <v>0.1752802490533622</v>
      </c>
      <c r="CW12" s="57">
        <f t="shared" si="8"/>
        <v>-1.6997902991178806</v>
      </c>
      <c r="CX12" s="57">
        <f t="shared" si="9"/>
        <v>-0.42856844001050953</v>
      </c>
      <c r="CY12" s="57">
        <f t="shared" si="10"/>
        <v>1.0469445314833705</v>
      </c>
      <c r="CZ12" s="57">
        <f t="shared" si="11"/>
        <v>1.8162439301936544</v>
      </c>
      <c r="DA12" s="57">
        <f t="shared" si="12"/>
        <v>-2.549855280915327</v>
      </c>
      <c r="DB12" s="57">
        <f t="shared" si="13"/>
        <v>-0.5510597347406293</v>
      </c>
      <c r="DC12" s="57">
        <f t="shared" si="14"/>
        <v>1.9824307994739243</v>
      </c>
      <c r="DF12" s="53">
        <v>11</v>
      </c>
      <c r="DG12" s="52">
        <f t="shared" si="36"/>
        <v>-0.15424529104064602</v>
      </c>
      <c r="DH12" s="52">
        <f t="shared" si="15"/>
        <v>7.4955212556422485E-2</v>
      </c>
      <c r="DI12" s="52">
        <f t="shared" si="16"/>
        <v>-0.3673456171709969</v>
      </c>
      <c r="DJ12" s="52">
        <f t="shared" si="17"/>
        <v>-0.13759438327252729</v>
      </c>
      <c r="DK12" s="52">
        <f t="shared" si="18"/>
        <v>-0.4438964955725957</v>
      </c>
      <c r="DL12" s="52">
        <f t="shared" si="19"/>
        <v>-0.20628786241647984</v>
      </c>
      <c r="DM12" s="52">
        <f t="shared" si="20"/>
        <v>0.107726500810725</v>
      </c>
      <c r="DN12" s="52">
        <f t="shared" si="21"/>
        <v>0.34161623759793364</v>
      </c>
      <c r="DO12" s="52">
        <f t="shared" si="22"/>
        <v>-0.14722556197661224</v>
      </c>
      <c r="DP12" s="52">
        <f t="shared" si="23"/>
        <v>9.3541538762682883E-2</v>
      </c>
      <c r="DQ12" s="52">
        <f t="shared" si="24"/>
        <v>-0.45892974569523676</v>
      </c>
      <c r="DR12" s="52">
        <f t="shared" si="25"/>
        <v>-0.22682458264718786</v>
      </c>
      <c r="DS12" s="52">
        <f t="shared" si="26"/>
        <v>-0.23587408847251823</v>
      </c>
      <c r="DT12" s="52">
        <f t="shared" si="27"/>
        <v>0.23587408847251823</v>
      </c>
      <c r="DX12">
        <v>11</v>
      </c>
      <c r="DY12" s="19">
        <f t="shared" si="4"/>
        <v>1.8750705481712429</v>
      </c>
      <c r="EM12" s="13">
        <v>11</v>
      </c>
      <c r="EN12" s="16">
        <f t="shared" si="28"/>
        <v>0.1752802490533622</v>
      </c>
      <c r="EO12" s="16">
        <f t="shared" si="5"/>
        <v>-1.6997902991178806</v>
      </c>
      <c r="EP12" s="16">
        <f t="shared" si="29"/>
        <v>-0.42856844001050953</v>
      </c>
      <c r="EQ12" s="16">
        <f t="shared" si="30"/>
        <v>1.0469445314833705</v>
      </c>
      <c r="ER12" s="16">
        <f t="shared" si="31"/>
        <v>1.8162439301936544</v>
      </c>
      <c r="ES12" s="16">
        <f t="shared" si="32"/>
        <v>-2.549855280915327</v>
      </c>
      <c r="ET12" s="16">
        <f t="shared" si="33"/>
        <v>-0.5510597347406293</v>
      </c>
      <c r="EU12" s="16">
        <f t="shared" si="34"/>
        <v>1.9824307994739243</v>
      </c>
      <c r="EW12" s="42" t="s">
        <v>53</v>
      </c>
      <c r="FK12" s="20"/>
      <c r="FL12" s="20"/>
    </row>
    <row r="13" spans="1:170" ht="18.600000000000001" thickBot="1" x14ac:dyDescent="0.4">
      <c r="A13" s="37" t="s">
        <v>51</v>
      </c>
      <c r="B13" s="38">
        <v>11</v>
      </c>
      <c r="C13" s="63">
        <f>RTD("fxbluelabs.excelrtd", , "21422436","@bh,AUDUSD,h1,close,11")</f>
        <v>0.67383000000000004</v>
      </c>
      <c r="D13" s="64">
        <f>RTD("fxbluelabs.excelrtd", , "21422436","@bh,AUDNZD,h1,close,11")</f>
        <v>1.0956699999999999</v>
      </c>
      <c r="E13" s="65">
        <f>RTD("fxbluelabs.excelrtd", , "21422436","@bh,AUDJPY,h1,close,11")</f>
        <v>98.12</v>
      </c>
      <c r="F13" s="64">
        <f>RTD("fxbluelabs.excelrtd", , "21422436","@bh,AUDCHF,h1,close,11")</f>
        <v>0.57428999999999997</v>
      </c>
      <c r="G13" s="64">
        <f>RTD("fxbluelabs.excelrtd", , "21422436","@bh,AUDCAD,h1,close,11")</f>
        <v>0.91568000000000005</v>
      </c>
      <c r="H13" s="64">
        <f>RTD("fxbluelabs.excelrtd", , "21422436","@bh,EURUSD,h1,close,11")</f>
        <v>1.11433</v>
      </c>
      <c r="I13" s="64">
        <f>RTD("fxbluelabs.excelrtd", , "21422436","@bh,EURCAD,h1,close,11")</f>
        <v>1.5142800000000001</v>
      </c>
      <c r="J13" s="64">
        <f>RTD("fxbluelabs.excelrtd", , "21422436","@bh,EURGBP,h1,close,11")</f>
        <v>0.85158999999999996</v>
      </c>
      <c r="K13" s="64">
        <f>RTD("fxbluelabs.excelrtd", , "21422436","@bh,EURCHF,h1,close,11")</f>
        <v>0.94969000000000003</v>
      </c>
      <c r="L13" s="65">
        <f>RTD("fxbluelabs.excelrtd", , "21422436","@bh,EURJPY,h1,close,11")</f>
        <v>162.26300000000001</v>
      </c>
      <c r="M13" s="64">
        <f>RTD("fxbluelabs.excelrtd", , "21422436","@bh,EURAUD,h1,close,11")</f>
        <v>1.6536999999999999</v>
      </c>
      <c r="N13" s="64">
        <f>RTD("fxbluelabs.excelrtd", , "21422436","@bh,EURNZD,h1,close,11")</f>
        <v>1.8119499999999999</v>
      </c>
      <c r="O13" s="64">
        <f>RTD("fxbluelabs.excelrtd", , "21422436","@bh,GBPUSD,h1,close,11")</f>
        <v>1.3086199999999999</v>
      </c>
      <c r="P13" s="64">
        <f>RTD("fxbluelabs.excelrtd", , "21422436","@bh,GBPAUD,h1,close,11")</f>
        <v>1.9419599999999999</v>
      </c>
      <c r="Q13" s="64">
        <f>RTD("fxbluelabs.excelrtd", , "21422436","@bh,GBPNZD,h1,close,11")</f>
        <v>2.1278299999999999</v>
      </c>
      <c r="R13" s="64">
        <f>RTD("fxbluelabs.excelrtd", , "21422436","@bh,GBPCAD,h1,close,11")</f>
        <v>1.77823</v>
      </c>
      <c r="S13" s="64">
        <f>RTD("fxbluelabs.excelrtd", , "21422436","@bh,GBPCHF,h1,close,11")</f>
        <v>1.11517</v>
      </c>
      <c r="T13" s="65">
        <f>RTD("fxbluelabs.excelrtd", , "21422436","@bh,GBPJPY,h1,close,11")</f>
        <v>190.52600000000001</v>
      </c>
      <c r="U13" s="65">
        <f>RTD("fxbluelabs.excelrtd", , "21422436","@bh,NZDJPY,h1,close,11")</f>
        <v>89.55</v>
      </c>
      <c r="V13" s="64">
        <f>RTD("fxbluelabs.excelrtd", , "21422436","@bh,NZDCHF,h1,close,11")</f>
        <v>0.52412999999999998</v>
      </c>
      <c r="W13" s="64">
        <f>RTD("fxbluelabs.excelrtd", , "21422436","@bh,NZDUSD,h1,close,11")</f>
        <v>0.61497000000000002</v>
      </c>
      <c r="X13" s="64">
        <f>RTD("fxbluelabs.excelrtd", , "21422436","@bh,NZDCAD,h1,close,11")</f>
        <v>0.83569000000000004</v>
      </c>
      <c r="Y13" s="65">
        <f>RTD("fxbluelabs.excelrtd", , "21422436","@bh,CADJPY,h1,close,11")</f>
        <v>107.15600000000001</v>
      </c>
      <c r="Z13" s="64">
        <f>RTD("fxbluelabs.excelrtd", , "21422436","@bh,CADCHF,h1,close,11")</f>
        <v>0.62717000000000001</v>
      </c>
      <c r="AA13" s="65">
        <f>RTD("fxbluelabs.excelrtd", , "21422436","@bh,CHFJPY,h1,close,11")</f>
        <v>170.85300000000001</v>
      </c>
      <c r="AB13" s="64">
        <f>RTD("fxbluelabs.excelrtd", , "21422436","@bh,USDCAD,h1,close,11")</f>
        <v>1.3590500000000001</v>
      </c>
      <c r="AC13" s="64">
        <f>RTD("fxbluelabs.excelrtd", , "21422436","@bh,USDCHF,h1,close,11")</f>
        <v>0.85228999999999999</v>
      </c>
      <c r="AD13" s="66">
        <f>RTD("fxbluelabs.excelrtd", , "21422436","@bh,USDJPY,h1,close,11")</f>
        <v>145.61699999999999</v>
      </c>
      <c r="AH13" s="56">
        <v>12</v>
      </c>
      <c r="AI13" s="75">
        <f t="shared" si="35"/>
        <v>-7.7111292355596495E-2</v>
      </c>
      <c r="AJ13" s="75">
        <f t="shared" si="35"/>
        <v>-1.8253338079320814E-3</v>
      </c>
      <c r="AK13" s="75">
        <f t="shared" si="35"/>
        <v>0.11631940901577895</v>
      </c>
      <c r="AL13" s="75">
        <f t="shared" si="35"/>
        <v>-1.9150417827307538E-2</v>
      </c>
      <c r="AM13" s="75">
        <f t="shared" si="35"/>
        <v>-5.3483523800167049E-2</v>
      </c>
      <c r="AN13" s="75">
        <f t="shared" si="35"/>
        <v>-3.9470025206993005E-2</v>
      </c>
      <c r="AO13" s="75">
        <f t="shared" si="35"/>
        <v>-1.51864299344311E-2</v>
      </c>
      <c r="AP13" s="75">
        <f t="shared" si="35"/>
        <v>-4.6968754036424273E-3</v>
      </c>
      <c r="AQ13" s="75">
        <f t="shared" si="35"/>
        <v>1.5797122817362456E-2</v>
      </c>
      <c r="AR13" s="75">
        <f t="shared" si="35"/>
        <v>0.15616319980249019</v>
      </c>
      <c r="AS13" s="75">
        <f t="shared" si="35"/>
        <v>3.6900592224258781E-2</v>
      </c>
      <c r="AT13" s="75">
        <f t="shared" si="35"/>
        <v>3.6990415617681884E-2</v>
      </c>
      <c r="AU13" s="75">
        <f t="shared" si="35"/>
        <v>-2.9793508070993534E-2</v>
      </c>
      <c r="AV13" s="75">
        <f t="shared" si="35"/>
        <v>4.8943591223126436E-2</v>
      </c>
      <c r="AW13" s="75">
        <f t="shared" si="35"/>
        <v>4.937040972737064E-2</v>
      </c>
      <c r="AX13" s="75">
        <f t="shared" si="35"/>
        <v>-3.3740278582204807E-3</v>
      </c>
      <c r="AY13" s="75">
        <f t="shared" si="1"/>
        <v>3.1395202813016672E-2</v>
      </c>
      <c r="AZ13" s="75">
        <f t="shared" si="1"/>
        <v>0.16665878060449676</v>
      </c>
      <c r="BA13" s="75">
        <f t="shared" si="1"/>
        <v>0.11739057521382301</v>
      </c>
      <c r="BB13" s="75">
        <f t="shared" si="1"/>
        <v>-1.7168364427155487E-2</v>
      </c>
      <c r="BC13" s="75">
        <f t="shared" si="1"/>
        <v>-7.6368126868577024E-2</v>
      </c>
      <c r="BD13" s="75">
        <f t="shared" si="1"/>
        <v>-5.1428024685443531E-2</v>
      </c>
      <c r="BE13" s="75">
        <f t="shared" si="1"/>
        <v>0.17107120488348176</v>
      </c>
      <c r="BF13" s="75">
        <f t="shared" si="1"/>
        <v>3.3494959806055172E-2</v>
      </c>
      <c r="BG13" s="75">
        <f t="shared" si="1"/>
        <v>0.13890842593894756</v>
      </c>
      <c r="BH13" s="75">
        <f t="shared" si="1"/>
        <v>2.5023735749350996E-2</v>
      </c>
      <c r="BI13" s="75">
        <f t="shared" si="1"/>
        <v>5.8699914298118654E-2</v>
      </c>
      <c r="BJ13" s="75">
        <f t="shared" si="1"/>
        <v>0.19472387741339744</v>
      </c>
      <c r="BN13" s="59">
        <v>12</v>
      </c>
      <c r="BO13" s="79">
        <f t="shared" si="6"/>
        <v>6.545644982731566E-3</v>
      </c>
      <c r="BP13" s="79">
        <f t="shared" si="2"/>
        <v>-0.1567273489186839</v>
      </c>
      <c r="BQ13" s="79">
        <f t="shared" si="38"/>
        <v>-0.33573746873730115</v>
      </c>
      <c r="BR13" s="79">
        <f t="shared" si="38"/>
        <v>-0.32816176070717107</v>
      </c>
      <c r="BS13" s="79">
        <f t="shared" si="38"/>
        <v>-0.1340417262660476</v>
      </c>
      <c r="BT13" s="79">
        <f t="shared" si="38"/>
        <v>0.23587408847251823</v>
      </c>
      <c r="BU13" s="79">
        <f t="shared" si="38"/>
        <v>9.5426987921614678E-2</v>
      </c>
      <c r="BV13" s="79">
        <f t="shared" si="38"/>
        <v>-0.20981068443177889</v>
      </c>
      <c r="BW13" s="79">
        <f t="shared" si="38"/>
        <v>-0.10179322710577741</v>
      </c>
      <c r="BX13" s="79">
        <f t="shared" si="38"/>
        <v>-0.1072655950776146</v>
      </c>
      <c r="BY13" s="79">
        <f t="shared" si="38"/>
        <v>0.22853647706095362</v>
      </c>
      <c r="BZ13" s="79">
        <f t="shared" si="38"/>
        <v>7.3121549248624476E-2</v>
      </c>
      <c r="CA13" s="79">
        <f t="shared" si="38"/>
        <v>0.45230229710396713</v>
      </c>
      <c r="CB13" s="79">
        <f t="shared" si="38"/>
        <v>0.44168932411054057</v>
      </c>
      <c r="CC13" s="79">
        <f t="shared" si="38"/>
        <v>0.28841187393448142</v>
      </c>
      <c r="CD13" s="79">
        <f t="shared" si="38"/>
        <v>0.30779034874531175</v>
      </c>
      <c r="CE13" s="79">
        <f t="shared" si="38"/>
        <v>0.10526941660340688</v>
      </c>
      <c r="CF13" s="79">
        <f t="shared" si="38"/>
        <v>9.5301363952526696E-2</v>
      </c>
      <c r="CG13" s="79">
        <f t="shared" si="38"/>
        <v>-0.17332953290966541</v>
      </c>
      <c r="CH13" s="79">
        <f t="shared" si="38"/>
        <v>-0.16558993727772089</v>
      </c>
      <c r="CI13" s="79">
        <f t="shared" si="38"/>
        <v>0.16999090012319323</v>
      </c>
      <c r="CJ13" s="79">
        <f t="shared" si="38"/>
        <v>2.9036178915793097E-2</v>
      </c>
      <c r="CK13" s="79">
        <f t="shared" si="38"/>
        <v>-0.20092503401603246</v>
      </c>
      <c r="CL13" s="79">
        <f t="shared" si="38"/>
        <v>-0.19402406839175557</v>
      </c>
      <c r="CM13" s="79">
        <f t="shared" si="37"/>
        <v>-8.119956799160416E-3</v>
      </c>
      <c r="CN13" s="79">
        <f t="shared" si="37"/>
        <v>-0.1336426642057203</v>
      </c>
      <c r="CO13" s="79">
        <f t="shared" si="37"/>
        <v>-0.33331964009746412</v>
      </c>
      <c r="CP13" s="79">
        <f t="shared" si="37"/>
        <v>-0.3414984018274243</v>
      </c>
      <c r="CU13" s="56">
        <v>12</v>
      </c>
      <c r="CV13" s="58">
        <f t="shared" si="7"/>
        <v>0.21408959608854011</v>
      </c>
      <c r="CW13" s="58">
        <f t="shared" si="8"/>
        <v>-1.6731736368130188</v>
      </c>
      <c r="CX13" s="58">
        <f t="shared" si="9"/>
        <v>-0.55951822751873959</v>
      </c>
      <c r="CY13" s="58">
        <f t="shared" si="10"/>
        <v>0.81547519178556627</v>
      </c>
      <c r="CZ13" s="58">
        <f t="shared" si="11"/>
        <v>1.9005753088820134</v>
      </c>
      <c r="DA13" s="58">
        <f t="shared" si="12"/>
        <v>-1.6183484608179663</v>
      </c>
      <c r="DB13" s="58">
        <f t="shared" si="13"/>
        <v>-0.34469846541282201</v>
      </c>
      <c r="DC13" s="58">
        <f t="shared" si="14"/>
        <v>1.0715746254146716</v>
      </c>
      <c r="DF13" s="51">
        <v>12</v>
      </c>
      <c r="DG13" s="54">
        <f t="shared" si="36"/>
        <v>-0.1336426642057203</v>
      </c>
      <c r="DH13" s="54">
        <f t="shared" si="15"/>
        <v>9.5426987921614678E-2</v>
      </c>
      <c r="DI13" s="54">
        <f t="shared" si="16"/>
        <v>-0.33331964009746412</v>
      </c>
      <c r="DJ13" s="54">
        <f t="shared" si="17"/>
        <v>-0.10179322710577741</v>
      </c>
      <c r="DK13" s="54">
        <f t="shared" si="18"/>
        <v>-0.45230229710396713</v>
      </c>
      <c r="DL13" s="54">
        <f t="shared" si="19"/>
        <v>-0.20981068443177889</v>
      </c>
      <c r="DM13" s="54">
        <f t="shared" si="20"/>
        <v>-6.545644982731566E-3</v>
      </c>
      <c r="DN13" s="54">
        <f t="shared" si="21"/>
        <v>0.22853647706095362</v>
      </c>
      <c r="DO13" s="54">
        <f t="shared" si="22"/>
        <v>-0.16999090012319323</v>
      </c>
      <c r="DP13" s="54">
        <f t="shared" si="23"/>
        <v>7.3121549248624476E-2</v>
      </c>
      <c r="DQ13" s="54">
        <f t="shared" si="24"/>
        <v>-0.3414984018274243</v>
      </c>
      <c r="DR13" s="54">
        <f t="shared" si="25"/>
        <v>-0.1072655950776146</v>
      </c>
      <c r="DS13" s="54">
        <f t="shared" si="26"/>
        <v>-0.23587408847251823</v>
      </c>
      <c r="DT13" s="54">
        <f t="shared" si="27"/>
        <v>0.23587408847251823</v>
      </c>
      <c r="DX13">
        <v>12</v>
      </c>
      <c r="DY13" s="19">
        <f t="shared" si="4"/>
        <v>1.8872632329015588</v>
      </c>
      <c r="EM13" s="21">
        <v>12</v>
      </c>
      <c r="EN13" s="16">
        <f t="shared" si="28"/>
        <v>0.21408959608854011</v>
      </c>
      <c r="EO13" s="16">
        <f t="shared" si="5"/>
        <v>-1.6731736368130188</v>
      </c>
      <c r="EP13" s="16">
        <f t="shared" si="29"/>
        <v>-0.55951822751873959</v>
      </c>
      <c r="EQ13" s="16">
        <f t="shared" si="30"/>
        <v>0.81547519178556627</v>
      </c>
      <c r="ER13" s="16">
        <f t="shared" si="31"/>
        <v>1.9005753088820134</v>
      </c>
      <c r="ES13" s="16">
        <f t="shared" si="32"/>
        <v>-1.6183484608179663</v>
      </c>
      <c r="ET13" s="16">
        <f t="shared" si="33"/>
        <v>-0.34469846541282201</v>
      </c>
      <c r="EU13" s="16">
        <f t="shared" si="34"/>
        <v>1.0715746254146716</v>
      </c>
      <c r="EW13" s="40">
        <f>'SATORI H4'!EW2</f>
        <v>8.2232746324077119</v>
      </c>
      <c r="EX13" s="39" t="str">
        <f>'SATORI H4'!EX2</f>
        <v>NZD</v>
      </c>
      <c r="FK13" s="20"/>
      <c r="FL13" s="20"/>
    </row>
    <row r="14" spans="1:170" ht="18.600000000000001" thickBot="1" x14ac:dyDescent="0.4">
      <c r="A14" s="37" t="s">
        <v>51</v>
      </c>
      <c r="B14" s="38">
        <v>12</v>
      </c>
      <c r="C14" s="63">
        <f>RTD("fxbluelabs.excelrtd", , "21422436","@bh,AUDUSD,h1,close,12")</f>
        <v>0.67435</v>
      </c>
      <c r="D14" s="64">
        <f>RTD("fxbluelabs.excelrtd", , "21422436","@bh,AUDNZD,h1,close,12")</f>
        <v>1.0956900000000001</v>
      </c>
      <c r="E14" s="65">
        <f>RTD("fxbluelabs.excelrtd", , "21422436","@bh,AUDJPY,h1,close,12")</f>
        <v>98.006</v>
      </c>
      <c r="F14" s="64">
        <f>RTD("fxbluelabs.excelrtd", , "21422436","@bh,AUDCHF,h1,close,12")</f>
        <v>0.57440000000000002</v>
      </c>
      <c r="G14" s="64">
        <f>RTD("fxbluelabs.excelrtd", , "21422436","@bh,AUDCAD,h1,close,12")</f>
        <v>0.91617000000000004</v>
      </c>
      <c r="H14" s="64">
        <f>RTD("fxbluelabs.excelrtd", , "21422436","@bh,EURUSD,h1,close,12")</f>
        <v>1.11477</v>
      </c>
      <c r="I14" s="64">
        <f>RTD("fxbluelabs.excelrtd", , "21422436","@bh,EURCAD,h1,close,12")</f>
        <v>1.51451</v>
      </c>
      <c r="J14" s="64">
        <f>RTD("fxbluelabs.excelrtd", , "21422436","@bh,EURGBP,h1,close,12")</f>
        <v>0.85163</v>
      </c>
      <c r="K14" s="64">
        <f>RTD("fxbluelabs.excelrtd", , "21422436","@bh,EURCHF,h1,close,12")</f>
        <v>0.94954000000000005</v>
      </c>
      <c r="L14" s="65">
        <f>RTD("fxbluelabs.excelrtd", , "21422436","@bh,EURJPY,h1,close,12")</f>
        <v>162.01</v>
      </c>
      <c r="M14" s="64">
        <f>RTD("fxbluelabs.excelrtd", , "21422436","@bh,EURAUD,h1,close,12")</f>
        <v>1.6530899999999999</v>
      </c>
      <c r="N14" s="64">
        <f>RTD("fxbluelabs.excelrtd", , "21422436","@bh,EURNZD,h1,close,12")</f>
        <v>1.81128</v>
      </c>
      <c r="O14" s="64">
        <f>RTD("fxbluelabs.excelrtd", , "21422436","@bh,GBPUSD,h1,close,12")</f>
        <v>1.30901</v>
      </c>
      <c r="P14" s="64">
        <f>RTD("fxbluelabs.excelrtd", , "21422436","@bh,GBPAUD,h1,close,12")</f>
        <v>1.9410099999999999</v>
      </c>
      <c r="Q14" s="64">
        <f>RTD("fxbluelabs.excelrtd", , "21422436","@bh,GBPNZD,h1,close,12")</f>
        <v>2.1267800000000001</v>
      </c>
      <c r="R14" s="64">
        <f>RTD("fxbluelabs.excelrtd", , "21422436","@bh,GBPCAD,h1,close,12")</f>
        <v>1.7782899999999999</v>
      </c>
      <c r="S14" s="64">
        <f>RTD("fxbluelabs.excelrtd", , "21422436","@bh,GBPCHF,h1,close,12")</f>
        <v>1.1148199999999999</v>
      </c>
      <c r="T14" s="65">
        <f>RTD("fxbluelabs.excelrtd", , "21422436","@bh,GBPJPY,h1,close,12")</f>
        <v>190.209</v>
      </c>
      <c r="U14" s="65">
        <f>RTD("fxbluelabs.excelrtd", , "21422436","@bh,NZDJPY,h1,close,12")</f>
        <v>89.444999999999993</v>
      </c>
      <c r="V14" s="64">
        <f>RTD("fxbluelabs.excelrtd", , "21422436","@bh,NZDCHF,h1,close,12")</f>
        <v>0.52422000000000002</v>
      </c>
      <c r="W14" s="64">
        <f>RTD("fxbluelabs.excelrtd", , "21422436","@bh,NZDUSD,h1,close,12")</f>
        <v>0.61543999999999999</v>
      </c>
      <c r="X14" s="64">
        <f>RTD("fxbluelabs.excelrtd", , "21422436","@bh,NZDCAD,h1,close,12")</f>
        <v>0.83611999999999997</v>
      </c>
      <c r="Y14" s="65">
        <f>RTD("fxbluelabs.excelrtd", , "21422436","@bh,CADJPY,h1,close,12")</f>
        <v>106.973</v>
      </c>
      <c r="Z14" s="64">
        <f>RTD("fxbluelabs.excelrtd", , "21422436","@bh,CADCHF,h1,close,12")</f>
        <v>0.62695999999999996</v>
      </c>
      <c r="AA14" s="65">
        <f>RTD("fxbluelabs.excelrtd", , "21422436","@bh,CHFJPY,h1,close,12")</f>
        <v>170.61600000000001</v>
      </c>
      <c r="AB14" s="64">
        <f>RTD("fxbluelabs.excelrtd", , "21422436","@bh,USDCAD,h1,close,12")</f>
        <v>1.3587100000000001</v>
      </c>
      <c r="AC14" s="64">
        <f>RTD("fxbluelabs.excelrtd", , "21422436","@bh,USDCHF,h1,close,12")</f>
        <v>0.85179000000000005</v>
      </c>
      <c r="AD14" s="66">
        <f>RTD("fxbluelabs.excelrtd", , "21422436","@bh,USDJPY,h1,close,12")</f>
        <v>145.334</v>
      </c>
      <c r="AH14" s="56">
        <v>13</v>
      </c>
      <c r="AI14" s="74">
        <f t="shared" si="35"/>
        <v>-8.7415177645417286E-2</v>
      </c>
      <c r="AJ14" s="74">
        <f t="shared" si="35"/>
        <v>3.5606683100530674E-2</v>
      </c>
      <c r="AK14" s="74">
        <f t="shared" si="35"/>
        <v>5.6150524241719658E-2</v>
      </c>
      <c r="AL14" s="74">
        <f t="shared" si="35"/>
        <v>-1.3925637097891829E-2</v>
      </c>
      <c r="AM14" s="74">
        <f t="shared" si="35"/>
        <v>-6.544716777380738E-2</v>
      </c>
      <c r="AN14" s="74">
        <f t="shared" si="35"/>
        <v>-6.7233218588642812E-2</v>
      </c>
      <c r="AO14" s="74">
        <f t="shared" si="35"/>
        <v>-4.4219168679625422E-2</v>
      </c>
      <c r="AP14" s="74">
        <f t="shared" si="35"/>
        <v>-4.6946703754557464E-2</v>
      </c>
      <c r="AQ14" s="74">
        <f t="shared" si="35"/>
        <v>9.4791721523023332E-3</v>
      </c>
      <c r="AR14" s="74">
        <f t="shared" si="35"/>
        <v>7.659711154762934E-2</v>
      </c>
      <c r="AS14" s="74">
        <f t="shared" si="35"/>
        <v>2.0571774315535137E-2</v>
      </c>
      <c r="AT14" s="74">
        <f t="shared" si="35"/>
        <v>5.5792782292141796E-2</v>
      </c>
      <c r="AU14" s="74">
        <f t="shared" si="35"/>
        <v>-1.7567443707796313E-2</v>
      </c>
      <c r="AV14" s="74">
        <f t="shared" si="35"/>
        <v>6.702032778094956E-2</v>
      </c>
      <c r="AW14" s="74">
        <f t="shared" si="35"/>
        <v>0.10213639209078396</v>
      </c>
      <c r="AX14" s="74">
        <f t="shared" si="35"/>
        <v>1.6870423897503454E-3</v>
      </c>
      <c r="AY14" s="74">
        <f t="shared" si="1"/>
        <v>5.2951365516981985E-2</v>
      </c>
      <c r="AZ14" s="74">
        <f t="shared" si="1"/>
        <v>0.12317410185551197</v>
      </c>
      <c r="BA14" s="74">
        <f t="shared" si="1"/>
        <v>2.3483628556077323E-2</v>
      </c>
      <c r="BB14" s="74">
        <f t="shared" si="1"/>
        <v>-4.7667168760839033E-2</v>
      </c>
      <c r="BC14" s="74">
        <f t="shared" si="1"/>
        <v>-0.12171570457164647</v>
      </c>
      <c r="BD14" s="74">
        <f t="shared" si="1"/>
        <v>-9.9169603918991267E-2</v>
      </c>
      <c r="BE14" s="74">
        <f t="shared" si="1"/>
        <v>0.12354807611310734</v>
      </c>
      <c r="BF14" s="74">
        <f t="shared" si="1"/>
        <v>5.2662655793680714E-2</v>
      </c>
      <c r="BG14" s="74">
        <f t="shared" si="1"/>
        <v>6.6861385790198541E-2</v>
      </c>
      <c r="BH14" s="74">
        <f t="shared" si="1"/>
        <v>2.208464307537408E-2</v>
      </c>
      <c r="BI14" s="74">
        <f t="shared" si="1"/>
        <v>7.4016636120120702E-2</v>
      </c>
      <c r="BJ14" s="74">
        <f t="shared" si="1"/>
        <v>0.14401378122308575</v>
      </c>
      <c r="BN14" s="59">
        <v>13</v>
      </c>
      <c r="BO14" s="78">
        <f t="shared" si="6"/>
        <v>8.3656937338328075E-2</v>
      </c>
      <c r="BP14" s="78">
        <f t="shared" si="2"/>
        <v>-0.1549020151107518</v>
      </c>
      <c r="BQ14" s="78">
        <f t="shared" si="38"/>
        <v>-0.45205687775308007</v>
      </c>
      <c r="BR14" s="78">
        <f t="shared" si="38"/>
        <v>-0.30901134287986354</v>
      </c>
      <c r="BS14" s="78">
        <f t="shared" si="38"/>
        <v>-8.0558202465880566E-2</v>
      </c>
      <c r="BT14" s="78">
        <f t="shared" si="38"/>
        <v>0.27534411367951117</v>
      </c>
      <c r="BU14" s="78">
        <f t="shared" si="38"/>
        <v>0.11061341785604584</v>
      </c>
      <c r="BV14" s="78">
        <f t="shared" si="38"/>
        <v>-0.20511380902813647</v>
      </c>
      <c r="BW14" s="78">
        <f t="shared" si="38"/>
        <v>-0.11759034992313987</v>
      </c>
      <c r="BX14" s="78">
        <f t="shared" si="38"/>
        <v>-0.26342879488010484</v>
      </c>
      <c r="BY14" s="78">
        <f t="shared" si="38"/>
        <v>0.19163588483669489</v>
      </c>
      <c r="BZ14" s="78">
        <f t="shared" si="38"/>
        <v>3.613113363094262E-2</v>
      </c>
      <c r="CA14" s="78">
        <f t="shared" si="38"/>
        <v>0.48209580517496059</v>
      </c>
      <c r="CB14" s="78">
        <f t="shared" si="38"/>
        <v>0.39274573288741421</v>
      </c>
      <c r="CC14" s="78">
        <f t="shared" si="38"/>
        <v>0.23904146420711081</v>
      </c>
      <c r="CD14" s="78">
        <f t="shared" si="38"/>
        <v>0.31116437660353224</v>
      </c>
      <c r="CE14" s="78">
        <f t="shared" si="38"/>
        <v>7.3874213790390234E-2</v>
      </c>
      <c r="CF14" s="78">
        <f t="shared" si="38"/>
        <v>-7.135741665197004E-2</v>
      </c>
      <c r="CG14" s="78">
        <f t="shared" si="38"/>
        <v>-0.29072010812348842</v>
      </c>
      <c r="CH14" s="78">
        <f t="shared" si="38"/>
        <v>-0.14842157285056543</v>
      </c>
      <c r="CI14" s="78">
        <f t="shared" si="38"/>
        <v>0.24635902699177031</v>
      </c>
      <c r="CJ14" s="78">
        <f t="shared" si="38"/>
        <v>8.0464203601236656E-2</v>
      </c>
      <c r="CK14" s="78">
        <f t="shared" si="38"/>
        <v>-0.37199623889951439</v>
      </c>
      <c r="CL14" s="78">
        <f t="shared" si="38"/>
        <v>-0.22751902819781075</v>
      </c>
      <c r="CM14" s="78">
        <f t="shared" si="37"/>
        <v>-0.14702838273810792</v>
      </c>
      <c r="CN14" s="78">
        <f t="shared" si="37"/>
        <v>-0.15866639995507129</v>
      </c>
      <c r="CO14" s="78">
        <f t="shared" si="37"/>
        <v>-0.39201955439558273</v>
      </c>
      <c r="CP14" s="78">
        <f t="shared" si="37"/>
        <v>-0.53622227924082189</v>
      </c>
      <c r="CU14" s="56">
        <v>13</v>
      </c>
      <c r="CV14" s="57">
        <f t="shared" si="7"/>
        <v>2.7591596171813317E-2</v>
      </c>
      <c r="CW14" s="57">
        <f t="shared" si="8"/>
        <v>-2.1743641167760464</v>
      </c>
      <c r="CX14" s="57">
        <f t="shared" si="9"/>
        <v>-0.86253266273718809</v>
      </c>
      <c r="CY14" s="57">
        <f t="shared" si="10"/>
        <v>0.74614022352065335</v>
      </c>
      <c r="CZ14" s="57">
        <f t="shared" si="11"/>
        <v>1.6326779850395745</v>
      </c>
      <c r="DA14" s="57">
        <f t="shared" si="12"/>
        <v>-1.497253118595357</v>
      </c>
      <c r="DB14" s="57">
        <f t="shared" si="13"/>
        <v>-0.23258903310834844</v>
      </c>
      <c r="DC14" s="57">
        <f t="shared" si="14"/>
        <v>2.1328100982870875</v>
      </c>
      <c r="DF14" s="53">
        <v>13</v>
      </c>
      <c r="DG14" s="52">
        <f t="shared" si="36"/>
        <v>-0.15866639995507129</v>
      </c>
      <c r="DH14" s="52">
        <f t="shared" si="15"/>
        <v>0.11061341785604584</v>
      </c>
      <c r="DI14" s="52">
        <f t="shared" si="16"/>
        <v>-0.39201955439558273</v>
      </c>
      <c r="DJ14" s="52">
        <f t="shared" si="17"/>
        <v>-0.11759034992313987</v>
      </c>
      <c r="DK14" s="52">
        <f t="shared" si="18"/>
        <v>-0.48209580517496059</v>
      </c>
      <c r="DL14" s="52">
        <f t="shared" si="19"/>
        <v>-0.20511380902813647</v>
      </c>
      <c r="DM14" s="52">
        <f t="shared" si="20"/>
        <v>-8.3656937338328075E-2</v>
      </c>
      <c r="DN14" s="52">
        <f t="shared" si="21"/>
        <v>0.19163588483669489</v>
      </c>
      <c r="DO14" s="52">
        <f t="shared" si="22"/>
        <v>-0.24635902699177031</v>
      </c>
      <c r="DP14" s="52">
        <f t="shared" si="23"/>
        <v>3.613113363094262E-2</v>
      </c>
      <c r="DQ14" s="52">
        <f t="shared" si="24"/>
        <v>-0.53622227924082189</v>
      </c>
      <c r="DR14" s="52">
        <f t="shared" si="25"/>
        <v>-0.26342879488010484</v>
      </c>
      <c r="DS14" s="52">
        <f t="shared" si="26"/>
        <v>-0.27534411367951117</v>
      </c>
      <c r="DT14" s="52">
        <f t="shared" si="27"/>
        <v>0.27534411367951117</v>
      </c>
      <c r="DX14">
        <v>13</v>
      </c>
      <c r="DY14" s="19">
        <f t="shared" si="4"/>
        <v>2.2019557129478597</v>
      </c>
      <c r="EM14" s="21">
        <v>13</v>
      </c>
      <c r="EN14" s="16">
        <f t="shared" si="28"/>
        <v>2.7591596171813317E-2</v>
      </c>
      <c r="EO14" s="16">
        <f t="shared" si="5"/>
        <v>-2.1743641167760464</v>
      </c>
      <c r="EP14" s="16">
        <f t="shared" si="29"/>
        <v>-0.86253266273718809</v>
      </c>
      <c r="EQ14" s="16">
        <f t="shared" si="30"/>
        <v>0.74614022352065335</v>
      </c>
      <c r="ER14" s="16">
        <f t="shared" si="31"/>
        <v>1.6326779850395745</v>
      </c>
      <c r="ES14" s="16">
        <f t="shared" si="32"/>
        <v>-1.497253118595357</v>
      </c>
      <c r="ET14" s="16">
        <f t="shared" si="33"/>
        <v>-0.23258903310834844</v>
      </c>
      <c r="EU14" s="16">
        <f t="shared" si="34"/>
        <v>2.1328100982870875</v>
      </c>
      <c r="EW14" s="40">
        <f>'SATORI H4'!EW3</f>
        <v>4.0625652624477082</v>
      </c>
      <c r="EX14" s="39" t="str">
        <f>'SATORI H4'!EX3</f>
        <v>CHF</v>
      </c>
      <c r="FK14" s="20"/>
      <c r="FL14" s="20"/>
    </row>
    <row r="15" spans="1:170" ht="18.600000000000001" thickBot="1" x14ac:dyDescent="0.4">
      <c r="A15" s="37" t="s">
        <v>51</v>
      </c>
      <c r="B15" s="38">
        <v>13</v>
      </c>
      <c r="C15" s="63">
        <f>RTD("fxbluelabs.excelrtd", , "21422436","@bh,AUDUSD,h1,close,13")</f>
        <v>0.67493999999999998</v>
      </c>
      <c r="D15" s="64">
        <f>RTD("fxbluelabs.excelrtd", , "21422436","@bh,AUDNZD,h1,close,13")</f>
        <v>1.0952999999999999</v>
      </c>
      <c r="E15" s="65">
        <f>RTD("fxbluelabs.excelrtd", , "21422436","@bh,AUDJPY,h1,close,13")</f>
        <v>97.950999999999993</v>
      </c>
      <c r="F15" s="64">
        <f>RTD("fxbluelabs.excelrtd", , "21422436","@bh,AUDCHF,h1,close,13")</f>
        <v>0.57447999999999999</v>
      </c>
      <c r="G15" s="64">
        <f>RTD("fxbluelabs.excelrtd", , "21422436","@bh,AUDCAD,h1,close,13")</f>
        <v>0.91676999999999997</v>
      </c>
      <c r="H15" s="64">
        <f>RTD("fxbluelabs.excelrtd", , "21422436","@bh,EURUSD,h1,close,13")</f>
        <v>1.1155200000000001</v>
      </c>
      <c r="I15" s="64">
        <f>RTD("fxbluelabs.excelrtd", , "21422436","@bh,EURCAD,h1,close,13")</f>
        <v>1.51518</v>
      </c>
      <c r="J15" s="64">
        <f>RTD("fxbluelabs.excelrtd", , "21422436","@bh,EURGBP,h1,close,13")</f>
        <v>0.85202999999999995</v>
      </c>
      <c r="K15" s="64">
        <f>RTD("fxbluelabs.excelrtd", , "21422436","@bh,EURCHF,h1,close,13")</f>
        <v>0.94945000000000002</v>
      </c>
      <c r="L15" s="65">
        <f>RTD("fxbluelabs.excelrtd", , "21422436","@bh,EURJPY,h1,close,13")</f>
        <v>161.886</v>
      </c>
      <c r="M15" s="64">
        <f>RTD("fxbluelabs.excelrtd", , "21422436","@bh,EURAUD,h1,close,13")</f>
        <v>1.6527499999999999</v>
      </c>
      <c r="N15" s="64">
        <f>RTD("fxbluelabs.excelrtd", , "21422436","@bh,EURNZD,h1,close,13")</f>
        <v>1.81027</v>
      </c>
      <c r="O15" s="64">
        <f>RTD("fxbluelabs.excelrtd", , "21422436","@bh,GBPUSD,h1,close,13")</f>
        <v>1.30924</v>
      </c>
      <c r="P15" s="64">
        <f>RTD("fxbluelabs.excelrtd", , "21422436","@bh,GBPAUD,h1,close,13")</f>
        <v>1.93971</v>
      </c>
      <c r="Q15" s="64">
        <f>RTD("fxbluelabs.excelrtd", , "21422436","@bh,GBPNZD,h1,close,13")</f>
        <v>2.1246100000000001</v>
      </c>
      <c r="R15" s="64">
        <f>RTD("fxbluelabs.excelrtd", , "21422436","@bh,GBPCAD,h1,close,13")</f>
        <v>1.77826</v>
      </c>
      <c r="S15" s="64">
        <f>RTD("fxbluelabs.excelrtd", , "21422436","@bh,GBPCHF,h1,close,13")</f>
        <v>1.1142300000000001</v>
      </c>
      <c r="T15" s="65">
        <f>RTD("fxbluelabs.excelrtd", , "21422436","@bh,GBPJPY,h1,close,13")</f>
        <v>189.97499999999999</v>
      </c>
      <c r="U15" s="65">
        <f>RTD("fxbluelabs.excelrtd", , "21422436","@bh,NZDJPY,h1,close,13")</f>
        <v>89.424000000000007</v>
      </c>
      <c r="V15" s="64">
        <f>RTD("fxbluelabs.excelrtd", , "21422436","@bh,NZDCHF,h1,close,13")</f>
        <v>0.52446999999999999</v>
      </c>
      <c r="W15" s="64">
        <f>RTD("fxbluelabs.excelrtd", , "21422436","@bh,NZDUSD,h1,close,13")</f>
        <v>0.61619000000000002</v>
      </c>
      <c r="X15" s="64">
        <f>RTD("fxbluelabs.excelrtd", , "21422436","@bh,NZDCAD,h1,close,13")</f>
        <v>0.83694999999999997</v>
      </c>
      <c r="Y15" s="65">
        <f>RTD("fxbluelabs.excelrtd", , "21422436","@bh,CADJPY,h1,close,13")</f>
        <v>106.84099999999999</v>
      </c>
      <c r="Z15" s="64">
        <f>RTD("fxbluelabs.excelrtd", , "21422436","@bh,CADCHF,h1,close,13")</f>
        <v>0.62663000000000002</v>
      </c>
      <c r="AA15" s="65">
        <f>RTD("fxbluelabs.excelrtd", , "21422436","@bh,CHFJPY,h1,close,13")</f>
        <v>170.50200000000001</v>
      </c>
      <c r="AB15" s="64">
        <f>RTD("fxbluelabs.excelrtd", , "21422436","@bh,USDCAD,h1,close,13")</f>
        <v>1.3584099999999999</v>
      </c>
      <c r="AC15" s="64">
        <f>RTD("fxbluelabs.excelrtd", , "21422436","@bh,USDCHF,h1,close,13")</f>
        <v>0.85116000000000003</v>
      </c>
      <c r="AD15" s="66">
        <f>RTD("fxbluelabs.excelrtd", , "21422436","@bh,USDJPY,h1,close,13")</f>
        <v>145.125</v>
      </c>
      <c r="AH15" s="56">
        <v>14</v>
      </c>
      <c r="AI15" s="75">
        <f t="shared" si="35"/>
        <v>-1.7776197671319438E-2</v>
      </c>
      <c r="AJ15" s="75">
        <f t="shared" si="35"/>
        <v>-1.2780252683855711E-2</v>
      </c>
      <c r="AK15" s="75">
        <f t="shared" si="35"/>
        <v>0.14415703915754127</v>
      </c>
      <c r="AL15" s="75">
        <f t="shared" si="35"/>
        <v>2.2634282232082088E-2</v>
      </c>
      <c r="AM15" s="75">
        <f t="shared" si="35"/>
        <v>-3.0532686331176923E-2</v>
      </c>
      <c r="AN15" s="75">
        <f t="shared" si="35"/>
        <v>-1.0756157900388832E-2</v>
      </c>
      <c r="AO15" s="75">
        <f t="shared" si="35"/>
        <v>-2.4413579228661639E-2</v>
      </c>
      <c r="AP15" s="75">
        <f t="shared" si="35"/>
        <v>-5.8679936156223007E-3</v>
      </c>
      <c r="AQ15" s="75">
        <f t="shared" si="35"/>
        <v>2.5284183689596399E-2</v>
      </c>
      <c r="AR15" s="75">
        <f t="shared" si="35"/>
        <v>0.14971171215757481</v>
      </c>
      <c r="AS15" s="75">
        <f t="shared" si="35"/>
        <v>6.6560170393934826E-3</v>
      </c>
      <c r="AT15" s="75">
        <f t="shared" si="35"/>
        <v>-6.0760724267863372E-3</v>
      </c>
      <c r="AU15" s="75">
        <f t="shared" si="35"/>
        <v>-6.1100418537928091E-3</v>
      </c>
      <c r="AV15" s="75">
        <f t="shared" si="35"/>
        <v>8.7649648885820084E-3</v>
      </c>
      <c r="AW15" s="75">
        <f t="shared" si="35"/>
        <v>-3.7652551666398394E-3</v>
      </c>
      <c r="AX15" s="75">
        <f t="shared" si="35"/>
        <v>-2.1926742192118317E-2</v>
      </c>
      <c r="AY15" s="75">
        <f t="shared" si="1"/>
        <v>3.3217819115506565E-2</v>
      </c>
      <c r="AZ15" s="75">
        <f t="shared" si="1"/>
        <v>0.1539410490133547</v>
      </c>
      <c r="BA15" s="75">
        <f t="shared" si="1"/>
        <v>0.1556812454499748</v>
      </c>
      <c r="BB15" s="75">
        <f t="shared" si="1"/>
        <v>3.4332144423879524E-2</v>
      </c>
      <c r="BC15" s="75">
        <f t="shared" si="1"/>
        <v>-4.8683911589975162E-3</v>
      </c>
      <c r="BD15" s="75">
        <f t="shared" si="1"/>
        <v>-2.0307721712538643E-2</v>
      </c>
      <c r="BE15" s="75">
        <f t="shared" si="1"/>
        <v>0.17345484548453724</v>
      </c>
      <c r="BF15" s="75">
        <f t="shared" si="1"/>
        <v>5.4287949671878354E-2</v>
      </c>
      <c r="BG15" s="75">
        <f t="shared" si="1"/>
        <v>0.12566945410128641</v>
      </c>
      <c r="BH15" s="75">
        <f t="shared" si="1"/>
        <v>-1.4720928007316302E-2</v>
      </c>
      <c r="BI15" s="75">
        <f t="shared" si="1"/>
        <v>3.8785656359090828E-2</v>
      </c>
      <c r="BJ15" s="75">
        <f t="shared" si="1"/>
        <v>0.16011815615661165</v>
      </c>
      <c r="BN15" s="59">
        <v>14</v>
      </c>
      <c r="BO15" s="79">
        <f t="shared" si="6"/>
        <v>0.17107211498374539</v>
      </c>
      <c r="BP15" s="79">
        <f t="shared" si="2"/>
        <v>-0.19050869821128244</v>
      </c>
      <c r="BQ15" s="79">
        <f t="shared" si="38"/>
        <v>-0.50820740199479975</v>
      </c>
      <c r="BR15" s="79">
        <f t="shared" si="38"/>
        <v>-0.29508570578197169</v>
      </c>
      <c r="BS15" s="79">
        <f t="shared" si="38"/>
        <v>-1.5111034692073182E-2</v>
      </c>
      <c r="BT15" s="79">
        <f t="shared" si="38"/>
        <v>0.34257733226815407</v>
      </c>
      <c r="BU15" s="79">
        <f t="shared" si="38"/>
        <v>0.15483258653567128</v>
      </c>
      <c r="BV15" s="79">
        <f t="shared" si="38"/>
        <v>-0.15816710527357902</v>
      </c>
      <c r="BW15" s="79">
        <f t="shared" si="38"/>
        <v>-0.1270695220754422</v>
      </c>
      <c r="BX15" s="79">
        <f t="shared" si="38"/>
        <v>-0.34002590642773411</v>
      </c>
      <c r="BY15" s="79">
        <f t="shared" si="38"/>
        <v>0.17106411052115972</v>
      </c>
      <c r="BZ15" s="79">
        <f t="shared" si="38"/>
        <v>-1.9661648661199196E-2</v>
      </c>
      <c r="CA15" s="79">
        <f t="shared" si="38"/>
        <v>0.49966324888275693</v>
      </c>
      <c r="CB15" s="79">
        <f t="shared" si="38"/>
        <v>0.32572540510646464</v>
      </c>
      <c r="CC15" s="79">
        <f t="shared" si="38"/>
        <v>0.13690507211632685</v>
      </c>
      <c r="CD15" s="79">
        <f t="shared" si="38"/>
        <v>0.30947733421378187</v>
      </c>
      <c r="CE15" s="79">
        <f t="shared" si="38"/>
        <v>2.0922848273408241E-2</v>
      </c>
      <c r="CF15" s="79">
        <f t="shared" si="38"/>
        <v>-0.19453151850748202</v>
      </c>
      <c r="CG15" s="79">
        <f t="shared" si="38"/>
        <v>-0.31420373667956586</v>
      </c>
      <c r="CH15" s="79">
        <f t="shared" si="38"/>
        <v>-0.10075440408972638</v>
      </c>
      <c r="CI15" s="79">
        <f t="shared" si="38"/>
        <v>0.3680747315634168</v>
      </c>
      <c r="CJ15" s="79">
        <f t="shared" si="38"/>
        <v>0.17963380752022792</v>
      </c>
      <c r="CK15" s="79">
        <f t="shared" si="38"/>
        <v>-0.49554431501262153</v>
      </c>
      <c r="CL15" s="79">
        <f t="shared" si="38"/>
        <v>-0.28018168399149146</v>
      </c>
      <c r="CM15" s="79">
        <f t="shared" si="37"/>
        <v>-0.21388976852830646</v>
      </c>
      <c r="CN15" s="79">
        <f t="shared" si="37"/>
        <v>-0.18075104303044537</v>
      </c>
      <c r="CO15" s="79">
        <f t="shared" si="37"/>
        <v>-0.46603619051570344</v>
      </c>
      <c r="CP15" s="79">
        <f t="shared" si="37"/>
        <v>-0.6802360604639075</v>
      </c>
      <c r="CU15" s="56">
        <v>14</v>
      </c>
      <c r="CV15" s="58">
        <f t="shared" si="7"/>
        <v>2.3549846887030532E-2</v>
      </c>
      <c r="CW15" s="58">
        <f t="shared" si="8"/>
        <v>-2.7084107217081295</v>
      </c>
      <c r="CX15" s="58">
        <f t="shared" si="9"/>
        <v>-1.2238076495512757</v>
      </c>
      <c r="CY15" s="58">
        <f t="shared" si="10"/>
        <v>0.75413320566112896</v>
      </c>
      <c r="CZ15" s="58">
        <f t="shared" si="11"/>
        <v>1.2563294953588353</v>
      </c>
      <c r="DA15" s="58">
        <f t="shared" si="12"/>
        <v>-1.3346302413240061</v>
      </c>
      <c r="DB15" s="58">
        <f t="shared" si="13"/>
        <v>0.20601567307050722</v>
      </c>
      <c r="DC15" s="58">
        <f t="shared" si="14"/>
        <v>2.7466387076144172</v>
      </c>
      <c r="DF15" s="51">
        <v>14</v>
      </c>
      <c r="DG15" s="54">
        <f t="shared" si="36"/>
        <v>-0.18075104303044537</v>
      </c>
      <c r="DH15" s="54">
        <f t="shared" si="15"/>
        <v>0.15483258653567128</v>
      </c>
      <c r="DI15" s="54">
        <f t="shared" si="16"/>
        <v>-0.46603619051570344</v>
      </c>
      <c r="DJ15" s="54">
        <f t="shared" si="17"/>
        <v>-0.1270695220754422</v>
      </c>
      <c r="DK15" s="54">
        <f t="shared" si="18"/>
        <v>-0.49966324888275693</v>
      </c>
      <c r="DL15" s="54">
        <f t="shared" si="19"/>
        <v>-0.15816710527357902</v>
      </c>
      <c r="DM15" s="54">
        <f t="shared" si="20"/>
        <v>-0.17107211498374539</v>
      </c>
      <c r="DN15" s="54">
        <f t="shared" si="21"/>
        <v>0.17106411052115972</v>
      </c>
      <c r="DO15" s="54">
        <f t="shared" si="22"/>
        <v>-0.3680747315634168</v>
      </c>
      <c r="DP15" s="54">
        <f t="shared" si="23"/>
        <v>-1.9661648661199196E-2</v>
      </c>
      <c r="DQ15" s="54">
        <f t="shared" si="24"/>
        <v>-0.6802360604639075</v>
      </c>
      <c r="DR15" s="54">
        <f t="shared" si="25"/>
        <v>-0.34002590642773411</v>
      </c>
      <c r="DS15" s="54">
        <f t="shared" si="26"/>
        <v>-0.34257733226815407</v>
      </c>
      <c r="DT15" s="54">
        <f t="shared" si="27"/>
        <v>0.34257733226815407</v>
      </c>
      <c r="DX15">
        <v>14</v>
      </c>
      <c r="DY15" s="19">
        <f t="shared" si="4"/>
        <v>2.7319605685951598</v>
      </c>
      <c r="EM15" s="21">
        <v>14</v>
      </c>
      <c r="EN15" s="16">
        <f t="shared" si="28"/>
        <v>2.3549846887030532E-2</v>
      </c>
      <c r="EO15" s="16">
        <f t="shared" si="5"/>
        <v>-2.7084107217081295</v>
      </c>
      <c r="EP15" s="16">
        <f t="shared" si="29"/>
        <v>-1.2238076495512757</v>
      </c>
      <c r="EQ15" s="16">
        <f t="shared" si="30"/>
        <v>0.75413320566112896</v>
      </c>
      <c r="ER15" s="16">
        <f t="shared" si="31"/>
        <v>1.2563294953588353</v>
      </c>
      <c r="ES15" s="16">
        <f t="shared" si="32"/>
        <v>-1.3346302413240061</v>
      </c>
      <c r="ET15" s="16">
        <f t="shared" si="33"/>
        <v>0.20601567307050722</v>
      </c>
      <c r="EU15" s="16">
        <f t="shared" si="34"/>
        <v>2.7466387076144172</v>
      </c>
      <c r="EW15" s="40">
        <f>'SATORI H4'!EW4</f>
        <v>2.5349526631211283</v>
      </c>
      <c r="EX15" s="39" t="str">
        <f>'SATORI H4'!EX4</f>
        <v>JPY</v>
      </c>
      <c r="FK15" s="20"/>
      <c r="FL15" s="20"/>
    </row>
    <row r="16" spans="1:170" ht="18.600000000000001" thickBot="1" x14ac:dyDescent="0.4">
      <c r="A16" s="37" t="s">
        <v>51</v>
      </c>
      <c r="B16" s="38">
        <v>14</v>
      </c>
      <c r="C16" s="63">
        <f>RTD("fxbluelabs.excelrtd", , "21422436","@bh,AUDUSD,h1,close,14")</f>
        <v>0.67505999999999999</v>
      </c>
      <c r="D16" s="64">
        <f>RTD("fxbluelabs.excelrtd", , "21422436","@bh,AUDNZD,h1,close,14")</f>
        <v>1.09544</v>
      </c>
      <c r="E16" s="65">
        <f>RTD("fxbluelabs.excelrtd", , "21422436","@bh,AUDJPY,h1,close,14")</f>
        <v>97.81</v>
      </c>
      <c r="F16" s="64">
        <f>RTD("fxbluelabs.excelrtd", , "21422436","@bh,AUDCHF,h1,close,14")</f>
        <v>0.57435000000000003</v>
      </c>
      <c r="G16" s="64">
        <f>RTD("fxbluelabs.excelrtd", , "21422436","@bh,AUDCAD,h1,close,14")</f>
        <v>0.91705000000000003</v>
      </c>
      <c r="H16" s="64">
        <f>RTD("fxbluelabs.excelrtd", , "21422436","@bh,EURUSD,h1,close,14")</f>
        <v>1.11564</v>
      </c>
      <c r="I16" s="64">
        <f>RTD("fxbluelabs.excelrtd", , "21422436","@bh,EURCAD,h1,close,14")</f>
        <v>1.51555</v>
      </c>
      <c r="J16" s="64">
        <f>RTD("fxbluelabs.excelrtd", , "21422436","@bh,EURGBP,h1,close,14")</f>
        <v>0.85207999999999995</v>
      </c>
      <c r="K16" s="64">
        <f>RTD("fxbluelabs.excelrtd", , "21422436","@bh,EURCHF,h1,close,14")</f>
        <v>0.94921</v>
      </c>
      <c r="L16" s="65">
        <f>RTD("fxbluelabs.excelrtd", , "21422436","@bh,EURJPY,h1,close,14")</f>
        <v>161.64400000000001</v>
      </c>
      <c r="M16" s="64">
        <f>RTD("fxbluelabs.excelrtd", , "21422436","@bh,EURAUD,h1,close,14")</f>
        <v>1.6526400000000001</v>
      </c>
      <c r="N16" s="64">
        <f>RTD("fxbluelabs.excelrtd", , "21422436","@bh,EURNZD,h1,close,14")</f>
        <v>1.8103800000000001</v>
      </c>
      <c r="O16" s="64">
        <f>RTD("fxbluelabs.excelrtd", , "21422436","@bh,GBPUSD,h1,close,14")</f>
        <v>1.30932</v>
      </c>
      <c r="P16" s="64">
        <f>RTD("fxbluelabs.excelrtd", , "21422436","@bh,GBPAUD,h1,close,14")</f>
        <v>1.93954</v>
      </c>
      <c r="Q16" s="64">
        <f>RTD("fxbluelabs.excelrtd", , "21422436","@bh,GBPNZD,h1,close,14")</f>
        <v>2.1246900000000002</v>
      </c>
      <c r="R16" s="64">
        <f>RTD("fxbluelabs.excelrtd", , "21422436","@bh,GBPCAD,h1,close,14")</f>
        <v>1.7786500000000001</v>
      </c>
      <c r="S16" s="64">
        <f>RTD("fxbluelabs.excelrtd", , "21422436","@bh,GBPCHF,h1,close,14")</f>
        <v>1.1138600000000001</v>
      </c>
      <c r="T16" s="65">
        <f>RTD("fxbluelabs.excelrtd", , "21422436","@bh,GBPJPY,h1,close,14")</f>
        <v>189.68299999999999</v>
      </c>
      <c r="U16" s="65">
        <f>RTD("fxbluelabs.excelrtd", , "21422436","@bh,NZDJPY,h1,close,14")</f>
        <v>89.284999999999997</v>
      </c>
      <c r="V16" s="64">
        <f>RTD("fxbluelabs.excelrtd", , "21422436","@bh,NZDCHF,h1,close,14")</f>
        <v>0.52429000000000003</v>
      </c>
      <c r="W16" s="64">
        <f>RTD("fxbluelabs.excelrtd", , "21422436","@bh,NZDUSD,h1,close,14")</f>
        <v>0.61621999999999999</v>
      </c>
      <c r="X16" s="64">
        <f>RTD("fxbluelabs.excelrtd", , "21422436","@bh,NZDCAD,h1,close,14")</f>
        <v>0.83711999999999998</v>
      </c>
      <c r="Y16" s="65">
        <f>RTD("fxbluelabs.excelrtd", , "21422436","@bh,CADJPY,h1,close,14")</f>
        <v>106.65600000000001</v>
      </c>
      <c r="Z16" s="64">
        <f>RTD("fxbluelabs.excelrtd", , "21422436","@bh,CADCHF,h1,close,14")</f>
        <v>0.62629000000000001</v>
      </c>
      <c r="AA16" s="65">
        <f>RTD("fxbluelabs.excelrtd", , "21422436","@bh,CHFJPY,h1,close,14")</f>
        <v>170.28800000000001</v>
      </c>
      <c r="AB16" s="64">
        <f>RTD("fxbluelabs.excelrtd", , "21422436","@bh,USDCAD,h1,close,14")</f>
        <v>1.3586100000000001</v>
      </c>
      <c r="AC16" s="64">
        <f>RTD("fxbluelabs.excelrtd", , "21422436","@bh,USDCHF,h1,close,14")</f>
        <v>0.85082999999999998</v>
      </c>
      <c r="AD16" s="66">
        <f>RTD("fxbluelabs.excelrtd", , "21422436","@bh,USDJPY,h1,close,14")</f>
        <v>144.893</v>
      </c>
      <c r="AH16" s="56">
        <v>15</v>
      </c>
      <c r="AI16" s="74">
        <f t="shared" si="35"/>
        <v>0.12904374137854871</v>
      </c>
      <c r="AJ16" s="74">
        <f t="shared" si="35"/>
        <v>4.3837217797913712E-2</v>
      </c>
      <c r="AK16" s="74">
        <f t="shared" si="35"/>
        <v>-6.2326940564613464E-2</v>
      </c>
      <c r="AL16" s="74">
        <f t="shared" si="35"/>
        <v>8.5386679677968563E-2</v>
      </c>
      <c r="AM16" s="74">
        <f t="shared" si="35"/>
        <v>7.8574312747596825E-2</v>
      </c>
      <c r="AN16" s="74">
        <f>IF(H16=0,0,(H16-H17)*100/H17)</f>
        <v>7.8043004386548473E-2</v>
      </c>
      <c r="AO16" s="74">
        <f t="shared" si="35"/>
        <v>2.5079694027735962E-2</v>
      </c>
      <c r="AP16" s="74">
        <f t="shared" si="35"/>
        <v>7.0465542349783195E-2</v>
      </c>
      <c r="AQ16" s="74">
        <f t="shared" si="35"/>
        <v>6.3214455038665103E-3</v>
      </c>
      <c r="AR16" s="74">
        <f t="shared" si="35"/>
        <v>-0.12110726643598489</v>
      </c>
      <c r="AS16" s="74">
        <f t="shared" si="35"/>
        <v>-2.4802637548761348E-2</v>
      </c>
      <c r="AT16" s="74">
        <f t="shared" si="35"/>
        <v>-8.28486686218248E-3</v>
      </c>
      <c r="AU16" s="74">
        <f t="shared" si="35"/>
        <v>1.4513455500991843E-2</v>
      </c>
      <c r="AV16" s="74">
        <f t="shared" si="35"/>
        <v>-8.4999407579882919E-2</v>
      </c>
      <c r="AW16" s="74">
        <f t="shared" si="35"/>
        <v>-6.8668720457154706E-2</v>
      </c>
      <c r="AX16" s="74">
        <f t="shared" si="35"/>
        <v>-3.5407580594392585E-2</v>
      </c>
      <c r="AY16" s="74">
        <f t="shared" si="1"/>
        <v>-2.9617928719512961E-2</v>
      </c>
      <c r="AZ16" s="74">
        <f t="shared" si="1"/>
        <v>-0.17629908745487688</v>
      </c>
      <c r="BA16" s="74">
        <f t="shared" si="1"/>
        <v>-6.3799780618300647E-2</v>
      </c>
      <c r="BB16" s="74">
        <f t="shared" si="1"/>
        <v>8.39935095924398E-2</v>
      </c>
      <c r="BC16" s="74">
        <f t="shared" si="1"/>
        <v>0.12836553304193124</v>
      </c>
      <c r="BD16" s="74">
        <f t="shared" si="1"/>
        <v>7.6511094108642638E-2</v>
      </c>
      <c r="BE16" s="74">
        <f t="shared" si="1"/>
        <v>-0.11706202414287185</v>
      </c>
      <c r="BF16" s="74">
        <f t="shared" si="1"/>
        <v>3.0346590001600941E-2</v>
      </c>
      <c r="BG16" s="74">
        <f t="shared" si="1"/>
        <v>-4.8717211262479181E-2</v>
      </c>
      <c r="BH16" s="74">
        <f t="shared" si="1"/>
        <v>-5.3702532111164047E-2</v>
      </c>
      <c r="BI16" s="74">
        <f t="shared" si="1"/>
        <v>-4.3468045112779775E-2</v>
      </c>
      <c r="BJ16" s="74">
        <f t="shared" si="1"/>
        <v>-0.18943568830596666</v>
      </c>
      <c r="BN16" s="59">
        <v>15</v>
      </c>
      <c r="BO16" s="78">
        <f t="shared" si="6"/>
        <v>0.18884831265506483</v>
      </c>
      <c r="BP16" s="78">
        <f t="shared" si="2"/>
        <v>-0.17772844552742673</v>
      </c>
      <c r="BQ16" s="78">
        <f t="shared" si="38"/>
        <v>-0.65236444115234105</v>
      </c>
      <c r="BR16" s="78">
        <f t="shared" si="38"/>
        <v>-0.31771998801405388</v>
      </c>
      <c r="BS16" s="78">
        <f t="shared" si="38"/>
        <v>1.5421651639103737E-2</v>
      </c>
      <c r="BT16" s="78">
        <f t="shared" si="38"/>
        <v>0.35333349016854287</v>
      </c>
      <c r="BU16" s="78">
        <f t="shared" si="38"/>
        <v>0.17924616576433292</v>
      </c>
      <c r="BV16" s="78">
        <f t="shared" si="38"/>
        <v>-0.15229911165795673</v>
      </c>
      <c r="BW16" s="78">
        <f t="shared" si="38"/>
        <v>-0.15235370576503862</v>
      </c>
      <c r="BX16" s="78">
        <f t="shared" si="38"/>
        <v>-0.48973761858530901</v>
      </c>
      <c r="BY16" s="78">
        <f t="shared" si="38"/>
        <v>0.16440809348176622</v>
      </c>
      <c r="BZ16" s="78">
        <f t="shared" si="38"/>
        <v>-1.3585576234412845E-2</v>
      </c>
      <c r="CA16" s="78">
        <f t="shared" si="38"/>
        <v>0.50577329073654975</v>
      </c>
      <c r="CB16" s="78">
        <f t="shared" si="38"/>
        <v>0.31696044021788261</v>
      </c>
      <c r="CC16" s="78">
        <f t="shared" si="38"/>
        <v>0.14067032728296669</v>
      </c>
      <c r="CD16" s="78">
        <f t="shared" si="38"/>
        <v>0.33140407640590025</v>
      </c>
      <c r="CE16" s="78">
        <f t="shared" si="38"/>
        <v>-1.2294970842098293E-2</v>
      </c>
      <c r="CF16" s="78">
        <f t="shared" si="38"/>
        <v>-0.34847256752083672</v>
      </c>
      <c r="CG16" s="78">
        <f t="shared" si="38"/>
        <v>-0.46988498212954061</v>
      </c>
      <c r="CH16" s="78">
        <f t="shared" si="38"/>
        <v>-0.13508654851360596</v>
      </c>
      <c r="CI16" s="78">
        <f t="shared" si="38"/>
        <v>0.37294312272241426</v>
      </c>
      <c r="CJ16" s="78">
        <f t="shared" si="38"/>
        <v>0.19994152923276653</v>
      </c>
      <c r="CK16" s="78">
        <f t="shared" si="38"/>
        <v>-0.6689991604971588</v>
      </c>
      <c r="CL16" s="78">
        <f t="shared" si="38"/>
        <v>-0.33446963366336985</v>
      </c>
      <c r="CM16" s="78">
        <f t="shared" si="37"/>
        <v>-0.33955922262959287</v>
      </c>
      <c r="CN16" s="78">
        <f t="shared" si="37"/>
        <v>-0.16603011502312906</v>
      </c>
      <c r="CO16" s="78">
        <f t="shared" si="37"/>
        <v>-0.50482184687479437</v>
      </c>
      <c r="CP16" s="78">
        <f t="shared" si="37"/>
        <v>-0.84035421662051923</v>
      </c>
      <c r="CU16" s="56">
        <v>15</v>
      </c>
      <c r="CV16" s="57">
        <f t="shared" si="7"/>
        <v>-0.1109882628280752</v>
      </c>
      <c r="CW16" s="57">
        <f t="shared" si="8"/>
        <v>-2.9321043948010144</v>
      </c>
      <c r="CX16" s="57">
        <f t="shared" si="9"/>
        <v>-1.5634521021795031</v>
      </c>
      <c r="CY16" s="57">
        <f t="shared" si="10"/>
        <v>0.78271783737999823</v>
      </c>
      <c r="CZ16" s="57">
        <f t="shared" si="11"/>
        <v>1.086339707938321</v>
      </c>
      <c r="DA16" s="57">
        <f t="shared" si="12"/>
        <v>-1.424911444099302</v>
      </c>
      <c r="DB16" s="57">
        <f t="shared" si="13"/>
        <v>1.8556815790907094E-2</v>
      </c>
      <c r="DC16" s="57">
        <f t="shared" si="14"/>
        <v>3.8093722091352986</v>
      </c>
      <c r="DF16" s="53">
        <v>15</v>
      </c>
      <c r="DG16" s="52">
        <f t="shared" si="36"/>
        <v>-0.16603011502312906</v>
      </c>
      <c r="DH16" s="52">
        <f t="shared" si="15"/>
        <v>0.17924616576433292</v>
      </c>
      <c r="DI16" s="52">
        <f t="shared" si="16"/>
        <v>-0.50482184687479437</v>
      </c>
      <c r="DJ16" s="52">
        <f t="shared" si="17"/>
        <v>-0.15235370576503862</v>
      </c>
      <c r="DK16" s="52">
        <f t="shared" si="18"/>
        <v>-0.50577329073654975</v>
      </c>
      <c r="DL16" s="52">
        <f t="shared" si="19"/>
        <v>-0.15229911165795673</v>
      </c>
      <c r="DM16" s="52">
        <f t="shared" si="20"/>
        <v>-0.18884831265506483</v>
      </c>
      <c r="DN16" s="52">
        <f t="shared" si="21"/>
        <v>0.16440809348176622</v>
      </c>
      <c r="DO16" s="52">
        <f t="shared" si="22"/>
        <v>-0.37294312272241426</v>
      </c>
      <c r="DP16" s="52">
        <f t="shared" si="23"/>
        <v>-1.3585576234412845E-2</v>
      </c>
      <c r="DQ16" s="52">
        <f t="shared" si="24"/>
        <v>-0.84035421662051923</v>
      </c>
      <c r="DR16" s="52">
        <f t="shared" si="25"/>
        <v>-0.48973761858530901</v>
      </c>
      <c r="DS16" s="52">
        <f t="shared" si="26"/>
        <v>-0.35333349016854287</v>
      </c>
      <c r="DT16" s="52">
        <f t="shared" si="27"/>
        <v>0.35333349016854287</v>
      </c>
      <c r="DX16">
        <v>15</v>
      </c>
      <c r="DY16" s="19">
        <f t="shared" si="4"/>
        <v>2.8211161319729392</v>
      </c>
      <c r="EM16" s="21">
        <v>15</v>
      </c>
      <c r="EN16" s="16">
        <f t="shared" si="28"/>
        <v>-0.1109882628280752</v>
      </c>
      <c r="EO16" s="16">
        <f t="shared" si="5"/>
        <v>-2.9321043948010144</v>
      </c>
      <c r="EP16" s="16">
        <f t="shared" si="29"/>
        <v>-1.5634521021795031</v>
      </c>
      <c r="EQ16" s="16">
        <f t="shared" si="30"/>
        <v>0.78271783737999823</v>
      </c>
      <c r="ER16" s="16">
        <f t="shared" si="31"/>
        <v>1.086339707938321</v>
      </c>
      <c r="ES16" s="16">
        <f t="shared" si="32"/>
        <v>-1.424911444099302</v>
      </c>
      <c r="ET16" s="16">
        <f t="shared" si="33"/>
        <v>1.8556815790907094E-2</v>
      </c>
      <c r="EU16" s="16">
        <f t="shared" si="34"/>
        <v>3.8093722091352986</v>
      </c>
      <c r="EW16" s="40">
        <f>'SATORI H4'!EW5</f>
        <v>1.9246426533636332</v>
      </c>
      <c r="EX16" s="39" t="str">
        <f>'SATORI H4'!EX5</f>
        <v>GBP</v>
      </c>
      <c r="FK16" s="20"/>
      <c r="FL16" s="20"/>
    </row>
    <row r="17" spans="1:168" ht="18.600000000000001" thickBot="1" x14ac:dyDescent="0.4">
      <c r="A17" s="37" t="s">
        <v>51</v>
      </c>
      <c r="B17" s="38">
        <v>15</v>
      </c>
      <c r="C17" s="63">
        <f>RTD("fxbluelabs.excelrtd", , "21422436","@bh,AUDUSD,h1,close,15")</f>
        <v>0.67418999999999996</v>
      </c>
      <c r="D17" s="64">
        <f>RTD("fxbluelabs.excelrtd", , "21422436","@bh,AUDNZD,h1,close,15")</f>
        <v>1.0949599999999999</v>
      </c>
      <c r="E17" s="65">
        <f>RTD("fxbluelabs.excelrtd", , "21422436","@bh,AUDJPY,h1,close,15")</f>
        <v>97.870999999999995</v>
      </c>
      <c r="F17" s="64">
        <f>RTD("fxbluelabs.excelrtd", , "21422436","@bh,AUDCHF,h1,close,15")</f>
        <v>0.57386000000000004</v>
      </c>
      <c r="G17" s="64">
        <f>RTD("fxbluelabs.excelrtd", , "21422436","@bh,AUDCAD,h1,close,15")</f>
        <v>0.91632999999999998</v>
      </c>
      <c r="H17" s="64">
        <f>RTD("fxbluelabs.excelrtd", , "21422436","@bh,EURUSD,h1,close,15")</f>
        <v>1.11477</v>
      </c>
      <c r="I17" s="64">
        <f>RTD("fxbluelabs.excelrtd", , "21422436","@bh,EURCAD,h1,close,15")</f>
        <v>1.5151699999999999</v>
      </c>
      <c r="J17" s="64">
        <f>RTD("fxbluelabs.excelrtd", , "21422436","@bh,EURGBP,h1,close,15")</f>
        <v>0.85148000000000001</v>
      </c>
      <c r="K17" s="64">
        <f>RTD("fxbluelabs.excelrtd", , "21422436","@bh,EURCHF,h1,close,15")</f>
        <v>0.94915000000000005</v>
      </c>
      <c r="L17" s="65">
        <f>RTD("fxbluelabs.excelrtd", , "21422436","@bh,EURJPY,h1,close,15")</f>
        <v>161.84</v>
      </c>
      <c r="M17" s="64">
        <f>RTD("fxbluelabs.excelrtd", , "21422436","@bh,EURAUD,h1,close,15")</f>
        <v>1.6530499999999999</v>
      </c>
      <c r="N17" s="64">
        <f>RTD("fxbluelabs.excelrtd", , "21422436","@bh,EURNZD,h1,close,15")</f>
        <v>1.81053</v>
      </c>
      <c r="O17" s="64">
        <f>RTD("fxbluelabs.excelrtd", , "21422436","@bh,GBPUSD,h1,close,15")</f>
        <v>1.3091299999999999</v>
      </c>
      <c r="P17" s="64">
        <f>RTD("fxbluelabs.excelrtd", , "21422436","@bh,GBPAUD,h1,close,15")</f>
        <v>1.94119</v>
      </c>
      <c r="Q17" s="64">
        <f>RTD("fxbluelabs.excelrtd", , "21422436","@bh,GBPNZD,h1,close,15")</f>
        <v>2.12615</v>
      </c>
      <c r="R17" s="64">
        <f>RTD("fxbluelabs.excelrtd", , "21422436","@bh,GBPCAD,h1,close,15")</f>
        <v>1.77928</v>
      </c>
      <c r="S17" s="64">
        <f>RTD("fxbluelabs.excelrtd", , "21422436","@bh,GBPCHF,h1,close,15")</f>
        <v>1.11419</v>
      </c>
      <c r="T17" s="65">
        <f>RTD("fxbluelabs.excelrtd", , "21422436","@bh,GBPJPY,h1,close,15")</f>
        <v>190.018</v>
      </c>
      <c r="U17" s="65">
        <f>RTD("fxbluelabs.excelrtd", , "21422436","@bh,NZDJPY,h1,close,15")</f>
        <v>89.341999999999999</v>
      </c>
      <c r="V17" s="64">
        <f>RTD("fxbluelabs.excelrtd", , "21422436","@bh,NZDCHF,h1,close,15")</f>
        <v>0.52385000000000004</v>
      </c>
      <c r="W17" s="64">
        <f>RTD("fxbluelabs.excelrtd", , "21422436","@bh,NZDUSD,h1,close,15")</f>
        <v>0.61543000000000003</v>
      </c>
      <c r="X17" s="64">
        <f>RTD("fxbluelabs.excelrtd", , "21422436","@bh,NZDCAD,h1,close,15")</f>
        <v>0.83648</v>
      </c>
      <c r="Y17" s="65">
        <f>RTD("fxbluelabs.excelrtd", , "21422436","@bh,CADJPY,h1,close,15")</f>
        <v>106.78100000000001</v>
      </c>
      <c r="Z17" s="64">
        <f>RTD("fxbluelabs.excelrtd", , "21422436","@bh,CADCHF,h1,close,15")</f>
        <v>0.62609999999999999</v>
      </c>
      <c r="AA17" s="65">
        <f>RTD("fxbluelabs.excelrtd", , "21422436","@bh,CHFJPY,h1,close,15")</f>
        <v>170.37100000000001</v>
      </c>
      <c r="AB17" s="64">
        <f>RTD("fxbluelabs.excelrtd", , "21422436","@bh,USDCAD,h1,close,15")</f>
        <v>1.35934</v>
      </c>
      <c r="AC17" s="64">
        <f>RTD("fxbluelabs.excelrtd", , "21422436","@bh,USDCHF,h1,close,15")</f>
        <v>0.85119999999999996</v>
      </c>
      <c r="AD17" s="66">
        <f>RTD("fxbluelabs.excelrtd", , "21422436","@bh,USDJPY,h1,close,15")</f>
        <v>145.16800000000001</v>
      </c>
      <c r="AH17" s="56">
        <v>16</v>
      </c>
      <c r="AI17" s="75">
        <f t="shared" si="35"/>
        <v>-3.2621105855488206E-2</v>
      </c>
      <c r="AJ17" s="75">
        <f t="shared" si="35"/>
        <v>-3.651767455448035E-2</v>
      </c>
      <c r="AK17" s="75">
        <f t="shared" si="35"/>
        <v>-0.10411031610750295</v>
      </c>
      <c r="AL17" s="75">
        <f t="shared" si="35"/>
        <v>-8.5313833028639402E-2</v>
      </c>
      <c r="AM17" s="75">
        <f t="shared" si="35"/>
        <v>-4.1452585877763626E-2</v>
      </c>
      <c r="AN17" s="75">
        <f t="shared" si="35"/>
        <v>-1.9731118664731252E-2</v>
      </c>
      <c r="AO17" s="75">
        <f t="shared" si="35"/>
        <v>-2.837160200581634E-2</v>
      </c>
      <c r="AP17" s="75">
        <f t="shared" si="35"/>
        <v>-3.1699442324624884E-2</v>
      </c>
      <c r="AQ17" s="75">
        <f t="shared" si="35"/>
        <v>-4.8440938911753766E-2</v>
      </c>
      <c r="AR17" s="75">
        <f t="shared" si="35"/>
        <v>-8.7047246281965876E-2</v>
      </c>
      <c r="AS17" s="75">
        <f t="shared" si="35"/>
        <v>-9.678141312970524E-3</v>
      </c>
      <c r="AT17" s="75">
        <f t="shared" si="35"/>
        <v>-2.8712625272636093E-2</v>
      </c>
      <c r="AU17" s="75">
        <f t="shared" si="35"/>
        <v>3.0555576774567031E-3</v>
      </c>
      <c r="AV17" s="75">
        <f t="shared" si="35"/>
        <v>9.7887686759357273E-3</v>
      </c>
      <c r="AW17" s="75">
        <f t="shared" si="35"/>
        <v>1.8813702019094946E-3</v>
      </c>
      <c r="AX17" s="75">
        <f t="shared" si="35"/>
        <v>-8.9915928606717835E-3</v>
      </c>
      <c r="AY17" s="75">
        <f t="shared" si="1"/>
        <v>-6.1890068886344664E-2</v>
      </c>
      <c r="AZ17" s="75">
        <f t="shared" si="1"/>
        <v>-8.1504735162195016E-2</v>
      </c>
      <c r="BA17" s="75">
        <f t="shared" si="1"/>
        <v>-7.1583562624440378E-2</v>
      </c>
      <c r="BB17" s="75">
        <f t="shared" si="1"/>
        <v>-6.1048896350418172E-2</v>
      </c>
      <c r="BC17" s="75">
        <f t="shared" si="1"/>
        <v>-4.38525255806387E-2</v>
      </c>
      <c r="BD17" s="75">
        <f t="shared" si="1"/>
        <v>-4.3018976148370892E-2</v>
      </c>
      <c r="BE17" s="75">
        <f t="shared" si="1"/>
        <v>-7.9538861752094916E-2</v>
      </c>
      <c r="BF17" s="75">
        <f t="shared" si="1"/>
        <v>-6.2251592204185455E-2</v>
      </c>
      <c r="BG17" s="75">
        <f t="shared" si="1"/>
        <v>-0.11315400670715019</v>
      </c>
      <c r="BH17" s="75">
        <f t="shared" si="1"/>
        <v>0</v>
      </c>
      <c r="BI17" s="75">
        <f t="shared" si="1"/>
        <v>-5.5185693989465573E-2</v>
      </c>
      <c r="BJ17" s="75">
        <f t="shared" si="1"/>
        <v>-7.1589845255785697E-2</v>
      </c>
      <c r="BN17" s="59">
        <v>16</v>
      </c>
      <c r="BO17" s="79">
        <f t="shared" si="6"/>
        <v>5.9804571276516089E-2</v>
      </c>
      <c r="BP17" s="79">
        <f t="shared" si="2"/>
        <v>-0.22156566332534045</v>
      </c>
      <c r="BQ17" s="79">
        <f t="shared" si="38"/>
        <v>-0.59003750058772764</v>
      </c>
      <c r="BR17" s="79">
        <f t="shared" si="38"/>
        <v>-0.4031066676920223</v>
      </c>
      <c r="BS17" s="79">
        <f t="shared" si="38"/>
        <v>-6.3152661108493088E-2</v>
      </c>
      <c r="BT17" s="79">
        <f t="shared" si="38"/>
        <v>0.27529048578199439</v>
      </c>
      <c r="BU17" s="79">
        <f t="shared" si="38"/>
        <v>0.15416647173659689</v>
      </c>
      <c r="BV17" s="79">
        <f t="shared" si="38"/>
        <v>-0.2227646540077399</v>
      </c>
      <c r="BW17" s="79">
        <f t="shared" si="38"/>
        <v>-0.15867515126890511</v>
      </c>
      <c r="BX17" s="79">
        <f t="shared" si="38"/>
        <v>-0.36863035214932405</v>
      </c>
      <c r="BY17" s="79">
        <f t="shared" si="38"/>
        <v>0.18921073103052757</v>
      </c>
      <c r="BZ17" s="79">
        <f t="shared" si="38"/>
        <v>-5.3007093722303861E-3</v>
      </c>
      <c r="CA17" s="79">
        <f t="shared" si="38"/>
        <v>0.49125983523555794</v>
      </c>
      <c r="CB17" s="79">
        <f t="shared" si="38"/>
        <v>0.4019598477977655</v>
      </c>
      <c r="CC17" s="79">
        <f t="shared" si="38"/>
        <v>0.20933904774012141</v>
      </c>
      <c r="CD17" s="79">
        <f t="shared" si="38"/>
        <v>0.36681165700029278</v>
      </c>
      <c r="CE17" s="79">
        <f t="shared" si="38"/>
        <v>1.7322957877414662E-2</v>
      </c>
      <c r="CF17" s="79">
        <f t="shared" si="38"/>
        <v>-0.17217348006595984</v>
      </c>
      <c r="CG17" s="79">
        <f t="shared" si="38"/>
        <v>-0.40608520151123995</v>
      </c>
      <c r="CH17" s="79">
        <f t="shared" si="38"/>
        <v>-0.21908005810604569</v>
      </c>
      <c r="CI17" s="79">
        <f t="shared" si="38"/>
        <v>0.24457758968048302</v>
      </c>
      <c r="CJ17" s="79">
        <f t="shared" si="38"/>
        <v>0.12343043512412394</v>
      </c>
      <c r="CK17" s="79">
        <f t="shared" si="38"/>
        <v>-0.55193713635428698</v>
      </c>
      <c r="CL17" s="79">
        <f t="shared" si="38"/>
        <v>-0.36481622366497074</v>
      </c>
      <c r="CM17" s="79">
        <f t="shared" si="37"/>
        <v>-0.29084201136711368</v>
      </c>
      <c r="CN17" s="79">
        <f t="shared" si="37"/>
        <v>-0.11232758291196501</v>
      </c>
      <c r="CO17" s="79">
        <f t="shared" si="37"/>
        <v>-0.46135380176201457</v>
      </c>
      <c r="CP17" s="79">
        <f t="shared" si="37"/>
        <v>-0.65091852831455255</v>
      </c>
      <c r="CU17" s="56">
        <v>16</v>
      </c>
      <c r="CV17" s="58">
        <f t="shared" si="7"/>
        <v>-0.13670317824908063</v>
      </c>
      <c r="CW17" s="58">
        <f t="shared" si="8"/>
        <v>-2.2955323949630833</v>
      </c>
      <c r="CX17" s="58">
        <f t="shared" si="9"/>
        <v>-1.3856816798598133</v>
      </c>
      <c r="CY17" s="58">
        <f t="shared" si="10"/>
        <v>0.93405070958445935</v>
      </c>
      <c r="CZ17" s="58">
        <f t="shared" si="11"/>
        <v>1.5372845195929323</v>
      </c>
      <c r="DA17" s="58">
        <f t="shared" si="12"/>
        <v>-1.8092285002653605</v>
      </c>
      <c r="DB17" s="58">
        <f t="shared" si="13"/>
        <v>-0.23962990985522925</v>
      </c>
      <c r="DC17" s="58">
        <f t="shared" si="14"/>
        <v>3.0306242103502044</v>
      </c>
      <c r="DF17" s="51">
        <v>16</v>
      </c>
      <c r="DG17" s="54">
        <f t="shared" si="36"/>
        <v>-0.11232758291196501</v>
      </c>
      <c r="DH17" s="54">
        <f t="shared" si="15"/>
        <v>0.15416647173659689</v>
      </c>
      <c r="DI17" s="54">
        <f t="shared" si="16"/>
        <v>-0.46135380176201457</v>
      </c>
      <c r="DJ17" s="54">
        <f t="shared" si="17"/>
        <v>-0.15867515126890511</v>
      </c>
      <c r="DK17" s="54">
        <f t="shared" si="18"/>
        <v>-0.49125983523555794</v>
      </c>
      <c r="DL17" s="54">
        <f t="shared" si="19"/>
        <v>-0.2227646540077399</v>
      </c>
      <c r="DM17" s="54">
        <f t="shared" si="20"/>
        <v>-5.9804571276516089E-2</v>
      </c>
      <c r="DN17" s="54">
        <f t="shared" si="21"/>
        <v>0.18921073103052757</v>
      </c>
      <c r="DO17" s="54">
        <f t="shared" si="22"/>
        <v>-0.24457758968048302</v>
      </c>
      <c r="DP17" s="54">
        <f t="shared" si="23"/>
        <v>-5.3007093722303861E-3</v>
      </c>
      <c r="DQ17" s="54">
        <f t="shared" si="24"/>
        <v>-0.65091852831455255</v>
      </c>
      <c r="DR17" s="54">
        <f t="shared" si="25"/>
        <v>-0.36863035214932405</v>
      </c>
      <c r="DS17" s="54">
        <f t="shared" si="26"/>
        <v>-0.27529048578199439</v>
      </c>
      <c r="DT17" s="54">
        <f t="shared" si="27"/>
        <v>0.27529048578199439</v>
      </c>
      <c r="DX17">
        <v>16</v>
      </c>
      <c r="DY17" s="19">
        <f t="shared" si="4"/>
        <v>2.1588292167140026</v>
      </c>
      <c r="EM17" s="13">
        <v>16</v>
      </c>
      <c r="EN17" s="16">
        <f t="shared" si="28"/>
        <v>-0.13670317824908063</v>
      </c>
      <c r="EO17" s="16">
        <f t="shared" si="5"/>
        <v>-2.2955323949630833</v>
      </c>
      <c r="EP17" s="16">
        <f t="shared" si="29"/>
        <v>-1.3856816798598133</v>
      </c>
      <c r="EQ17" s="16">
        <f t="shared" si="30"/>
        <v>0.93405070958445935</v>
      </c>
      <c r="ER17" s="16">
        <f t="shared" si="31"/>
        <v>1.5372845195929323</v>
      </c>
      <c r="ES17" s="16">
        <f t="shared" si="32"/>
        <v>-1.8092285002653605</v>
      </c>
      <c r="ET17" s="16">
        <f t="shared" si="33"/>
        <v>-0.23962990985522925</v>
      </c>
      <c r="EU17" s="16">
        <f t="shared" si="34"/>
        <v>3.0306242103502044</v>
      </c>
      <c r="EW17" s="40">
        <f>'SATORI H4'!EW6</f>
        <v>0.80805846110219681</v>
      </c>
      <c r="EX17" s="39" t="str">
        <f>'SATORI H4'!EX6</f>
        <v>AUD</v>
      </c>
      <c r="FK17" s="20"/>
      <c r="FL17" s="20"/>
    </row>
    <row r="18" spans="1:168" ht="18.600000000000001" thickBot="1" x14ac:dyDescent="0.4">
      <c r="A18" s="37" t="s">
        <v>51</v>
      </c>
      <c r="B18" s="38">
        <v>16</v>
      </c>
      <c r="C18" s="63">
        <f>RTD("fxbluelabs.excelrtd", , "21422436","@bh,AUDUSD,h1,close,16")</f>
        <v>0.67440999999999995</v>
      </c>
      <c r="D18" s="64">
        <f>RTD("fxbluelabs.excelrtd", , "21422436","@bh,AUDNZD,h1,close,16")</f>
        <v>1.0953599999999999</v>
      </c>
      <c r="E18" s="65">
        <f>RTD("fxbluelabs.excelrtd", , "21422436","@bh,AUDJPY,h1,close,16")</f>
        <v>97.972999999999999</v>
      </c>
      <c r="F18" s="64">
        <f>RTD("fxbluelabs.excelrtd", , "21422436","@bh,AUDCHF,h1,close,16")</f>
        <v>0.57435000000000003</v>
      </c>
      <c r="G18" s="64">
        <f>RTD("fxbluelabs.excelrtd", , "21422436","@bh,AUDCAD,h1,close,16")</f>
        <v>0.91671000000000002</v>
      </c>
      <c r="H18" s="64">
        <f>RTD("fxbluelabs.excelrtd", , "21422436","@bh,EURUSD,h1,close,16")</f>
        <v>1.1149899999999999</v>
      </c>
      <c r="I18" s="64">
        <f>RTD("fxbluelabs.excelrtd", , "21422436","@bh,EURCAD,h1,close,16")</f>
        <v>1.5156000000000001</v>
      </c>
      <c r="J18" s="64">
        <f>RTD("fxbluelabs.excelrtd", , "21422436","@bh,EURGBP,h1,close,16")</f>
        <v>0.85175000000000001</v>
      </c>
      <c r="K18" s="64">
        <f>RTD("fxbluelabs.excelrtd", , "21422436","@bh,EURCHF,h1,close,16")</f>
        <v>0.94960999999999995</v>
      </c>
      <c r="L18" s="65">
        <f>RTD("fxbluelabs.excelrtd", , "21422436","@bh,EURJPY,h1,close,16")</f>
        <v>161.98099999999999</v>
      </c>
      <c r="M18" s="64">
        <f>RTD("fxbluelabs.excelrtd", , "21422436","@bh,EURAUD,h1,close,16")</f>
        <v>1.6532100000000001</v>
      </c>
      <c r="N18" s="64">
        <f>RTD("fxbluelabs.excelrtd", , "21422436","@bh,EURNZD,h1,close,16")</f>
        <v>1.81105</v>
      </c>
      <c r="O18" s="64">
        <f>RTD("fxbluelabs.excelrtd", , "21422436","@bh,GBPUSD,h1,close,16")</f>
        <v>1.3090900000000001</v>
      </c>
      <c r="P18" s="64">
        <f>RTD("fxbluelabs.excelrtd", , "21422436","@bh,GBPAUD,h1,close,16")</f>
        <v>1.9410000000000001</v>
      </c>
      <c r="Q18" s="64">
        <f>RTD("fxbluelabs.excelrtd", , "21422436","@bh,GBPNZD,h1,close,16")</f>
        <v>2.1261100000000002</v>
      </c>
      <c r="R18" s="64">
        <f>RTD("fxbluelabs.excelrtd", , "21422436","@bh,GBPCAD,h1,close,16")</f>
        <v>1.7794399999999999</v>
      </c>
      <c r="S18" s="64">
        <f>RTD("fxbluelabs.excelrtd", , "21422436","@bh,GBPCHF,h1,close,16")</f>
        <v>1.1148800000000001</v>
      </c>
      <c r="T18" s="65">
        <f>RTD("fxbluelabs.excelrtd", , "21422436","@bh,GBPJPY,h1,close,16")</f>
        <v>190.173</v>
      </c>
      <c r="U18" s="65">
        <f>RTD("fxbluelabs.excelrtd", , "21422436","@bh,NZDJPY,h1,close,16")</f>
        <v>89.406000000000006</v>
      </c>
      <c r="V18" s="64">
        <f>RTD("fxbluelabs.excelrtd", , "21422436","@bh,NZDCHF,h1,close,16")</f>
        <v>0.52417000000000002</v>
      </c>
      <c r="W18" s="64">
        <f>RTD("fxbluelabs.excelrtd", , "21422436","@bh,NZDUSD,h1,close,16")</f>
        <v>0.61570000000000003</v>
      </c>
      <c r="X18" s="64">
        <f>RTD("fxbluelabs.excelrtd", , "21422436","@bh,NZDCAD,h1,close,16")</f>
        <v>0.83684000000000003</v>
      </c>
      <c r="Y18" s="65">
        <f>RTD("fxbluelabs.excelrtd", , "21422436","@bh,CADJPY,h1,close,16")</f>
        <v>106.866</v>
      </c>
      <c r="Z18" s="64">
        <f>RTD("fxbluelabs.excelrtd", , "21422436","@bh,CADCHF,h1,close,16")</f>
        <v>0.62648999999999999</v>
      </c>
      <c r="AA18" s="65">
        <f>RTD("fxbluelabs.excelrtd", , "21422436","@bh,CHFJPY,h1,close,16")</f>
        <v>170.56399999999999</v>
      </c>
      <c r="AB18" s="64">
        <f>RTD("fxbluelabs.excelrtd", , "21422436","@bh,USDCAD,h1,close,16")</f>
        <v>1.35934</v>
      </c>
      <c r="AC18" s="64">
        <f>RTD("fxbluelabs.excelrtd", , "21422436","@bh,USDCHF,h1,close,16")</f>
        <v>0.85167000000000004</v>
      </c>
      <c r="AD18" s="66">
        <f>RTD("fxbluelabs.excelrtd", , "21422436","@bh,USDJPY,h1,close,16")</f>
        <v>145.27199999999999</v>
      </c>
      <c r="AH18" s="56">
        <v>17</v>
      </c>
      <c r="AI18" s="74">
        <f t="shared" si="35"/>
        <v>2.6697121160428633E-2</v>
      </c>
      <c r="AJ18" s="74">
        <f t="shared" si="35"/>
        <v>5.7548436600797316E-2</v>
      </c>
      <c r="AK18" s="74">
        <f t="shared" si="35"/>
        <v>0.205580329746751</v>
      </c>
      <c r="AL18" s="74">
        <f t="shared" si="35"/>
        <v>4.5289066174299848E-2</v>
      </c>
      <c r="AM18" s="74">
        <f t="shared" si="35"/>
        <v>1.0908694229372219E-3</v>
      </c>
      <c r="AN18" s="74">
        <f t="shared" si="35"/>
        <v>-1.703760827849625E-2</v>
      </c>
      <c r="AO18" s="74">
        <f t="shared" si="35"/>
        <v>-3.9572615749896713E-2</v>
      </c>
      <c r="AP18" s="74">
        <f t="shared" si="35"/>
        <v>-1.8781326665955087E-2</v>
      </c>
      <c r="AQ18" s="74">
        <f t="shared" si="35"/>
        <v>9.4784733338869609E-3</v>
      </c>
      <c r="AR18" s="74">
        <f t="shared" si="35"/>
        <v>0.16820337767223306</v>
      </c>
      <c r="AS18" s="74">
        <f t="shared" si="35"/>
        <v>-4.5345715736778903E-2</v>
      </c>
      <c r="AT18" s="74">
        <f t="shared" si="35"/>
        <v>1.7120072456566514E-2</v>
      </c>
      <c r="AU18" s="74">
        <f t="shared" si="35"/>
        <v>7.6394777652991222E-3</v>
      </c>
      <c r="AV18" s="74">
        <f t="shared" si="35"/>
        <v>-2.2663589912641953E-2</v>
      </c>
      <c r="AW18" s="74">
        <f t="shared" si="35"/>
        <v>4.0936553048143767E-2</v>
      </c>
      <c r="AX18" s="74">
        <f t="shared" si="35"/>
        <v>-1.6294606485260321E-2</v>
      </c>
      <c r="AY18" s="74">
        <f t="shared" ref="AX18:BJ28" si="39">IF(S18=0,0,(S18-S19)*100/S19)</f>
        <v>2.6915968346838185E-2</v>
      </c>
      <c r="AZ18" s="74">
        <f t="shared" si="39"/>
        <v>0.18649344902249693</v>
      </c>
      <c r="BA18" s="74">
        <f t="shared" si="39"/>
        <v>0.1478593991531745</v>
      </c>
      <c r="BB18" s="74">
        <f t="shared" si="39"/>
        <v>-1.3352662902490174E-2</v>
      </c>
      <c r="BC18" s="74">
        <f t="shared" si="39"/>
        <v>-3.2472804026624121E-2</v>
      </c>
      <c r="BD18" s="74">
        <f t="shared" si="39"/>
        <v>-5.6132137440132145E-2</v>
      </c>
      <c r="BE18" s="74">
        <f t="shared" si="39"/>
        <v>0.19689468946894101</v>
      </c>
      <c r="BF18" s="74">
        <f t="shared" si="39"/>
        <v>3.6725960463697575E-2</v>
      </c>
      <c r="BG18" s="74">
        <f t="shared" si="39"/>
        <v>0.1520800916003559</v>
      </c>
      <c r="BH18" s="74">
        <f t="shared" si="39"/>
        <v>-2.5741161588308546E-2</v>
      </c>
      <c r="BI18" s="74">
        <f t="shared" si="39"/>
        <v>2.2314088410769893E-2</v>
      </c>
      <c r="BJ18" s="74">
        <f t="shared" si="39"/>
        <v>0.17929550657875962</v>
      </c>
      <c r="BN18" s="59">
        <v>17</v>
      </c>
      <c r="BO18" s="78">
        <f t="shared" si="6"/>
        <v>9.2425677132004308E-2</v>
      </c>
      <c r="BP18" s="78">
        <f t="shared" si="2"/>
        <v>-0.18504798877086012</v>
      </c>
      <c r="BQ18" s="78">
        <f t="shared" si="38"/>
        <v>-0.48592718448022465</v>
      </c>
      <c r="BR18" s="78">
        <f t="shared" si="38"/>
        <v>-0.31779283466338293</v>
      </c>
      <c r="BS18" s="78">
        <f t="shared" si="38"/>
        <v>-2.1700075230729463E-2</v>
      </c>
      <c r="BT18" s="78">
        <f t="shared" si="38"/>
        <v>0.29502160444672565</v>
      </c>
      <c r="BU18" s="78">
        <f t="shared" si="38"/>
        <v>0.18253807374241326</v>
      </c>
      <c r="BV18" s="78">
        <f t="shared" si="38"/>
        <v>-0.19106521168311505</v>
      </c>
      <c r="BW18" s="78">
        <f t="shared" si="38"/>
        <v>-0.11023421235715135</v>
      </c>
      <c r="BX18" s="78">
        <f t="shared" si="38"/>
        <v>-0.28158310586735813</v>
      </c>
      <c r="BY18" s="78">
        <f t="shared" si="38"/>
        <v>0.19888887234349811</v>
      </c>
      <c r="BZ18" s="78">
        <f t="shared" si="38"/>
        <v>2.3411915900405728E-2</v>
      </c>
      <c r="CA18" s="78">
        <f t="shared" si="38"/>
        <v>0.4882042775581012</v>
      </c>
      <c r="CB18" s="78">
        <f t="shared" si="38"/>
        <v>0.3921710791218298</v>
      </c>
      <c r="CC18" s="78">
        <f t="shared" si="38"/>
        <v>0.20745767753821193</v>
      </c>
      <c r="CD18" s="78">
        <f t="shared" si="38"/>
        <v>0.37580324986096453</v>
      </c>
      <c r="CE18" s="78">
        <f t="shared" si="38"/>
        <v>7.9213026763759312E-2</v>
      </c>
      <c r="CF18" s="78">
        <f t="shared" si="38"/>
        <v>-9.0668744903764809E-2</v>
      </c>
      <c r="CG18" s="78">
        <f t="shared" si="38"/>
        <v>-0.33450163888679962</v>
      </c>
      <c r="CH18" s="78">
        <f t="shared" si="38"/>
        <v>-0.15803116175562754</v>
      </c>
      <c r="CI18" s="78">
        <f t="shared" si="38"/>
        <v>0.28843011526112172</v>
      </c>
      <c r="CJ18" s="78">
        <f t="shared" si="38"/>
        <v>0.1664494112724948</v>
      </c>
      <c r="CK18" s="78">
        <f t="shared" si="38"/>
        <v>-0.47239827460219203</v>
      </c>
      <c r="CL18" s="78">
        <f t="shared" si="38"/>
        <v>-0.30256463146078527</v>
      </c>
      <c r="CM18" s="78">
        <f t="shared" si="37"/>
        <v>-0.17768800465996343</v>
      </c>
      <c r="CN18" s="78">
        <f t="shared" si="37"/>
        <v>-0.11232758291196501</v>
      </c>
      <c r="CO18" s="78">
        <f t="shared" si="37"/>
        <v>-0.40616810777254903</v>
      </c>
      <c r="CP18" s="78">
        <f t="shared" si="37"/>
        <v>-0.57932868305876684</v>
      </c>
      <c r="CU18" s="56">
        <v>17</v>
      </c>
      <c r="CV18" s="57">
        <f t="shared" si="7"/>
        <v>0.11697793652541819</v>
      </c>
      <c r="CW18" s="57">
        <f t="shared" si="8"/>
        <v>-2.2619060481412339</v>
      </c>
      <c r="CX18" s="57">
        <f t="shared" si="9"/>
        <v>-1.3657259827961552</v>
      </c>
      <c r="CY18" s="57">
        <f t="shared" si="10"/>
        <v>0.73532528512498807</v>
      </c>
      <c r="CZ18" s="57">
        <f t="shared" si="11"/>
        <v>1.6432457776222171</v>
      </c>
      <c r="DA18" s="57">
        <f t="shared" si="12"/>
        <v>-1.5091023574785207</v>
      </c>
      <c r="DB18" s="57">
        <f t="shared" si="13"/>
        <v>-8.3474878776568145E-2</v>
      </c>
      <c r="DC18" s="57">
        <f t="shared" si="14"/>
        <v>2.4220956364590696</v>
      </c>
      <c r="DF18" s="53">
        <v>17</v>
      </c>
      <c r="DG18" s="52">
        <f t="shared" si="36"/>
        <v>-0.11232758291196501</v>
      </c>
      <c r="DH18" s="52">
        <f t="shared" si="15"/>
        <v>0.18253807374241326</v>
      </c>
      <c r="DI18" s="52">
        <f t="shared" si="16"/>
        <v>-0.40616810777254903</v>
      </c>
      <c r="DJ18" s="52">
        <f t="shared" si="17"/>
        <v>-0.11023421235715135</v>
      </c>
      <c r="DK18" s="52">
        <f t="shared" si="18"/>
        <v>-0.4882042775581012</v>
      </c>
      <c r="DL18" s="52">
        <f t="shared" si="19"/>
        <v>-0.19106521168311505</v>
      </c>
      <c r="DM18" s="52">
        <f t="shared" si="20"/>
        <v>-9.2425677132004308E-2</v>
      </c>
      <c r="DN18" s="52">
        <f t="shared" si="21"/>
        <v>0.19888887234349811</v>
      </c>
      <c r="DO18" s="52">
        <f t="shared" si="22"/>
        <v>-0.28843011526112172</v>
      </c>
      <c r="DP18" s="52">
        <f t="shared" si="23"/>
        <v>2.3411915900405728E-2</v>
      </c>
      <c r="DQ18" s="52">
        <f t="shared" si="24"/>
        <v>-0.57932868305876684</v>
      </c>
      <c r="DR18" s="52">
        <f t="shared" si="25"/>
        <v>-0.28158310586735813</v>
      </c>
      <c r="DS18" s="52">
        <f t="shared" si="26"/>
        <v>-0.29502160444672565</v>
      </c>
      <c r="DT18" s="52">
        <f t="shared" si="27"/>
        <v>0.29502160444672565</v>
      </c>
      <c r="DX18">
        <v>17</v>
      </c>
      <c r="DY18" s="19">
        <f t="shared" si="4"/>
        <v>2.3788839846666519</v>
      </c>
      <c r="EM18" s="21">
        <v>17</v>
      </c>
      <c r="EN18" s="16">
        <f t="shared" si="28"/>
        <v>0.11697793652541819</v>
      </c>
      <c r="EO18" s="16">
        <f t="shared" si="5"/>
        <v>-2.2619060481412339</v>
      </c>
      <c r="EP18" s="16">
        <f t="shared" si="29"/>
        <v>-1.3657259827961552</v>
      </c>
      <c r="EQ18" s="16">
        <f t="shared" si="30"/>
        <v>0.73532528512498807</v>
      </c>
      <c r="ER18" s="16">
        <f t="shared" si="31"/>
        <v>1.6432457776222171</v>
      </c>
      <c r="ES18" s="16">
        <f t="shared" si="32"/>
        <v>-1.5091023574785207</v>
      </c>
      <c r="ET18" s="16">
        <f t="shared" si="33"/>
        <v>-8.3474878776568145E-2</v>
      </c>
      <c r="EU18" s="16">
        <f t="shared" si="34"/>
        <v>2.4220956364590696</v>
      </c>
      <c r="EW18" s="40">
        <f>'SATORI H4'!EW7</f>
        <v>-1.4544019170701925</v>
      </c>
      <c r="EX18" s="39" t="str">
        <f>'SATORI H4'!EX7</f>
        <v>EUR</v>
      </c>
      <c r="FK18" s="20"/>
      <c r="FL18" s="20"/>
    </row>
    <row r="19" spans="1:168" ht="18.600000000000001" thickBot="1" x14ac:dyDescent="0.4">
      <c r="A19" s="37" t="s">
        <v>51</v>
      </c>
      <c r="B19" s="38">
        <v>17</v>
      </c>
      <c r="C19" s="63">
        <f>RTD("fxbluelabs.excelrtd", , "21422436","@bh,AUDUSD,h1,close,17")</f>
        <v>0.67423</v>
      </c>
      <c r="D19" s="64">
        <f>RTD("fxbluelabs.excelrtd", , "21422436","@bh,AUDNZD,h1,close,17")</f>
        <v>1.09473</v>
      </c>
      <c r="E19" s="65">
        <f>RTD("fxbluelabs.excelrtd", , "21422436","@bh,AUDJPY,h1,close,17")</f>
        <v>97.772000000000006</v>
      </c>
      <c r="F19" s="64">
        <f>RTD("fxbluelabs.excelrtd", , "21422436","@bh,AUDCHF,h1,close,17")</f>
        <v>0.57408999999999999</v>
      </c>
      <c r="G19" s="64">
        <f>RTD("fxbluelabs.excelrtd", , "21422436","@bh,AUDCAD,h1,close,17")</f>
        <v>0.91669999999999996</v>
      </c>
      <c r="H19" s="64">
        <f>RTD("fxbluelabs.excelrtd", , "21422436","@bh,EURUSD,h1,close,17")</f>
        <v>1.1151800000000001</v>
      </c>
      <c r="I19" s="64">
        <f>RTD("fxbluelabs.excelrtd", , "21422436","@bh,EURCAD,h1,close,17")</f>
        <v>1.5162</v>
      </c>
      <c r="J19" s="64">
        <f>RTD("fxbluelabs.excelrtd", , "21422436","@bh,EURGBP,h1,close,17")</f>
        <v>0.85190999999999995</v>
      </c>
      <c r="K19" s="64">
        <f>RTD("fxbluelabs.excelrtd", , "21422436","@bh,EURCHF,h1,close,17")</f>
        <v>0.94952000000000003</v>
      </c>
      <c r="L19" s="65">
        <f>RTD("fxbluelabs.excelrtd", , "21422436","@bh,EURJPY,h1,close,17")</f>
        <v>161.709</v>
      </c>
      <c r="M19" s="64">
        <f>RTD("fxbluelabs.excelrtd", , "21422436","@bh,EURAUD,h1,close,17")</f>
        <v>1.6539600000000001</v>
      </c>
      <c r="N19" s="64">
        <f>RTD("fxbluelabs.excelrtd", , "21422436","@bh,EURNZD,h1,close,17")</f>
        <v>1.81074</v>
      </c>
      <c r="O19" s="64">
        <f>RTD("fxbluelabs.excelrtd", , "21422436","@bh,GBPUSD,h1,close,17")</f>
        <v>1.3089900000000001</v>
      </c>
      <c r="P19" s="64">
        <f>RTD("fxbluelabs.excelrtd", , "21422436","@bh,GBPAUD,h1,close,17")</f>
        <v>1.9414400000000001</v>
      </c>
      <c r="Q19" s="64">
        <f>RTD("fxbluelabs.excelrtd", , "21422436","@bh,GBPNZD,h1,close,17")</f>
        <v>2.1252399999999998</v>
      </c>
      <c r="R19" s="64">
        <f>RTD("fxbluelabs.excelrtd", , "21422436","@bh,GBPCAD,h1,close,17")</f>
        <v>1.77973</v>
      </c>
      <c r="S19" s="64">
        <f>RTD("fxbluelabs.excelrtd", , "21422436","@bh,GBPCHF,h1,close,17")</f>
        <v>1.1145799999999999</v>
      </c>
      <c r="T19" s="65">
        <f>RTD("fxbluelabs.excelrtd", , "21422436","@bh,GBPJPY,h1,close,17")</f>
        <v>189.81899999999999</v>
      </c>
      <c r="U19" s="65">
        <f>RTD("fxbluelabs.excelrtd", , "21422436","@bh,NZDJPY,h1,close,17")</f>
        <v>89.274000000000001</v>
      </c>
      <c r="V19" s="64">
        <f>RTD("fxbluelabs.excelrtd", , "21422436","@bh,NZDCHF,h1,close,17")</f>
        <v>0.52424000000000004</v>
      </c>
      <c r="W19" s="64">
        <f>RTD("fxbluelabs.excelrtd", , "21422436","@bh,NZDUSD,h1,close,17")</f>
        <v>0.6159</v>
      </c>
      <c r="X19" s="64">
        <f>RTD("fxbluelabs.excelrtd", , "21422436","@bh,NZDCAD,h1,close,17")</f>
        <v>0.83731</v>
      </c>
      <c r="Y19" s="65">
        <f>RTD("fxbluelabs.excelrtd", , "21422436","@bh,CADJPY,h1,close,17")</f>
        <v>106.65600000000001</v>
      </c>
      <c r="Z19" s="64">
        <f>RTD("fxbluelabs.excelrtd", , "21422436","@bh,CADCHF,h1,close,17")</f>
        <v>0.62626000000000004</v>
      </c>
      <c r="AA19" s="65">
        <f>RTD("fxbluelabs.excelrtd", , "21422436","@bh,CHFJPY,h1,close,17")</f>
        <v>170.30500000000001</v>
      </c>
      <c r="AB19" s="64">
        <f>RTD("fxbluelabs.excelrtd", , "21422436","@bh,USDCAD,h1,close,17")</f>
        <v>1.3596900000000001</v>
      </c>
      <c r="AC19" s="64">
        <f>RTD("fxbluelabs.excelrtd", , "21422436","@bh,USDCHF,h1,close,17")</f>
        <v>0.85148000000000001</v>
      </c>
      <c r="AD19" s="66">
        <f>RTD("fxbluelabs.excelrtd", , "21422436","@bh,USDJPY,h1,close,17")</f>
        <v>145.012</v>
      </c>
      <c r="AH19" s="56">
        <v>18</v>
      </c>
      <c r="AI19" s="75">
        <f t="shared" si="35"/>
        <v>-0.1436611374407622</v>
      </c>
      <c r="AJ19" s="75">
        <f t="shared" si="35"/>
        <v>1.4617612395729644E-2</v>
      </c>
      <c r="AK19" s="75">
        <f t="shared" si="35"/>
        <v>4.195188834659528E-2</v>
      </c>
      <c r="AL19" s="75">
        <f t="shared" si="35"/>
        <v>-1.9157088122614855E-2</v>
      </c>
      <c r="AM19" s="75">
        <f t="shared" si="35"/>
        <v>-4.7975227337156374E-2</v>
      </c>
      <c r="AN19" s="75">
        <f t="shared" si="35"/>
        <v>-8.9591284559828149E-2</v>
      </c>
      <c r="AO19" s="75">
        <f t="shared" si="35"/>
        <v>4.6170183295637249E-3</v>
      </c>
      <c r="AP19" s="75">
        <f t="shared" si="35"/>
        <v>3.5227392820653465E-2</v>
      </c>
      <c r="AQ19" s="75">
        <f t="shared" si="35"/>
        <v>3.1604896651996166E-2</v>
      </c>
      <c r="AR19" s="75">
        <f t="shared" si="35"/>
        <v>9.1606266363785896E-2</v>
      </c>
      <c r="AS19" s="75">
        <f t="shared" si="35"/>
        <v>5.1418235931064322E-2</v>
      </c>
      <c r="AT19" s="75">
        <f t="shared" si="35"/>
        <v>7.1292381662936985E-2</v>
      </c>
      <c r="AU19" s="75">
        <f t="shared" si="35"/>
        <v>-0.12436861943200915</v>
      </c>
      <c r="AV19" s="75">
        <f t="shared" si="35"/>
        <v>1.7515841533151666E-2</v>
      </c>
      <c r="AW19" s="75">
        <f t="shared" si="35"/>
        <v>2.6827695595068288E-2</v>
      </c>
      <c r="AX19" s="75">
        <f t="shared" si="35"/>
        <v>-2.9770932335721718E-2</v>
      </c>
      <c r="AY19" s="75">
        <f t="shared" si="39"/>
        <v>0</v>
      </c>
      <c r="AZ19" s="75">
        <f t="shared" si="39"/>
        <v>5.903841186671803E-2</v>
      </c>
      <c r="BA19" s="75">
        <f t="shared" si="39"/>
        <v>-8.9603727515014976E-3</v>
      </c>
      <c r="BB19" s="75">
        <f t="shared" si="39"/>
        <v>-6.1003507701690357E-2</v>
      </c>
      <c r="BC19" s="75">
        <f t="shared" si="39"/>
        <v>-0.14915210272040982</v>
      </c>
      <c r="BD19" s="75">
        <f t="shared" si="39"/>
        <v>-6.3257901269935843E-2</v>
      </c>
      <c r="BE19" s="75">
        <f t="shared" si="39"/>
        <v>9.1029382783254731E-2</v>
      </c>
      <c r="BF19" s="75">
        <f t="shared" si="39"/>
        <v>3.1945819889481683E-2</v>
      </c>
      <c r="BG19" s="75">
        <f t="shared" si="39"/>
        <v>6.2280036897980916E-2</v>
      </c>
      <c r="BH19" s="75">
        <f t="shared" si="39"/>
        <v>9.4964664310955044E-2</v>
      </c>
      <c r="BI19" s="75">
        <f t="shared" si="39"/>
        <v>0.12464429340797029</v>
      </c>
      <c r="BJ19" s="75">
        <f t="shared" si="39"/>
        <v>0.1837701905406651</v>
      </c>
      <c r="BN19" s="59">
        <v>18</v>
      </c>
      <c r="BO19" s="79">
        <f t="shared" si="6"/>
        <v>6.5728555971575647E-2</v>
      </c>
      <c r="BP19" s="79">
        <f t="shared" si="2"/>
        <v>-0.2425964253716574</v>
      </c>
      <c r="BQ19" s="79">
        <f t="shared" si="38"/>
        <v>-0.69150751422697565</v>
      </c>
      <c r="BR19" s="79">
        <f t="shared" si="38"/>
        <v>-0.36308190083768277</v>
      </c>
      <c r="BS19" s="79">
        <f t="shared" si="38"/>
        <v>-2.2790944653666687E-2</v>
      </c>
      <c r="BT19" s="79">
        <f t="shared" si="38"/>
        <v>0.31205921272522197</v>
      </c>
      <c r="BU19" s="79">
        <f t="shared" si="38"/>
        <v>0.22211068949231003</v>
      </c>
      <c r="BV19" s="79">
        <f t="shared" si="38"/>
        <v>-0.17228388501715997</v>
      </c>
      <c r="BW19" s="79">
        <f t="shared" si="38"/>
        <v>-0.11971268569103832</v>
      </c>
      <c r="BX19" s="79">
        <f t="shared" si="38"/>
        <v>-0.44978648353959116</v>
      </c>
      <c r="BY19" s="79">
        <f t="shared" si="38"/>
        <v>0.24423458808027701</v>
      </c>
      <c r="BZ19" s="79">
        <f t="shared" si="38"/>
        <v>6.2918434438392207E-3</v>
      </c>
      <c r="CA19" s="79">
        <f t="shared" si="38"/>
        <v>0.48056479979280209</v>
      </c>
      <c r="CB19" s="79">
        <f t="shared" si="38"/>
        <v>0.41483466903447175</v>
      </c>
      <c r="CC19" s="79">
        <f t="shared" si="38"/>
        <v>0.16652112449006812</v>
      </c>
      <c r="CD19" s="79">
        <f t="shared" si="38"/>
        <v>0.39209785634622496</v>
      </c>
      <c r="CE19" s="79">
        <f t="shared" si="38"/>
        <v>5.229705841692113E-2</v>
      </c>
      <c r="CF19" s="79">
        <f t="shared" si="38"/>
        <v>-0.27716219392626174</v>
      </c>
      <c r="CG19" s="79">
        <f t="shared" si="38"/>
        <v>-0.4823610380399741</v>
      </c>
      <c r="CH19" s="79">
        <f t="shared" si="38"/>
        <v>-0.14467849885313736</v>
      </c>
      <c r="CI19" s="79">
        <f t="shared" si="38"/>
        <v>0.32090291928774584</v>
      </c>
      <c r="CJ19" s="79">
        <f t="shared" si="38"/>
        <v>0.22258154871262698</v>
      </c>
      <c r="CK19" s="79">
        <f t="shared" si="38"/>
        <v>-0.66929296407113292</v>
      </c>
      <c r="CL19" s="79">
        <f t="shared" si="38"/>
        <v>-0.33929059192448291</v>
      </c>
      <c r="CM19" s="79">
        <f t="shared" si="37"/>
        <v>-0.32976809626031944</v>
      </c>
      <c r="CN19" s="79">
        <f t="shared" si="37"/>
        <v>-8.6586421323656459E-2</v>
      </c>
      <c r="CO19" s="79">
        <f t="shared" si="37"/>
        <v>-0.42848219618331879</v>
      </c>
      <c r="CP19" s="79">
        <f t="shared" si="37"/>
        <v>-0.75862418963752642</v>
      </c>
      <c r="CU19" s="56">
        <v>18</v>
      </c>
      <c r="CV19" s="58">
        <f t="shared" si="7"/>
        <v>4.29132794938588E-2</v>
      </c>
      <c r="CW19" s="58">
        <f t="shared" si="8"/>
        <v>-2.4529482949218466</v>
      </c>
      <c r="CX19" s="58">
        <f t="shared" si="9"/>
        <v>-1.7359962845694545</v>
      </c>
      <c r="CY19" s="58">
        <f t="shared" si="10"/>
        <v>0.6738901268879367</v>
      </c>
      <c r="CZ19" s="58">
        <f t="shared" si="11"/>
        <v>1.4014371991713863</v>
      </c>
      <c r="DA19" s="58">
        <f t="shared" si="12"/>
        <v>-1.9133174862331555</v>
      </c>
      <c r="DB19" s="58">
        <f t="shared" si="13"/>
        <v>-1.3771611454988536E-2</v>
      </c>
      <c r="DC19" s="58">
        <f t="shared" si="14"/>
        <v>3.6585024797017813</v>
      </c>
      <c r="DF19" s="51">
        <v>18</v>
      </c>
      <c r="DG19" s="54">
        <f t="shared" si="36"/>
        <v>-8.6586421323656459E-2</v>
      </c>
      <c r="DH19" s="54">
        <f t="shared" si="15"/>
        <v>0.22211068949231003</v>
      </c>
      <c r="DI19" s="54">
        <f t="shared" si="16"/>
        <v>-0.42848219618331879</v>
      </c>
      <c r="DJ19" s="54">
        <f t="shared" si="17"/>
        <v>-0.11971268569103832</v>
      </c>
      <c r="DK19" s="54">
        <f t="shared" si="18"/>
        <v>-0.48056479979280209</v>
      </c>
      <c r="DL19" s="54">
        <f t="shared" si="19"/>
        <v>-0.17228388501715997</v>
      </c>
      <c r="DM19" s="54">
        <f t="shared" si="20"/>
        <v>-6.5728555971575647E-2</v>
      </c>
      <c r="DN19" s="54">
        <f t="shared" si="21"/>
        <v>0.24423458808027701</v>
      </c>
      <c r="DO19" s="54">
        <f t="shared" si="22"/>
        <v>-0.32090291928774584</v>
      </c>
      <c r="DP19" s="54">
        <f t="shared" si="23"/>
        <v>6.2918434438392207E-3</v>
      </c>
      <c r="DQ19" s="54">
        <f t="shared" si="24"/>
        <v>-0.75862418963752642</v>
      </c>
      <c r="DR19" s="54">
        <f t="shared" si="25"/>
        <v>-0.44978648353959116</v>
      </c>
      <c r="DS19" s="54">
        <f t="shared" si="26"/>
        <v>-0.31205921272522197</v>
      </c>
      <c r="DT19" s="54">
        <f t="shared" si="27"/>
        <v>0.31205921272522197</v>
      </c>
      <c r="DX19">
        <v>18</v>
      </c>
      <c r="DY19" s="19">
        <f t="shared" si="4"/>
        <v>2.4958615744157053</v>
      </c>
      <c r="EM19" s="21">
        <v>18</v>
      </c>
      <c r="EN19" s="16">
        <f t="shared" si="28"/>
        <v>4.29132794938588E-2</v>
      </c>
      <c r="EO19" s="16">
        <f t="shared" si="5"/>
        <v>-2.4529482949218466</v>
      </c>
      <c r="EP19" s="16">
        <f t="shared" si="29"/>
        <v>-1.7359962845694545</v>
      </c>
      <c r="EQ19" s="16">
        <f t="shared" si="30"/>
        <v>0.6738901268879367</v>
      </c>
      <c r="ER19" s="16">
        <f t="shared" si="31"/>
        <v>1.4014371991713863</v>
      </c>
      <c r="ES19" s="16">
        <f t="shared" si="32"/>
        <v>-1.9133174862331555</v>
      </c>
      <c r="ET19" s="16">
        <f t="shared" si="33"/>
        <v>-1.3771611454988536E-2</v>
      </c>
      <c r="EU19" s="16">
        <f t="shared" si="34"/>
        <v>3.6585024797017813</v>
      </c>
      <c r="EW19" s="40">
        <f>'SATORI H4'!EW8</f>
        <v>-4.5480296503108848</v>
      </c>
      <c r="EX19" s="39" t="str">
        <f>'SATORI H4'!EX8</f>
        <v>CAD</v>
      </c>
      <c r="FK19" s="20"/>
      <c r="FL19" s="20"/>
    </row>
    <row r="20" spans="1:168" ht="18.600000000000001" thickBot="1" x14ac:dyDescent="0.4">
      <c r="A20" s="37" t="s">
        <v>51</v>
      </c>
      <c r="B20" s="38">
        <v>18</v>
      </c>
      <c r="C20" s="63">
        <f>RTD("fxbluelabs.excelrtd", , "21422436","@bh,AUDUSD,h1,close,18")</f>
        <v>0.67520000000000002</v>
      </c>
      <c r="D20" s="64">
        <f>RTD("fxbluelabs.excelrtd", , "21422436","@bh,AUDNZD,h1,close,18")</f>
        <v>1.09457</v>
      </c>
      <c r="E20" s="65">
        <f>RTD("fxbluelabs.excelrtd", , "21422436","@bh,AUDJPY,h1,close,18")</f>
        <v>97.730999999999995</v>
      </c>
      <c r="F20" s="64">
        <f>RTD("fxbluelabs.excelrtd", , "21422436","@bh,AUDCHF,h1,close,18")</f>
        <v>0.57420000000000004</v>
      </c>
      <c r="G20" s="64">
        <f>RTD("fxbluelabs.excelrtd", , "21422436","@bh,AUDCAD,h1,close,18")</f>
        <v>0.91713999999999996</v>
      </c>
      <c r="H20" s="64">
        <f>RTD("fxbluelabs.excelrtd", , "21422436","@bh,EURUSD,h1,close,18")</f>
        <v>1.1161799999999999</v>
      </c>
      <c r="I20" s="64">
        <f>RTD("fxbluelabs.excelrtd", , "21422436","@bh,EURCAD,h1,close,18")</f>
        <v>1.51613</v>
      </c>
      <c r="J20" s="64">
        <f>RTD("fxbluelabs.excelrtd", , "21422436","@bh,EURGBP,h1,close,18")</f>
        <v>0.85160999999999998</v>
      </c>
      <c r="K20" s="64">
        <f>RTD("fxbluelabs.excelrtd", , "21422436","@bh,EURCHF,h1,close,18")</f>
        <v>0.94921999999999995</v>
      </c>
      <c r="L20" s="65">
        <f>RTD("fxbluelabs.excelrtd", , "21422436","@bh,EURJPY,h1,close,18")</f>
        <v>161.56100000000001</v>
      </c>
      <c r="M20" s="64">
        <f>RTD("fxbluelabs.excelrtd", , "21422436","@bh,EURAUD,h1,close,18")</f>
        <v>1.6531100000000001</v>
      </c>
      <c r="N20" s="64">
        <f>RTD("fxbluelabs.excelrtd", , "21422436","@bh,EURNZD,h1,close,18")</f>
        <v>1.80945</v>
      </c>
      <c r="O20" s="64">
        <f>RTD("fxbluelabs.excelrtd", , "21422436","@bh,GBPUSD,h1,close,18")</f>
        <v>1.3106199999999999</v>
      </c>
      <c r="P20" s="64">
        <f>RTD("fxbluelabs.excelrtd", , "21422436","@bh,GBPAUD,h1,close,18")</f>
        <v>1.9411</v>
      </c>
      <c r="Q20" s="64">
        <f>RTD("fxbluelabs.excelrtd", , "21422436","@bh,GBPNZD,h1,close,18")</f>
        <v>2.1246700000000001</v>
      </c>
      <c r="R20" s="64">
        <f>RTD("fxbluelabs.excelrtd", , "21422436","@bh,GBPCAD,h1,close,18")</f>
        <v>1.78026</v>
      </c>
      <c r="S20" s="64">
        <f>RTD("fxbluelabs.excelrtd", , "21422436","@bh,GBPCHF,h1,close,18")</f>
        <v>1.1145799999999999</v>
      </c>
      <c r="T20" s="65">
        <f>RTD("fxbluelabs.excelrtd", , "21422436","@bh,GBPJPY,h1,close,18")</f>
        <v>189.70699999999999</v>
      </c>
      <c r="U20" s="65">
        <f>RTD("fxbluelabs.excelrtd", , "21422436","@bh,NZDJPY,h1,close,18")</f>
        <v>89.281999999999996</v>
      </c>
      <c r="V20" s="64">
        <f>RTD("fxbluelabs.excelrtd", , "21422436","@bh,NZDCHF,h1,close,18")</f>
        <v>0.52456000000000003</v>
      </c>
      <c r="W20" s="64">
        <f>RTD("fxbluelabs.excelrtd", , "21422436","@bh,NZDUSD,h1,close,18")</f>
        <v>0.61682000000000003</v>
      </c>
      <c r="X20" s="64">
        <f>RTD("fxbluelabs.excelrtd", , "21422436","@bh,NZDCAD,h1,close,18")</f>
        <v>0.83784000000000003</v>
      </c>
      <c r="Y20" s="65">
        <f>RTD("fxbluelabs.excelrtd", , "21422436","@bh,CADJPY,h1,close,18")</f>
        <v>106.559</v>
      </c>
      <c r="Z20" s="64">
        <f>RTD("fxbluelabs.excelrtd", , "21422436","@bh,CADCHF,h1,close,18")</f>
        <v>0.62605999999999995</v>
      </c>
      <c r="AA20" s="65">
        <f>RTD("fxbluelabs.excelrtd", , "21422436","@bh,CHFJPY,h1,close,18")</f>
        <v>170.19900000000001</v>
      </c>
      <c r="AB20" s="64">
        <f>RTD("fxbluelabs.excelrtd", , "21422436","@bh,USDCAD,h1,close,18")</f>
        <v>1.3584000000000001</v>
      </c>
      <c r="AC20" s="64">
        <f>RTD("fxbluelabs.excelrtd", , "21422436","@bh,USDCHF,h1,close,18")</f>
        <v>0.85041999999999995</v>
      </c>
      <c r="AD20" s="66">
        <f>RTD("fxbluelabs.excelrtd", , "21422436","@bh,USDJPY,h1,close,18")</f>
        <v>144.74600000000001</v>
      </c>
      <c r="AH20" s="56">
        <v>19</v>
      </c>
      <c r="AI20" s="74">
        <f t="shared" ref="AI20:AX28" si="40">IF(C20=0,0,(C20-C21)*100/C21)</f>
        <v>9.6360536654071516E-2</v>
      </c>
      <c r="AJ20" s="74">
        <f t="shared" si="40"/>
        <v>3.0157917824237958E-2</v>
      </c>
      <c r="AK20" s="74">
        <f t="shared" si="40"/>
        <v>-0.12671810331614064</v>
      </c>
      <c r="AL20" s="74">
        <f t="shared" si="40"/>
        <v>5.4017320392415351E-2</v>
      </c>
      <c r="AM20" s="74">
        <f t="shared" si="40"/>
        <v>5.1272540827121044E-2</v>
      </c>
      <c r="AN20" s="74">
        <f t="shared" si="40"/>
        <v>5.4680566885090084E-2</v>
      </c>
      <c r="AO20" s="74">
        <f t="shared" si="40"/>
        <v>8.5751978891796497E-3</v>
      </c>
      <c r="AP20" s="74">
        <f t="shared" si="40"/>
        <v>-1.5262873646896293E-2</v>
      </c>
      <c r="AQ20" s="74">
        <f t="shared" si="40"/>
        <v>1.4751127407586079E-2</v>
      </c>
      <c r="AR20" s="74">
        <f t="shared" si="40"/>
        <v>-0.16745761036135412</v>
      </c>
      <c r="AS20" s="74">
        <f t="shared" si="40"/>
        <v>-4.0513248436911099E-2</v>
      </c>
      <c r="AT20" s="74">
        <f t="shared" si="40"/>
        <v>-1.1051860857070592E-2</v>
      </c>
      <c r="AU20" s="74">
        <f t="shared" si="40"/>
        <v>7.3301467556453573E-2</v>
      </c>
      <c r="AV20" s="74">
        <f t="shared" si="40"/>
        <v>-2.2662422612977118E-2</v>
      </c>
      <c r="AW20" s="74">
        <f t="shared" si="40"/>
        <v>8.0018827959626049E-3</v>
      </c>
      <c r="AX20" s="74">
        <f t="shared" si="40"/>
        <v>2.9217750907427707E-2</v>
      </c>
      <c r="AY20" s="74">
        <f t="shared" si="39"/>
        <v>2.9616333856849131E-2</v>
      </c>
      <c r="AZ20" s="74">
        <f t="shared" si="39"/>
        <v>-0.15053186170016863</v>
      </c>
      <c r="BA20" s="74">
        <f t="shared" si="39"/>
        <v>-0.1543278908521642</v>
      </c>
      <c r="BB20" s="74">
        <f t="shared" si="39"/>
        <v>2.4788818336112448E-2</v>
      </c>
      <c r="BC20" s="74">
        <f t="shared" si="39"/>
        <v>6.9761027920641386E-2</v>
      </c>
      <c r="BD20" s="74">
        <f t="shared" si="39"/>
        <v>2.2682504626039931E-2</v>
      </c>
      <c r="BE20" s="74">
        <f t="shared" si="39"/>
        <v>-0.1770524974706853</v>
      </c>
      <c r="BF20" s="74">
        <f t="shared" si="39"/>
        <v>1.5973165082588435E-3</v>
      </c>
      <c r="BG20" s="74">
        <f t="shared" si="39"/>
        <v>-0.17653958944280804</v>
      </c>
      <c r="BH20" s="74">
        <f t="shared" si="39"/>
        <v>-4.4150110375271077E-2</v>
      </c>
      <c r="BI20" s="74">
        <f t="shared" si="39"/>
        <v>-4.4663845792201104E-2</v>
      </c>
      <c r="BJ20" s="74">
        <f t="shared" si="39"/>
        <v>-0.22334045633141508</v>
      </c>
      <c r="BN20" s="59">
        <v>19</v>
      </c>
      <c r="BO20" s="78">
        <f t="shared" si="6"/>
        <v>0.20938969341233787</v>
      </c>
      <c r="BP20" s="78">
        <f t="shared" si="2"/>
        <v>-0.25721403776738705</v>
      </c>
      <c r="BQ20" s="78">
        <f t="shared" si="38"/>
        <v>-0.73345940257357101</v>
      </c>
      <c r="BR20" s="78">
        <f t="shared" si="38"/>
        <v>-0.34392481271506797</v>
      </c>
      <c r="BS20" s="78">
        <f t="shared" si="38"/>
        <v>2.5184282683489691E-2</v>
      </c>
      <c r="BT20" s="78">
        <f t="shared" si="38"/>
        <v>0.40165049728505003</v>
      </c>
      <c r="BU20" s="78">
        <f t="shared" si="38"/>
        <v>0.21749367116274623</v>
      </c>
      <c r="BV20" s="78">
        <f t="shared" si="38"/>
        <v>-0.2075112778378134</v>
      </c>
      <c r="BW20" s="78">
        <f t="shared" si="38"/>
        <v>-0.15131758234303447</v>
      </c>
      <c r="BX20" s="78">
        <f t="shared" si="38"/>
        <v>-0.54139274990337716</v>
      </c>
      <c r="BY20" s="78">
        <f t="shared" si="38"/>
        <v>0.19281635214921272</v>
      </c>
      <c r="BZ20" s="78">
        <f t="shared" si="38"/>
        <v>-6.5000538219097764E-2</v>
      </c>
      <c r="CA20" s="78">
        <f t="shared" si="38"/>
        <v>0.60493341922481125</v>
      </c>
      <c r="CB20" s="78">
        <f t="shared" si="38"/>
        <v>0.39731882750132003</v>
      </c>
      <c r="CC20" s="78">
        <f t="shared" si="38"/>
        <v>0.13969342889499986</v>
      </c>
      <c r="CD20" s="78">
        <f t="shared" si="38"/>
        <v>0.42186878868194666</v>
      </c>
      <c r="CE20" s="78">
        <f t="shared" si="38"/>
        <v>5.229705841692113E-2</v>
      </c>
      <c r="CF20" s="78">
        <f t="shared" si="38"/>
        <v>-0.33620060579297978</v>
      </c>
      <c r="CG20" s="78">
        <f t="shared" si="38"/>
        <v>-0.47340066528847258</v>
      </c>
      <c r="CH20" s="78">
        <f t="shared" si="38"/>
        <v>-8.3674991151447012E-2</v>
      </c>
      <c r="CI20" s="78">
        <f t="shared" si="38"/>
        <v>0.47005502200815569</v>
      </c>
      <c r="CJ20" s="78">
        <f t="shared" si="38"/>
        <v>0.28583944998256283</v>
      </c>
      <c r="CK20" s="78">
        <f t="shared" si="38"/>
        <v>-0.76032234685438771</v>
      </c>
      <c r="CL20" s="78">
        <f t="shared" si="38"/>
        <v>-0.37123641181396455</v>
      </c>
      <c r="CM20" s="78">
        <f t="shared" si="37"/>
        <v>-0.39204813315830034</v>
      </c>
      <c r="CN20" s="78">
        <f t="shared" si="37"/>
        <v>-0.1815510856346115</v>
      </c>
      <c r="CO20" s="78">
        <f t="shared" si="37"/>
        <v>-0.55312648959128907</v>
      </c>
      <c r="CP20" s="78">
        <f t="shared" si="37"/>
        <v>-0.94239438017819155</v>
      </c>
      <c r="CU20" s="56">
        <v>19</v>
      </c>
      <c r="CV20" s="57">
        <f t="shared" si="7"/>
        <v>-0.15326162770631382</v>
      </c>
      <c r="CW20" s="57">
        <f t="shared" si="8"/>
        <v>-3.3631005873344471</v>
      </c>
      <c r="CX20" s="57">
        <f t="shared" si="9"/>
        <v>-1.9003938655444861</v>
      </c>
      <c r="CY20" s="57">
        <f t="shared" si="10"/>
        <v>0.68769868422561697</v>
      </c>
      <c r="CZ20" s="57">
        <f t="shared" si="11"/>
        <v>1.4874221947648323</v>
      </c>
      <c r="DA20" s="57">
        <f t="shared" si="12"/>
        <v>-1.6901594566107314</v>
      </c>
      <c r="DB20" s="57">
        <f t="shared" si="13"/>
        <v>0.38133996264228387</v>
      </c>
      <c r="DC20" s="57">
        <f t="shared" si="14"/>
        <v>4.1792182837492806</v>
      </c>
      <c r="DF20" s="51">
        <v>19</v>
      </c>
      <c r="DG20" s="52">
        <f t="shared" si="36"/>
        <v>-0.1815510856346115</v>
      </c>
      <c r="DH20" s="52">
        <f t="shared" si="15"/>
        <v>0.21749367116274623</v>
      </c>
      <c r="DI20" s="52">
        <f t="shared" si="16"/>
        <v>-0.55312648959128907</v>
      </c>
      <c r="DJ20" s="52">
        <f t="shared" si="17"/>
        <v>-0.15131758234303447</v>
      </c>
      <c r="DK20" s="52">
        <f t="shared" si="18"/>
        <v>-0.60493341922481125</v>
      </c>
      <c r="DL20" s="52">
        <f t="shared" si="19"/>
        <v>-0.2075112778378134</v>
      </c>
      <c r="DM20" s="52">
        <f t="shared" si="20"/>
        <v>-0.20938969341233787</v>
      </c>
      <c r="DN20" s="52">
        <f t="shared" si="21"/>
        <v>0.19281635214921272</v>
      </c>
      <c r="DO20" s="52">
        <f t="shared" si="22"/>
        <v>-0.47005502200815569</v>
      </c>
      <c r="DP20" s="52">
        <f t="shared" si="23"/>
        <v>-6.5000538219097764E-2</v>
      </c>
      <c r="DQ20" s="52">
        <f t="shared" si="24"/>
        <v>-0.94239438017819155</v>
      </c>
      <c r="DR20" s="52">
        <f t="shared" si="25"/>
        <v>-0.54139274990337716</v>
      </c>
      <c r="DS20" s="52">
        <f t="shared" si="26"/>
        <v>-0.40165049728505003</v>
      </c>
      <c r="DT20" s="52">
        <f t="shared" si="27"/>
        <v>0.40165049728505003</v>
      </c>
      <c r="DX20">
        <v>19</v>
      </c>
      <c r="DY20" s="19">
        <f t="shared" si="4"/>
        <v>3.2098389596281334</v>
      </c>
      <c r="EM20" s="21">
        <v>19</v>
      </c>
      <c r="EN20" s="16">
        <f t="shared" si="28"/>
        <v>-0.15326162770631382</v>
      </c>
      <c r="EO20" s="16">
        <f t="shared" si="5"/>
        <v>-3.3631005873344471</v>
      </c>
      <c r="EP20" s="16">
        <f t="shared" si="29"/>
        <v>-1.9003938655444861</v>
      </c>
      <c r="EQ20" s="16">
        <f t="shared" si="30"/>
        <v>0.68769868422561697</v>
      </c>
      <c r="ER20" s="16">
        <f t="shared" si="31"/>
        <v>1.4874221947648323</v>
      </c>
      <c r="ES20" s="16">
        <f t="shared" si="32"/>
        <v>-1.6901594566107314</v>
      </c>
      <c r="ET20" s="16">
        <f t="shared" si="33"/>
        <v>0.38133996264228387</v>
      </c>
      <c r="EU20" s="16">
        <f t="shared" si="34"/>
        <v>4.1792182837492806</v>
      </c>
      <c r="EW20" s="40">
        <f>'SATORI H4'!EW9</f>
        <v>-12.778490656748431</v>
      </c>
      <c r="EX20" s="39" t="str">
        <f>'SATORI H4'!EX9</f>
        <v>USD</v>
      </c>
      <c r="FK20" s="20"/>
      <c r="FL20" s="20"/>
    </row>
    <row r="21" spans="1:168" ht="18.600000000000001" thickBot="1" x14ac:dyDescent="0.4">
      <c r="A21" s="37" t="s">
        <v>51</v>
      </c>
      <c r="B21" s="38">
        <v>19</v>
      </c>
      <c r="C21" s="63">
        <f>RTD("fxbluelabs.excelrtd", , "21422436","@bh,AUDUSD,h1,close,19")</f>
        <v>0.67454999999999998</v>
      </c>
      <c r="D21" s="64">
        <f>RTD("fxbluelabs.excelrtd", , "21422436","@bh,AUDNZD,h1,close,19")</f>
        <v>1.0942400000000001</v>
      </c>
      <c r="E21" s="65">
        <f>RTD("fxbluelabs.excelrtd", , "21422436","@bh,AUDJPY,h1,close,19")</f>
        <v>97.855000000000004</v>
      </c>
      <c r="F21" s="64">
        <f>RTD("fxbluelabs.excelrtd", , "21422436","@bh,AUDCHF,h1,close,19")</f>
        <v>0.57389000000000001</v>
      </c>
      <c r="G21" s="64">
        <f>RTD("fxbluelabs.excelrtd", , "21422436","@bh,AUDCAD,h1,close,19")</f>
        <v>0.91666999999999998</v>
      </c>
      <c r="H21" s="64">
        <f>RTD("fxbluelabs.excelrtd", , "21422436","@bh,EURUSD,h1,close,19")</f>
        <v>1.11557</v>
      </c>
      <c r="I21" s="64">
        <f>RTD("fxbluelabs.excelrtd", , "21422436","@bh,EURCAD,h1,close,19")</f>
        <v>1.516</v>
      </c>
      <c r="J21" s="64">
        <f>RTD("fxbluelabs.excelrtd", , "21422436","@bh,EURGBP,h1,close,19")</f>
        <v>0.85174000000000005</v>
      </c>
      <c r="K21" s="64">
        <f>RTD("fxbluelabs.excelrtd", , "21422436","@bh,EURCHF,h1,close,19")</f>
        <v>0.94908000000000003</v>
      </c>
      <c r="L21" s="65">
        <f>RTD("fxbluelabs.excelrtd", , "21422436","@bh,EURJPY,h1,close,19")</f>
        <v>161.83199999999999</v>
      </c>
      <c r="M21" s="64">
        <f>RTD("fxbluelabs.excelrtd", , "21422436","@bh,EURAUD,h1,close,19")</f>
        <v>1.65378</v>
      </c>
      <c r="N21" s="64">
        <f>RTD("fxbluelabs.excelrtd", , "21422436","@bh,EURNZD,h1,close,19")</f>
        <v>1.80965</v>
      </c>
      <c r="O21" s="64">
        <f>RTD("fxbluelabs.excelrtd", , "21422436","@bh,GBPUSD,h1,close,19")</f>
        <v>1.30966</v>
      </c>
      <c r="P21" s="64">
        <f>RTD("fxbluelabs.excelrtd", , "21422436","@bh,GBPAUD,h1,close,19")</f>
        <v>1.94154</v>
      </c>
      <c r="Q21" s="64">
        <f>RTD("fxbluelabs.excelrtd", , "21422436","@bh,GBPNZD,h1,close,19")</f>
        <v>2.1244999999999998</v>
      </c>
      <c r="R21" s="64">
        <f>RTD("fxbluelabs.excelrtd", , "21422436","@bh,GBPCAD,h1,close,19")</f>
        <v>1.7797400000000001</v>
      </c>
      <c r="S21" s="64">
        <f>RTD("fxbluelabs.excelrtd", , "21422436","@bh,GBPCHF,h1,close,19")</f>
        <v>1.11425</v>
      </c>
      <c r="T21" s="65">
        <f>RTD("fxbluelabs.excelrtd", , "21422436","@bh,GBPJPY,h1,close,19")</f>
        <v>189.99299999999999</v>
      </c>
      <c r="U21" s="65">
        <f>RTD("fxbluelabs.excelrtd", , "21422436","@bh,NZDJPY,h1,close,19")</f>
        <v>89.42</v>
      </c>
      <c r="V21" s="64">
        <f>RTD("fxbluelabs.excelrtd", , "21422436","@bh,NZDCHF,h1,close,19")</f>
        <v>0.52442999999999995</v>
      </c>
      <c r="W21" s="64">
        <f>RTD("fxbluelabs.excelrtd", , "21422436","@bh,NZDUSD,h1,close,19")</f>
        <v>0.61638999999999999</v>
      </c>
      <c r="X21" s="64">
        <f>RTD("fxbluelabs.excelrtd", , "21422436","@bh,NZDCAD,h1,close,19")</f>
        <v>0.83765000000000001</v>
      </c>
      <c r="Y21" s="65">
        <f>RTD("fxbluelabs.excelrtd", , "21422436","@bh,CADJPY,h1,close,19")</f>
        <v>106.748</v>
      </c>
      <c r="Z21" s="64">
        <f>RTD("fxbluelabs.excelrtd", , "21422436","@bh,CADCHF,h1,close,19")</f>
        <v>0.62605</v>
      </c>
      <c r="AA21" s="65">
        <f>RTD("fxbluelabs.excelrtd", , "21422436","@bh,CHFJPY,h1,close,19")</f>
        <v>170.5</v>
      </c>
      <c r="AB21" s="64">
        <f>RTD("fxbluelabs.excelrtd", , "21422436","@bh,USDCAD,h1,close,19")</f>
        <v>1.359</v>
      </c>
      <c r="AC21" s="64">
        <f>RTD("fxbluelabs.excelrtd", , "21422436","@bh,USDCHF,h1,close,19")</f>
        <v>0.8508</v>
      </c>
      <c r="AD21" s="66">
        <f>RTD("fxbluelabs.excelrtd", , "21422436","@bh,USDJPY,h1,close,19")</f>
        <v>145.07</v>
      </c>
      <c r="AH21" s="56">
        <v>20</v>
      </c>
      <c r="AI21" s="75">
        <f t="shared" si="40"/>
        <v>5.9333976118068073E-2</v>
      </c>
      <c r="AJ21" s="75">
        <f t="shared" si="40"/>
        <v>-7.5794241464005624E-2</v>
      </c>
      <c r="AK21" s="75">
        <f t="shared" si="40"/>
        <v>-2.7584234077768152E-2</v>
      </c>
      <c r="AL21" s="75">
        <f t="shared" si="40"/>
        <v>-5.2272093671547415E-3</v>
      </c>
      <c r="AM21" s="75">
        <f t="shared" si="40"/>
        <v>5.6759264312608734E-2</v>
      </c>
      <c r="AN21" s="75">
        <f>IF(H21=0,0,(H21-H22)*100/H22)</f>
        <v>8.2537119275111648E-2</v>
      </c>
      <c r="AO21" s="75">
        <f t="shared" si="40"/>
        <v>8.1861152921908931E-2</v>
      </c>
      <c r="AP21" s="75">
        <f t="shared" si="40"/>
        <v>1.9963126930258635E-2</v>
      </c>
      <c r="AQ21" s="75">
        <f t="shared" si="40"/>
        <v>1.7915292282724756E-2</v>
      </c>
      <c r="AR21" s="75">
        <f t="shared" si="40"/>
        <v>-2.4716379544842304E-3</v>
      </c>
      <c r="AS21" s="75">
        <f t="shared" si="40"/>
        <v>2.4192865523954318E-2</v>
      </c>
      <c r="AT21" s="75">
        <f t="shared" si="40"/>
        <v>-5.1364756045029623E-2</v>
      </c>
      <c r="AU21" s="75">
        <f t="shared" si="40"/>
        <v>5.5770744042853281E-2</v>
      </c>
      <c r="AV21" s="75">
        <f t="shared" si="40"/>
        <v>-2.060177793345626E-3</v>
      </c>
      <c r="AW21" s="75">
        <f t="shared" si="40"/>
        <v>-7.8544989347055144E-2</v>
      </c>
      <c r="AX21" s="75">
        <f t="shared" si="40"/>
        <v>5.3407091337370143E-2</v>
      </c>
      <c r="AY21" s="75">
        <f t="shared" si="39"/>
        <v>-6.2818579941143022E-3</v>
      </c>
      <c r="AZ21" s="75">
        <f t="shared" si="39"/>
        <v>-2.8940057248698657E-2</v>
      </c>
      <c r="BA21" s="75">
        <f t="shared" si="39"/>
        <v>4.811081150632307E-2</v>
      </c>
      <c r="BB21" s="75">
        <f t="shared" si="39"/>
        <v>7.2512164869752108E-2</v>
      </c>
      <c r="BC21" s="75">
        <f t="shared" si="39"/>
        <v>0.13320987052651087</v>
      </c>
      <c r="BD21" s="75">
        <f t="shared" si="39"/>
        <v>0.13149243918474565</v>
      </c>
      <c r="BE21" s="75">
        <f t="shared" si="39"/>
        <v>-8.5174889319437633E-2</v>
      </c>
      <c r="BF21" s="75">
        <f t="shared" si="39"/>
        <v>-6.2256560883724131E-2</v>
      </c>
      <c r="BG21" s="75">
        <f t="shared" si="39"/>
        <v>-2.6972195184872275E-2</v>
      </c>
      <c r="BH21" s="75">
        <f t="shared" si="39"/>
        <v>-1.4716486880184973E-3</v>
      </c>
      <c r="BI21" s="75">
        <f t="shared" si="39"/>
        <v>-6.3429417154131709E-2</v>
      </c>
      <c r="BJ21" s="75">
        <f t="shared" si="39"/>
        <v>-8.4714827849840468E-2</v>
      </c>
      <c r="BN21" s="59">
        <v>20</v>
      </c>
      <c r="BO21" s="79">
        <f t="shared" si="6"/>
        <v>0.11302915675826636</v>
      </c>
      <c r="BP21" s="79">
        <f t="shared" si="2"/>
        <v>-0.28737195559162498</v>
      </c>
      <c r="BQ21" s="79">
        <f t="shared" si="38"/>
        <v>-0.60674129925743026</v>
      </c>
      <c r="BR21" s="79">
        <f t="shared" si="38"/>
        <v>-0.39794213310748333</v>
      </c>
      <c r="BS21" s="79">
        <f t="shared" si="38"/>
        <v>-2.608825814363136E-2</v>
      </c>
      <c r="BT21" s="79">
        <f t="shared" si="38"/>
        <v>0.34696993039995994</v>
      </c>
      <c r="BU21" s="79">
        <f t="shared" si="38"/>
        <v>0.20891847327356655</v>
      </c>
      <c r="BV21" s="79">
        <f t="shared" si="38"/>
        <v>-0.1922484041909171</v>
      </c>
      <c r="BW21" s="79">
        <f t="shared" si="38"/>
        <v>-0.16606870975062055</v>
      </c>
      <c r="BX21" s="79">
        <f t="shared" si="38"/>
        <v>-0.37393513954202301</v>
      </c>
      <c r="BY21" s="79">
        <f t="shared" si="38"/>
        <v>0.23332960058612379</v>
      </c>
      <c r="BZ21" s="79">
        <f t="shared" si="38"/>
        <v>-5.3948677362027173E-2</v>
      </c>
      <c r="CA21" s="79">
        <f t="shared" si="38"/>
        <v>0.53163195166835775</v>
      </c>
      <c r="CB21" s="79">
        <f t="shared" si="38"/>
        <v>0.41998125011429721</v>
      </c>
      <c r="CC21" s="79">
        <f t="shared" si="38"/>
        <v>0.13169154609903724</v>
      </c>
      <c r="CD21" s="79">
        <f t="shared" si="38"/>
        <v>0.39265103777451887</v>
      </c>
      <c r="CE21" s="79">
        <f t="shared" si="38"/>
        <v>2.2680724560072005E-2</v>
      </c>
      <c r="CF21" s="79">
        <f t="shared" si="38"/>
        <v>-0.18566874409281117</v>
      </c>
      <c r="CG21" s="79">
        <f t="shared" si="38"/>
        <v>-0.31907277443630838</v>
      </c>
      <c r="CH21" s="79">
        <f t="shared" si="38"/>
        <v>-0.10846380948755945</v>
      </c>
      <c r="CI21" s="79">
        <f t="shared" si="38"/>
        <v>0.40029399408751432</v>
      </c>
      <c r="CJ21" s="79">
        <f t="shared" si="38"/>
        <v>0.26315694535652284</v>
      </c>
      <c r="CK21" s="79">
        <f t="shared" si="38"/>
        <v>-0.58326984938370263</v>
      </c>
      <c r="CL21" s="79">
        <f t="shared" si="38"/>
        <v>-0.37283372832222339</v>
      </c>
      <c r="CM21" s="79">
        <f t="shared" si="37"/>
        <v>-0.21550854371549233</v>
      </c>
      <c r="CN21" s="79">
        <f t="shared" si="37"/>
        <v>-0.13740097525934042</v>
      </c>
      <c r="CO21" s="79">
        <f t="shared" si="37"/>
        <v>-0.50846264379908812</v>
      </c>
      <c r="CP21" s="79">
        <f t="shared" si="37"/>
        <v>-0.71905392384677658</v>
      </c>
      <c r="CU21" s="56">
        <v>20</v>
      </c>
      <c r="CV21" s="58">
        <f t="shared" si="7"/>
        <v>3.0170734140625016E-3</v>
      </c>
      <c r="CW21" s="58">
        <f t="shared" si="8"/>
        <v>-2.7568425758193036</v>
      </c>
      <c r="CX21" s="58">
        <f t="shared" si="9"/>
        <v>-1.6573408007075625</v>
      </c>
      <c r="CY21" s="58">
        <f t="shared" si="10"/>
        <v>0.9427480278691871</v>
      </c>
      <c r="CZ21" s="58">
        <f t="shared" si="11"/>
        <v>1.5052161703143891</v>
      </c>
      <c r="DA21" s="58">
        <f t="shared" si="12"/>
        <v>-1.8584253400423245</v>
      </c>
      <c r="DB21" s="58">
        <f t="shared" si="13"/>
        <v>0.44554344237478422</v>
      </c>
      <c r="DC21" s="58">
        <f t="shared" si="14"/>
        <v>3.0032502742745444</v>
      </c>
      <c r="DF21" s="53">
        <v>20</v>
      </c>
      <c r="DG21" s="54">
        <f t="shared" si="36"/>
        <v>-0.13740097525934042</v>
      </c>
      <c r="DH21" s="54">
        <f t="shared" si="15"/>
        <v>0.20891847327356655</v>
      </c>
      <c r="DI21" s="54">
        <f t="shared" si="16"/>
        <v>-0.50846264379908812</v>
      </c>
      <c r="DJ21" s="54">
        <f t="shared" si="17"/>
        <v>-0.16606870975062055</v>
      </c>
      <c r="DK21" s="54">
        <f t="shared" si="18"/>
        <v>-0.53163195166835775</v>
      </c>
      <c r="DL21" s="54">
        <f t="shared" si="19"/>
        <v>-0.1922484041909171</v>
      </c>
      <c r="DM21" s="54">
        <f t="shared" si="20"/>
        <v>-0.11302915675826636</v>
      </c>
      <c r="DN21" s="54">
        <f t="shared" si="21"/>
        <v>0.23332960058612379</v>
      </c>
      <c r="DO21" s="54">
        <f t="shared" si="22"/>
        <v>-0.40029399408751432</v>
      </c>
      <c r="DP21" s="54">
        <f t="shared" si="23"/>
        <v>-5.3948677362027173E-2</v>
      </c>
      <c r="DQ21" s="54">
        <f t="shared" si="24"/>
        <v>-0.71905392384677658</v>
      </c>
      <c r="DR21" s="54">
        <f t="shared" si="25"/>
        <v>-0.37393513954202301</v>
      </c>
      <c r="DS21" s="54">
        <f>-(BT21)</f>
        <v>-0.34696993039995994</v>
      </c>
      <c r="DT21" s="54">
        <f t="shared" si="27"/>
        <v>0.34696993039995994</v>
      </c>
      <c r="DX21">
        <v>20</v>
      </c>
      <c r="DY21" s="19">
        <f t="shared" si="4"/>
        <v>2.7598596492333662</v>
      </c>
      <c r="EM21" s="21">
        <v>20</v>
      </c>
      <c r="EN21" s="16">
        <f t="shared" si="28"/>
        <v>3.0170734140625016E-3</v>
      </c>
      <c r="EO21" s="16">
        <f t="shared" si="5"/>
        <v>-2.7568425758193036</v>
      </c>
      <c r="EP21" s="16">
        <f t="shared" si="29"/>
        <v>-1.6573408007075625</v>
      </c>
      <c r="EQ21" s="16">
        <f t="shared" si="30"/>
        <v>0.9427480278691871</v>
      </c>
      <c r="ER21" s="16">
        <f t="shared" si="31"/>
        <v>1.5052161703143891</v>
      </c>
      <c r="ES21" s="16">
        <f t="shared" si="32"/>
        <v>-1.8584253400423245</v>
      </c>
      <c r="ET21" s="16">
        <f t="shared" si="33"/>
        <v>0.44554344237478422</v>
      </c>
      <c r="EU21" s="16">
        <f t="shared" si="34"/>
        <v>3.0032502742745444</v>
      </c>
      <c r="EW21" s="41"/>
      <c r="FK21" s="20"/>
      <c r="FL21" s="20"/>
    </row>
    <row r="22" spans="1:168" ht="18.600000000000001" thickBot="1" x14ac:dyDescent="0.35">
      <c r="A22" s="37" t="s">
        <v>51</v>
      </c>
      <c r="B22" s="38">
        <v>20</v>
      </c>
      <c r="C22" s="63">
        <f>RTD("fxbluelabs.excelrtd", , "21422436","@bh,AUDUSD,h1,close,20")</f>
        <v>0.67415000000000003</v>
      </c>
      <c r="D22" s="64">
        <f>RTD("fxbluelabs.excelrtd", , "21422436","@bh,AUDNZD,h1,close,20")</f>
        <v>1.09507</v>
      </c>
      <c r="E22" s="65">
        <f>RTD("fxbluelabs.excelrtd", , "21422436","@bh,AUDJPY,h1,close,20")</f>
        <v>97.882000000000005</v>
      </c>
      <c r="F22" s="64">
        <f>RTD("fxbluelabs.excelrtd", , "21422436","@bh,AUDCHF,h1,close,20")</f>
        <v>0.57391999999999999</v>
      </c>
      <c r="G22" s="64">
        <f>RTD("fxbluelabs.excelrtd", , "21422436","@bh,AUDCAD,h1,close,20")</f>
        <v>0.91615000000000002</v>
      </c>
      <c r="H22" s="64">
        <f>RTD("fxbluelabs.excelrtd", , "21422436","@bh,EURUSD,h1,close,20")</f>
        <v>1.1146499999999999</v>
      </c>
      <c r="I22" s="64">
        <f>RTD("fxbluelabs.excelrtd", , "21422436","@bh,EURCAD,h1,close,20")</f>
        <v>1.5147600000000001</v>
      </c>
      <c r="J22" s="64">
        <f>RTD("fxbluelabs.excelrtd", , "21422436","@bh,EURGBP,h1,close,20")</f>
        <v>0.85157000000000005</v>
      </c>
      <c r="K22" s="64">
        <f>RTD("fxbluelabs.excelrtd", , "21422436","@bh,EURCHF,h1,close,20")</f>
        <v>0.94891000000000003</v>
      </c>
      <c r="L22" s="65">
        <f>RTD("fxbluelabs.excelrtd", , "21422436","@bh,EURJPY,h1,close,20")</f>
        <v>161.83600000000001</v>
      </c>
      <c r="M22" s="64">
        <f>RTD("fxbluelabs.excelrtd", , "21422436","@bh,EURAUD,h1,close,20")</f>
        <v>1.6533800000000001</v>
      </c>
      <c r="N22" s="64">
        <f>RTD("fxbluelabs.excelrtd", , "21422436","@bh,EURNZD,h1,close,20")</f>
        <v>1.8105800000000001</v>
      </c>
      <c r="O22" s="64">
        <f>RTD("fxbluelabs.excelrtd", , "21422436","@bh,GBPUSD,h1,close,20")</f>
        <v>1.3089299999999999</v>
      </c>
      <c r="P22" s="64">
        <f>RTD("fxbluelabs.excelrtd", , "21422436","@bh,GBPAUD,h1,close,20")</f>
        <v>1.9415800000000001</v>
      </c>
      <c r="Q22" s="64">
        <f>RTD("fxbluelabs.excelrtd", , "21422436","@bh,GBPNZD,h1,close,20")</f>
        <v>2.1261700000000001</v>
      </c>
      <c r="R22" s="64">
        <f>RTD("fxbluelabs.excelrtd", , "21422436","@bh,GBPCAD,h1,close,20")</f>
        <v>1.7787900000000001</v>
      </c>
      <c r="S22" s="64">
        <f>RTD("fxbluelabs.excelrtd", , "21422436","@bh,GBPCHF,h1,close,20")</f>
        <v>1.11432</v>
      </c>
      <c r="T22" s="65">
        <f>RTD("fxbluelabs.excelrtd", , "21422436","@bh,GBPJPY,h1,close,20")</f>
        <v>190.048</v>
      </c>
      <c r="U22" s="65">
        <f>RTD("fxbluelabs.excelrtd", , "21422436","@bh,NZDJPY,h1,close,20")</f>
        <v>89.376999999999995</v>
      </c>
      <c r="V22" s="64">
        <f>RTD("fxbluelabs.excelrtd", , "21422436","@bh,NZDCHF,h1,close,20")</f>
        <v>0.52405000000000002</v>
      </c>
      <c r="W22" s="64">
        <f>RTD("fxbluelabs.excelrtd", , "21422436","@bh,NZDUSD,h1,close,20")</f>
        <v>0.61556999999999995</v>
      </c>
      <c r="X22" s="64">
        <f>RTD("fxbluelabs.excelrtd", , "21422436","@bh,NZDCAD,h1,close,20")</f>
        <v>0.83655000000000002</v>
      </c>
      <c r="Y22" s="65">
        <f>RTD("fxbluelabs.excelrtd", , "21422436","@bh,CADJPY,h1,close,20")</f>
        <v>106.839</v>
      </c>
      <c r="Z22" s="64">
        <f>RTD("fxbluelabs.excelrtd", , "21422436","@bh,CADCHF,h1,close,20")</f>
        <v>0.62644</v>
      </c>
      <c r="AA22" s="65">
        <f>RTD("fxbluelabs.excelrtd", , "21422436","@bh,CHFJPY,h1,close,20")</f>
        <v>170.54599999999999</v>
      </c>
      <c r="AB22" s="64">
        <f>RTD("fxbluelabs.excelrtd", , "21422436","@bh,USDCAD,h1,close,20")</f>
        <v>1.3590199999999999</v>
      </c>
      <c r="AC22" s="64">
        <f>RTD("fxbluelabs.excelrtd", , "21422436","@bh,USDCHF,h1,close,20")</f>
        <v>0.85133999999999999</v>
      </c>
      <c r="AD22" s="66">
        <f>RTD("fxbluelabs.excelrtd", , "21422436","@bh,USDJPY,h1,close,20")</f>
        <v>145.19300000000001</v>
      </c>
      <c r="AH22" s="56">
        <v>21</v>
      </c>
      <c r="AI22" s="74">
        <f t="shared" si="40"/>
        <v>-0.12000711153253191</v>
      </c>
      <c r="AJ22" s="74">
        <f t="shared" si="40"/>
        <v>-4.1988809069574085E-2</v>
      </c>
      <c r="AK22" s="74">
        <f t="shared" si="40"/>
        <v>-0.12346560819566249</v>
      </c>
      <c r="AL22" s="74">
        <f t="shared" si="40"/>
        <v>-0.14788524105294595</v>
      </c>
      <c r="AM22" s="74">
        <f t="shared" si="40"/>
        <v>-6.8718776587624014E-2</v>
      </c>
      <c r="AN22" s="74">
        <f t="shared" si="40"/>
        <v>3.7694192401915662E-2</v>
      </c>
      <c r="AO22" s="74">
        <f t="shared" si="40"/>
        <v>9.0525244649435593E-2</v>
      </c>
      <c r="AP22" s="74">
        <f t="shared" si="40"/>
        <v>-6.1026417397219181E-2</v>
      </c>
      <c r="AQ22" s="74">
        <f t="shared" si="40"/>
        <v>8.4314366114140588E-3</v>
      </c>
      <c r="AR22" s="74">
        <f t="shared" si="40"/>
        <v>3.0905022684293678E-2</v>
      </c>
      <c r="AS22" s="74">
        <f t="shared" si="40"/>
        <v>0.15750130241462568</v>
      </c>
      <c r="AT22" s="74">
        <f t="shared" si="40"/>
        <v>0.1155660246946429</v>
      </c>
      <c r="AU22" s="74">
        <f t="shared" si="40"/>
        <v>0.10018201006407995</v>
      </c>
      <c r="AV22" s="74">
        <f t="shared" si="40"/>
        <v>0.21885678301175948</v>
      </c>
      <c r="AW22" s="74">
        <f t="shared" si="40"/>
        <v>0.17715709971212951</v>
      </c>
      <c r="AX22" s="74">
        <f t="shared" si="40"/>
        <v>0.15145543606779355</v>
      </c>
      <c r="AY22" s="74">
        <f t="shared" si="39"/>
        <v>7.0046877525729023E-2</v>
      </c>
      <c r="AZ22" s="74">
        <f t="shared" si="39"/>
        <v>9.5857078149846703E-2</v>
      </c>
      <c r="BA22" s="74">
        <f t="shared" si="39"/>
        <v>-8.160983789827557E-2</v>
      </c>
      <c r="BB22" s="74">
        <f t="shared" si="39"/>
        <v>-0.10674596366824973</v>
      </c>
      <c r="BC22" s="74">
        <f t="shared" si="39"/>
        <v>-7.6293747159288591E-2</v>
      </c>
      <c r="BD22" s="74">
        <f t="shared" si="39"/>
        <v>-2.2707173076466223E-2</v>
      </c>
      <c r="BE22" s="74">
        <f t="shared" si="39"/>
        <v>-5.6127746751608781E-2</v>
      </c>
      <c r="BF22" s="74">
        <f t="shared" si="39"/>
        <v>-8.1346199856449544E-2</v>
      </c>
      <c r="BG22" s="74">
        <f t="shared" si="39"/>
        <v>2.2872961227390819E-2</v>
      </c>
      <c r="BH22" s="74">
        <f t="shared" si="39"/>
        <v>5.1534248188933603E-2</v>
      </c>
      <c r="BI22" s="74">
        <f t="shared" si="39"/>
        <v>-2.7008936435062705E-2</v>
      </c>
      <c r="BJ22" s="74">
        <f t="shared" si="39"/>
        <v>-4.8209366391023288E-3</v>
      </c>
      <c r="BN22" s="59">
        <v>21</v>
      </c>
      <c r="BO22" s="78">
        <f t="shared" si="6"/>
        <v>5.3695180640198292E-2</v>
      </c>
      <c r="BP22" s="78">
        <f t="shared" si="2"/>
        <v>-0.21157771412761939</v>
      </c>
      <c r="BQ22" s="78">
        <f t="shared" si="38"/>
        <v>-0.57915706517966203</v>
      </c>
      <c r="BR22" s="78">
        <f t="shared" si="38"/>
        <v>-0.39271492374032857</v>
      </c>
      <c r="BS22" s="78">
        <f t="shared" si="38"/>
        <v>-8.2847522456240094E-2</v>
      </c>
      <c r="BT22" s="78">
        <f t="shared" si="38"/>
        <v>0.26443281112484834</v>
      </c>
      <c r="BU22" s="78">
        <f t="shared" si="38"/>
        <v>0.12705732035165762</v>
      </c>
      <c r="BV22" s="78">
        <f t="shared" si="38"/>
        <v>-0.21221153112117577</v>
      </c>
      <c r="BW22" s="78">
        <f t="shared" si="38"/>
        <v>-0.18398400203334531</v>
      </c>
      <c r="BX22" s="78">
        <f t="shared" si="38"/>
        <v>-0.37146350158753882</v>
      </c>
      <c r="BY22" s="78">
        <f t="shared" si="38"/>
        <v>0.20913673506216945</v>
      </c>
      <c r="BZ22" s="78">
        <f t="shared" si="38"/>
        <v>-2.5839213169975422E-3</v>
      </c>
      <c r="CA22" s="78">
        <f t="shared" si="38"/>
        <v>0.47586120762550438</v>
      </c>
      <c r="CB22" s="78">
        <f t="shared" si="38"/>
        <v>0.42204142790764282</v>
      </c>
      <c r="CC22" s="78">
        <f t="shared" si="38"/>
        <v>0.21023653544609239</v>
      </c>
      <c r="CD22" s="78">
        <f t="shared" si="38"/>
        <v>0.33924394643714878</v>
      </c>
      <c r="CE22" s="78">
        <f t="shared" si="38"/>
        <v>2.8962582554186295E-2</v>
      </c>
      <c r="CF22" s="78">
        <f t="shared" si="38"/>
        <v>-0.15672868684411248</v>
      </c>
      <c r="CG22" s="78">
        <f t="shared" si="38"/>
        <v>-0.36718358594263145</v>
      </c>
      <c r="CH22" s="78">
        <f t="shared" si="38"/>
        <v>-0.18097597435731155</v>
      </c>
      <c r="CI22" s="78">
        <f t="shared" si="38"/>
        <v>0.26708412356100336</v>
      </c>
      <c r="CJ22" s="78">
        <f t="shared" si="38"/>
        <v>0.13166450617177722</v>
      </c>
      <c r="CK22" s="78">
        <f t="shared" si="38"/>
        <v>-0.49809496006426479</v>
      </c>
      <c r="CL22" s="78">
        <f t="shared" si="38"/>
        <v>-0.31057716743849928</v>
      </c>
      <c r="CM22" s="78">
        <f t="shared" si="37"/>
        <v>-0.18853634853062001</v>
      </c>
      <c r="CN22" s="78">
        <f t="shared" si="37"/>
        <v>-0.13592932657132195</v>
      </c>
      <c r="CO22" s="78">
        <f t="shared" si="37"/>
        <v>-0.44503322664495637</v>
      </c>
      <c r="CP22" s="78">
        <f t="shared" si="37"/>
        <v>-0.63433909599693605</v>
      </c>
      <c r="CU22" s="56">
        <v>21</v>
      </c>
      <c r="CV22" s="57">
        <f t="shared" si="7"/>
        <v>-0.16961608952038204</v>
      </c>
      <c r="CW22" s="57">
        <f t="shared" si="8"/>
        <v>-2.2763749721647688</v>
      </c>
      <c r="CX22" s="57">
        <f t="shared" si="9"/>
        <v>-1.1878610514357857</v>
      </c>
      <c r="CY22" s="57">
        <f t="shared" si="10"/>
        <v>0.98520919569113552</v>
      </c>
      <c r="CZ22" s="57">
        <f t="shared" si="11"/>
        <v>1.5318285442476383</v>
      </c>
      <c r="DA22" s="57">
        <f t="shared" si="12"/>
        <v>-1.843780207833464</v>
      </c>
      <c r="DB22" s="57">
        <f t="shared" si="13"/>
        <v>-0.14548583056863784</v>
      </c>
      <c r="DC22" s="57">
        <f t="shared" si="14"/>
        <v>2.7955032441457659</v>
      </c>
      <c r="DF22" s="51">
        <v>21</v>
      </c>
      <c r="DG22" s="52">
        <f t="shared" si="36"/>
        <v>-0.13592932657132195</v>
      </c>
      <c r="DH22" s="52">
        <f t="shared" si="15"/>
        <v>0.12705732035165762</v>
      </c>
      <c r="DI22" s="52">
        <f t="shared" si="16"/>
        <v>-0.44503322664495637</v>
      </c>
      <c r="DJ22" s="52">
        <f t="shared" si="17"/>
        <v>-0.18398400203334531</v>
      </c>
      <c r="DK22" s="52">
        <f t="shared" si="18"/>
        <v>-0.47586120762550438</v>
      </c>
      <c r="DL22" s="52">
        <f t="shared" si="19"/>
        <v>-0.21221153112117577</v>
      </c>
      <c r="DM22" s="52">
        <f t="shared" si="20"/>
        <v>-5.3695180640198292E-2</v>
      </c>
      <c r="DN22" s="52">
        <f t="shared" si="21"/>
        <v>0.20913673506216945</v>
      </c>
      <c r="DO22" s="52">
        <f t="shared" si="22"/>
        <v>-0.26708412356100336</v>
      </c>
      <c r="DP22" s="52">
        <f t="shared" si="23"/>
        <v>-2.5839213169975422E-3</v>
      </c>
      <c r="DQ22" s="52">
        <f t="shared" si="24"/>
        <v>-0.63433909599693605</v>
      </c>
      <c r="DR22" s="52">
        <f t="shared" si="25"/>
        <v>-0.37146350158753882</v>
      </c>
      <c r="DS22" s="52">
        <f t="shared" si="26"/>
        <v>-0.26443281112484834</v>
      </c>
      <c r="DT22" s="52">
        <f t="shared" si="27"/>
        <v>0.26443281112484834</v>
      </c>
      <c r="DX22">
        <v>21</v>
      </c>
      <c r="DY22" s="19">
        <f t="shared" si="4"/>
        <v>2.1067588826443866</v>
      </c>
      <c r="EM22" s="13">
        <v>21</v>
      </c>
      <c r="EN22" s="16">
        <f t="shared" si="28"/>
        <v>-0.16961608952038204</v>
      </c>
      <c r="EO22" s="16">
        <f t="shared" si="5"/>
        <v>-2.2763749721647688</v>
      </c>
      <c r="EP22" s="16">
        <f t="shared" si="29"/>
        <v>-1.1878610514357857</v>
      </c>
      <c r="EQ22" s="16">
        <f t="shared" si="30"/>
        <v>0.98520919569113552</v>
      </c>
      <c r="ER22" s="16">
        <f t="shared" si="31"/>
        <v>1.5318285442476383</v>
      </c>
      <c r="ES22" s="16">
        <f t="shared" si="32"/>
        <v>-1.843780207833464</v>
      </c>
      <c r="ET22" s="16">
        <f t="shared" si="33"/>
        <v>-0.14548583056863784</v>
      </c>
      <c r="EU22" s="16">
        <f t="shared" si="34"/>
        <v>2.7955032441457659</v>
      </c>
      <c r="EW22" s="42" t="s">
        <v>54</v>
      </c>
      <c r="FK22" s="20"/>
      <c r="FL22" s="20"/>
    </row>
    <row r="23" spans="1:168" ht="18.600000000000001" thickBot="1" x14ac:dyDescent="0.4">
      <c r="A23" s="37" t="s">
        <v>51</v>
      </c>
      <c r="B23" s="38">
        <v>21</v>
      </c>
      <c r="C23" s="63">
        <f>RTD("fxbluelabs.excelrtd", , "21422436","@bh,AUDUSD,h1,close,21")</f>
        <v>0.67496</v>
      </c>
      <c r="D23" s="64">
        <f>RTD("fxbluelabs.excelrtd", , "21422436","@bh,AUDNZD,h1,close,21")</f>
        <v>1.0955299999999999</v>
      </c>
      <c r="E23" s="65">
        <f>RTD("fxbluelabs.excelrtd", , "21422436","@bh,AUDJPY,h1,close,21")</f>
        <v>98.003</v>
      </c>
      <c r="F23" s="64">
        <f>RTD("fxbluelabs.excelrtd", , "21422436","@bh,AUDCHF,h1,close,21")</f>
        <v>0.57477</v>
      </c>
      <c r="G23" s="64">
        <f>RTD("fxbluelabs.excelrtd", , "21422436","@bh,AUDCAD,h1,close,21")</f>
        <v>0.91678000000000004</v>
      </c>
      <c r="H23" s="64">
        <f>RTD("fxbluelabs.excelrtd", , "21422436","@bh,EURUSD,h1,close,21")</f>
        <v>1.1142300000000001</v>
      </c>
      <c r="I23" s="64">
        <f>RTD("fxbluelabs.excelrtd", , "21422436","@bh,EURCAD,h1,close,21")</f>
        <v>1.51339</v>
      </c>
      <c r="J23" s="64">
        <f>RTD("fxbluelabs.excelrtd", , "21422436","@bh,EURGBP,h1,close,21")</f>
        <v>0.85209000000000001</v>
      </c>
      <c r="K23" s="64">
        <f>RTD("fxbluelabs.excelrtd", , "21422436","@bh,EURCHF,h1,close,21")</f>
        <v>0.94882999999999995</v>
      </c>
      <c r="L23" s="65">
        <f>RTD("fxbluelabs.excelrtd", , "21422436","@bh,EURJPY,h1,close,21")</f>
        <v>161.786</v>
      </c>
      <c r="M23" s="64">
        <f>RTD("fxbluelabs.excelrtd", , "21422436","@bh,EURAUD,h1,close,21")</f>
        <v>1.6507799999999999</v>
      </c>
      <c r="N23" s="64">
        <f>RTD("fxbluelabs.excelrtd", , "21422436","@bh,EURNZD,h1,close,21")</f>
        <v>1.8084899999999999</v>
      </c>
      <c r="O23" s="64">
        <f>RTD("fxbluelabs.excelrtd", , "21422436","@bh,GBPUSD,h1,close,21")</f>
        <v>1.30762</v>
      </c>
      <c r="P23" s="64">
        <f>RTD("fxbluelabs.excelrtd", , "21422436","@bh,GBPAUD,h1,close,21")</f>
        <v>1.9373400000000001</v>
      </c>
      <c r="Q23" s="64">
        <f>RTD("fxbluelabs.excelrtd", , "21422436","@bh,GBPNZD,h1,close,21")</f>
        <v>2.1224099999999999</v>
      </c>
      <c r="R23" s="64">
        <f>RTD("fxbluelabs.excelrtd", , "21422436","@bh,GBPCAD,h1,close,21")</f>
        <v>1.7761</v>
      </c>
      <c r="S23" s="64">
        <f>RTD("fxbluelabs.excelrtd", , "21422436","@bh,GBPCHF,h1,close,21")</f>
        <v>1.11354</v>
      </c>
      <c r="T23" s="65">
        <f>RTD("fxbluelabs.excelrtd", , "21422436","@bh,GBPJPY,h1,close,21")</f>
        <v>189.86600000000001</v>
      </c>
      <c r="U23" s="65">
        <f>RTD("fxbluelabs.excelrtd", , "21422436","@bh,NZDJPY,h1,close,21")</f>
        <v>89.45</v>
      </c>
      <c r="V23" s="64">
        <f>RTD("fxbluelabs.excelrtd", , "21422436","@bh,NZDCHF,h1,close,21")</f>
        <v>0.52461000000000002</v>
      </c>
      <c r="W23" s="64">
        <f>RTD("fxbluelabs.excelrtd", , "21422436","@bh,NZDUSD,h1,close,21")</f>
        <v>0.61604000000000003</v>
      </c>
      <c r="X23" s="64">
        <f>RTD("fxbluelabs.excelrtd", , "21422436","@bh,NZDCAD,h1,close,21")</f>
        <v>0.83674000000000004</v>
      </c>
      <c r="Y23" s="65">
        <f>RTD("fxbluelabs.excelrtd", , "21422436","@bh,CADJPY,h1,close,21")</f>
        <v>106.899</v>
      </c>
      <c r="Z23" s="64">
        <f>RTD("fxbluelabs.excelrtd", , "21422436","@bh,CADCHF,h1,close,21")</f>
        <v>0.62695000000000001</v>
      </c>
      <c r="AA23" s="65">
        <f>RTD("fxbluelabs.excelrtd", , "21422436","@bh,CHFJPY,h1,close,21")</f>
        <v>170.50700000000001</v>
      </c>
      <c r="AB23" s="64">
        <f>RTD("fxbluelabs.excelrtd", , "21422436","@bh,USDCAD,h1,close,21")</f>
        <v>1.35832</v>
      </c>
      <c r="AC23" s="64">
        <f>RTD("fxbluelabs.excelrtd", , "21422436","@bh,USDCHF,h1,close,21")</f>
        <v>0.85157000000000005</v>
      </c>
      <c r="AD23" s="66">
        <f>RTD("fxbluelabs.excelrtd", , "21422436","@bh,USDJPY,h1,close,21")</f>
        <v>145.19999999999999</v>
      </c>
      <c r="AH23" s="56">
        <v>22</v>
      </c>
      <c r="AI23" s="75">
        <f t="shared" si="40"/>
        <v>0.16621156357592454</v>
      </c>
      <c r="AJ23" s="75">
        <f t="shared" si="40"/>
        <v>-4.9266926382457957E-2</v>
      </c>
      <c r="AK23" s="75">
        <f t="shared" si="40"/>
        <v>-0.14264899177730511</v>
      </c>
      <c r="AL23" s="75">
        <f t="shared" si="40"/>
        <v>-3.9999999999991737E-2</v>
      </c>
      <c r="AM23" s="75">
        <f t="shared" si="40"/>
        <v>4.5833515212371445E-2</v>
      </c>
      <c r="AN23" s="75">
        <f t="shared" si="40"/>
        <v>0.15730619876313645</v>
      </c>
      <c r="AO23" s="75">
        <f t="shared" si="40"/>
        <v>3.7677978873888462E-2</v>
      </c>
      <c r="AP23" s="75">
        <f t="shared" si="40"/>
        <v>3.2871180192772798E-2</v>
      </c>
      <c r="AQ23" s="75">
        <f t="shared" si="40"/>
        <v>-4.5298442997707841E-2</v>
      </c>
      <c r="AR23" s="75">
        <f t="shared" si="40"/>
        <v>-0.14689181849602501</v>
      </c>
      <c r="AS23" s="75">
        <f t="shared" si="40"/>
        <v>-7.874445003070156E-3</v>
      </c>
      <c r="AT23" s="75">
        <f t="shared" si="40"/>
        <v>-5.6921172465631019E-2</v>
      </c>
      <c r="AU23" s="75">
        <f t="shared" si="40"/>
        <v>0.12327623831365085</v>
      </c>
      <c r="AV23" s="75">
        <f t="shared" si="40"/>
        <v>-4.1276687958553659E-2</v>
      </c>
      <c r="AW23" s="75">
        <f t="shared" si="40"/>
        <v>-9.038143791219555E-2</v>
      </c>
      <c r="AX23" s="75">
        <f t="shared" si="40"/>
        <v>3.9413748641641466E-3</v>
      </c>
      <c r="AY23" s="75">
        <f t="shared" si="39"/>
        <v>-8.0758048885549952E-2</v>
      </c>
      <c r="AZ23" s="75">
        <f t="shared" si="39"/>
        <v>-0.18400134583841227</v>
      </c>
      <c r="BA23" s="75">
        <f t="shared" si="39"/>
        <v>-9.4934941642925957E-2</v>
      </c>
      <c r="BB23" s="75">
        <f t="shared" si="39"/>
        <v>9.5317980783884565E-3</v>
      </c>
      <c r="BC23" s="75">
        <f t="shared" si="39"/>
        <v>0.21147151641345593</v>
      </c>
      <c r="BD23" s="75">
        <f t="shared" si="39"/>
        <v>9.3305899803818704E-2</v>
      </c>
      <c r="BE23" s="75">
        <f t="shared" si="39"/>
        <v>-0.18860701580750711</v>
      </c>
      <c r="BF23" s="75">
        <f t="shared" si="39"/>
        <v>-8.605714832108638E-2</v>
      </c>
      <c r="BG23" s="75">
        <f t="shared" si="39"/>
        <v>-0.10252985083370418</v>
      </c>
      <c r="BH23" s="75">
        <f t="shared" si="39"/>
        <v>-0.11912290248098849</v>
      </c>
      <c r="BI23" s="75">
        <f t="shared" si="39"/>
        <v>-0.20391182571398012</v>
      </c>
      <c r="BJ23" s="75">
        <f t="shared" si="39"/>
        <v>-0.30622193537755793</v>
      </c>
      <c r="BN23" s="59">
        <v>22</v>
      </c>
      <c r="BO23" s="79">
        <f t="shared" si="6"/>
        <v>0.1737022921727302</v>
      </c>
      <c r="BP23" s="79">
        <f t="shared" si="2"/>
        <v>-0.16958890505804533</v>
      </c>
      <c r="BQ23" s="79">
        <f t="shared" si="38"/>
        <v>-0.45569145698399965</v>
      </c>
      <c r="BR23" s="79">
        <f t="shared" si="38"/>
        <v>-0.24482968268738262</v>
      </c>
      <c r="BS23" s="79">
        <f t="shared" si="38"/>
        <v>-1.4128745868616066E-2</v>
      </c>
      <c r="BT23" s="79">
        <f t="shared" si="38"/>
        <v>0.22673861872293266</v>
      </c>
      <c r="BU23" s="79">
        <f t="shared" si="38"/>
        <v>3.6532075702222042E-2</v>
      </c>
      <c r="BV23" s="79">
        <f t="shared" si="38"/>
        <v>-0.1511851137239566</v>
      </c>
      <c r="BW23" s="79">
        <f t="shared" si="38"/>
        <v>-0.19241543864475941</v>
      </c>
      <c r="BX23" s="79">
        <f t="shared" si="38"/>
        <v>-0.40236852427183245</v>
      </c>
      <c r="BY23" s="79">
        <f t="shared" si="38"/>
        <v>5.1635432647543791E-2</v>
      </c>
      <c r="BZ23" s="79">
        <f t="shared" si="38"/>
        <v>-0.11814994601164046</v>
      </c>
      <c r="CA23" s="79">
        <f t="shared" si="38"/>
        <v>0.37567919756142443</v>
      </c>
      <c r="CB23" s="79">
        <f t="shared" si="38"/>
        <v>0.20318464489588334</v>
      </c>
      <c r="CC23" s="79">
        <f t="shared" si="38"/>
        <v>3.3079435733962881E-2</v>
      </c>
      <c r="CD23" s="79">
        <f t="shared" ref="CD23:CP28" si="41">AX23+SUM(AX24:AX58)</f>
        <v>0.18778851036935526</v>
      </c>
      <c r="CE23" s="79">
        <f t="shared" si="41"/>
        <v>-4.1084294971542715E-2</v>
      </c>
      <c r="CF23" s="79">
        <f t="shared" si="41"/>
        <v>-0.25258576499395924</v>
      </c>
      <c r="CG23" s="79">
        <f t="shared" si="41"/>
        <v>-0.28557374804435587</v>
      </c>
      <c r="CH23" s="79">
        <f t="shared" si="41"/>
        <v>-7.4230010689061807E-2</v>
      </c>
      <c r="CI23" s="79">
        <f t="shared" si="41"/>
        <v>0.34337787072029202</v>
      </c>
      <c r="CJ23" s="79">
        <f t="shared" si="41"/>
        <v>0.15437167924824341</v>
      </c>
      <c r="CK23" s="79">
        <f t="shared" si="41"/>
        <v>-0.44196721331265609</v>
      </c>
      <c r="CL23" s="79">
        <f t="shared" si="41"/>
        <v>-0.22923096758204975</v>
      </c>
      <c r="CM23" s="79">
        <f t="shared" si="37"/>
        <v>-0.21140930975801084</v>
      </c>
      <c r="CN23" s="79">
        <f t="shared" si="37"/>
        <v>-0.18746357476025555</v>
      </c>
      <c r="CO23" s="79">
        <f t="shared" si="37"/>
        <v>-0.41802429020989362</v>
      </c>
      <c r="CP23" s="79">
        <f t="shared" si="37"/>
        <v>-0.62951815935783362</v>
      </c>
      <c r="CU23" s="56">
        <v>22</v>
      </c>
      <c r="CV23" s="58">
        <f t="shared" si="7"/>
        <v>-0.54921289557949038</v>
      </c>
      <c r="CW23" s="58">
        <f t="shared" si="8"/>
        <v>-2.3545040035053617</v>
      </c>
      <c r="CX23" s="58">
        <f t="shared" si="9"/>
        <v>-0.84829812558565498</v>
      </c>
      <c r="CY23" s="58">
        <f t="shared" si="10"/>
        <v>0.75917440744462927</v>
      </c>
      <c r="CZ23" s="58">
        <f t="shared" si="11"/>
        <v>0.65724684231908059</v>
      </c>
      <c r="DA23" s="58">
        <f t="shared" si="12"/>
        <v>-0.96535657596874058</v>
      </c>
      <c r="DB23" s="58">
        <f t="shared" si="13"/>
        <v>0.39260520657084064</v>
      </c>
      <c r="DC23" s="58">
        <f t="shared" si="14"/>
        <v>2.6791141767226478</v>
      </c>
      <c r="DF23" s="53">
        <v>22</v>
      </c>
      <c r="DG23" s="54">
        <f t="shared" si="36"/>
        <v>-0.18746357476025555</v>
      </c>
      <c r="DH23" s="54">
        <f t="shared" si="15"/>
        <v>3.6532075702222042E-2</v>
      </c>
      <c r="DI23" s="54">
        <f t="shared" si="16"/>
        <v>-0.41802429020989362</v>
      </c>
      <c r="DJ23" s="54">
        <f t="shared" si="17"/>
        <v>-0.19241543864475941</v>
      </c>
      <c r="DK23" s="54">
        <f t="shared" si="18"/>
        <v>-0.37567919756142443</v>
      </c>
      <c r="DL23" s="54">
        <f t="shared" si="19"/>
        <v>-0.1511851137239566</v>
      </c>
      <c r="DM23" s="54">
        <f t="shared" si="20"/>
        <v>-0.1737022921727302</v>
      </c>
      <c r="DN23" s="54">
        <f t="shared" si="21"/>
        <v>5.1635432647543791E-2</v>
      </c>
      <c r="DO23" s="54">
        <f t="shared" si="22"/>
        <v>-0.34337787072029202</v>
      </c>
      <c r="DP23" s="54">
        <f t="shared" si="23"/>
        <v>-0.11814994601164046</v>
      </c>
      <c r="DQ23" s="54">
        <f t="shared" si="24"/>
        <v>-0.62951815935783362</v>
      </c>
      <c r="DR23" s="54">
        <f t="shared" si="25"/>
        <v>-0.40236852427183245</v>
      </c>
      <c r="DS23" s="54">
        <f t="shared" si="26"/>
        <v>-0.22673861872293266</v>
      </c>
      <c r="DT23" s="54">
        <f t="shared" si="27"/>
        <v>0.22673861872293266</v>
      </c>
      <c r="DX23">
        <v>22</v>
      </c>
      <c r="DY23" s="19">
        <f t="shared" si="4"/>
        <v>1.8052911079258713</v>
      </c>
      <c r="EM23" s="21">
        <v>22</v>
      </c>
      <c r="EN23" s="16">
        <f t="shared" si="28"/>
        <v>-0.54921289557949038</v>
      </c>
      <c r="EO23" s="16">
        <f t="shared" si="5"/>
        <v>-2.3545040035053617</v>
      </c>
      <c r="EP23" s="16">
        <f t="shared" si="29"/>
        <v>-0.84829812558565498</v>
      </c>
      <c r="EQ23" s="16">
        <f t="shared" si="30"/>
        <v>0.75917440744462927</v>
      </c>
      <c r="ER23" s="16">
        <f t="shared" si="31"/>
        <v>0.65724684231908059</v>
      </c>
      <c r="ES23" s="16">
        <f t="shared" si="32"/>
        <v>-0.96535657596874058</v>
      </c>
      <c r="ET23" s="16">
        <f t="shared" si="33"/>
        <v>0.39260520657084064</v>
      </c>
      <c r="EU23" s="16">
        <f t="shared" si="34"/>
        <v>2.6791141767226478</v>
      </c>
      <c r="EW23" s="40">
        <f>'SATORI (D)'!EW2</f>
        <v>45.827578921079528</v>
      </c>
      <c r="EX23" s="39" t="str">
        <f>'SATORI (D)'!EX2</f>
        <v>JPY</v>
      </c>
      <c r="FK23" s="20"/>
      <c r="FL23" s="20"/>
    </row>
    <row r="24" spans="1:168" ht="18.600000000000001" thickBot="1" x14ac:dyDescent="0.4">
      <c r="A24" s="37" t="s">
        <v>51</v>
      </c>
      <c r="B24" s="38">
        <v>22</v>
      </c>
      <c r="C24" s="63">
        <f>RTD("fxbluelabs.excelrtd", , "21422436","@bh,AUDUSD,h1,close,22")</f>
        <v>0.67383999999999999</v>
      </c>
      <c r="D24" s="64">
        <f>RTD("fxbluelabs.excelrtd", , "21422436","@bh,AUDNZD,h1,close,22")</f>
        <v>1.0960700000000001</v>
      </c>
      <c r="E24" s="65">
        <f>RTD("fxbluelabs.excelrtd", , "21422436","@bh,AUDJPY,h1,close,22")</f>
        <v>98.143000000000001</v>
      </c>
      <c r="F24" s="64">
        <f>RTD("fxbluelabs.excelrtd", , "21422436","@bh,AUDCHF,h1,close,22")</f>
        <v>0.57499999999999996</v>
      </c>
      <c r="G24" s="64">
        <f>RTD("fxbluelabs.excelrtd", , "21422436","@bh,AUDCAD,h1,close,22")</f>
        <v>0.91635999999999995</v>
      </c>
      <c r="H24" s="64">
        <f>RTD("fxbluelabs.excelrtd", , "21422436","@bh,EURUSD,h1,close,22")</f>
        <v>1.1124799999999999</v>
      </c>
      <c r="I24" s="64">
        <f>RTD("fxbluelabs.excelrtd", , "21422436","@bh,EURCAD,h1,close,22")</f>
        <v>1.5128200000000001</v>
      </c>
      <c r="J24" s="64">
        <f>RTD("fxbluelabs.excelrtd", , "21422436","@bh,EURGBP,h1,close,22")</f>
        <v>0.85180999999999996</v>
      </c>
      <c r="K24" s="64">
        <f>RTD("fxbluelabs.excelrtd", , "21422436","@bh,EURCHF,h1,close,22")</f>
        <v>0.94925999999999999</v>
      </c>
      <c r="L24" s="65">
        <f>RTD("fxbluelabs.excelrtd", , "21422436","@bh,EURJPY,h1,close,22")</f>
        <v>162.024</v>
      </c>
      <c r="M24" s="64">
        <f>RTD("fxbluelabs.excelrtd", , "21422436","@bh,EURAUD,h1,close,22")</f>
        <v>1.6509100000000001</v>
      </c>
      <c r="N24" s="64">
        <f>RTD("fxbluelabs.excelrtd", , "21422436","@bh,EURNZD,h1,close,22")</f>
        <v>1.80952</v>
      </c>
      <c r="O24" s="64">
        <f>RTD("fxbluelabs.excelrtd", , "21422436","@bh,GBPUSD,h1,close,22")</f>
        <v>1.3060099999999999</v>
      </c>
      <c r="P24" s="64">
        <f>RTD("fxbluelabs.excelrtd", , "21422436","@bh,GBPAUD,h1,close,22")</f>
        <v>1.93814</v>
      </c>
      <c r="Q24" s="64">
        <f>RTD("fxbluelabs.excelrtd", , "21422436","@bh,GBPNZD,h1,close,22")</f>
        <v>2.1243300000000001</v>
      </c>
      <c r="R24" s="64">
        <f>RTD("fxbluelabs.excelrtd", , "21422436","@bh,GBPCAD,h1,close,22")</f>
        <v>1.77603</v>
      </c>
      <c r="S24" s="64">
        <f>RTD("fxbluelabs.excelrtd", , "21422436","@bh,GBPCHF,h1,close,22")</f>
        <v>1.1144400000000001</v>
      </c>
      <c r="T24" s="65">
        <f>RTD("fxbluelabs.excelrtd", , "21422436","@bh,GBPJPY,h1,close,22")</f>
        <v>190.21600000000001</v>
      </c>
      <c r="U24" s="65">
        <f>RTD("fxbluelabs.excelrtd", , "21422436","@bh,NZDJPY,h1,close,22")</f>
        <v>89.534999999999997</v>
      </c>
      <c r="V24" s="64">
        <f>RTD("fxbluelabs.excelrtd", , "21422436","@bh,NZDCHF,h1,close,22")</f>
        <v>0.52456000000000003</v>
      </c>
      <c r="W24" s="64">
        <f>RTD("fxbluelabs.excelrtd", , "21422436","@bh,NZDUSD,h1,close,22")</f>
        <v>0.61473999999999995</v>
      </c>
      <c r="X24" s="64">
        <f>RTD("fxbluelabs.excelrtd", , "21422436","@bh,NZDCAD,h1,close,22")</f>
        <v>0.83596000000000004</v>
      </c>
      <c r="Y24" s="65">
        <f>RTD("fxbluelabs.excelrtd", , "21422436","@bh,CADJPY,h1,close,22")</f>
        <v>107.101</v>
      </c>
      <c r="Z24" s="64">
        <f>RTD("fxbluelabs.excelrtd", , "21422436","@bh,CADCHF,h1,close,22")</f>
        <v>0.62748999999999999</v>
      </c>
      <c r="AA24" s="65">
        <f>RTD("fxbluelabs.excelrtd", , "21422436","@bh,CHFJPY,h1,close,22")</f>
        <v>170.68199999999999</v>
      </c>
      <c r="AB24" s="64">
        <f>RTD("fxbluelabs.excelrtd", , "21422436","@bh,USDCAD,h1,close,22")</f>
        <v>1.3599399999999999</v>
      </c>
      <c r="AC24" s="64">
        <f>RTD("fxbluelabs.excelrtd", , "21422436","@bh,USDCHF,h1,close,22")</f>
        <v>0.85331000000000001</v>
      </c>
      <c r="AD24" s="66">
        <f>RTD("fxbluelabs.excelrtd", , "21422436","@bh,USDJPY,h1,close,22")</f>
        <v>145.64599999999999</v>
      </c>
      <c r="AH24" s="56">
        <v>23</v>
      </c>
      <c r="AI24" s="74">
        <f t="shared" si="40"/>
        <v>-4.5983831491512639E-2</v>
      </c>
      <c r="AJ24" s="74">
        <f t="shared" si="40"/>
        <v>-6.9290591978690586E-2</v>
      </c>
      <c r="AK24" s="74">
        <f t="shared" si="40"/>
        <v>-0.11093921752228419</v>
      </c>
      <c r="AL24" s="74">
        <f t="shared" si="40"/>
        <v>-8.3408632793500373E-2</v>
      </c>
      <c r="AM24" s="74">
        <f t="shared" si="40"/>
        <v>-3.3818058843425931E-2</v>
      </c>
      <c r="AN24" s="74">
        <f t="shared" si="40"/>
        <v>9.1771183848273527E-2</v>
      </c>
      <c r="AO24" s="74">
        <f t="shared" si="40"/>
        <v>0.10190037584035366</v>
      </c>
      <c r="AP24" s="74">
        <f t="shared" si="40"/>
        <v>9.3926479048488352E-3</v>
      </c>
      <c r="AQ24" s="74">
        <f t="shared" si="40"/>
        <v>4.9536778423040974E-2</v>
      </c>
      <c r="AR24" s="74">
        <f t="shared" si="40"/>
        <v>2.6546323334222143E-2</v>
      </c>
      <c r="AS24" s="74">
        <f t="shared" si="40"/>
        <v>0.13768924689440959</v>
      </c>
      <c r="AT24" s="74">
        <f t="shared" si="40"/>
        <v>6.6359936294466126E-2</v>
      </c>
      <c r="AU24" s="74">
        <f t="shared" si="40"/>
        <v>8.3530024829093982E-2</v>
      </c>
      <c r="AV24" s="74">
        <f t="shared" si="40"/>
        <v>0.13019084324402919</v>
      </c>
      <c r="AW24" s="74">
        <f t="shared" si="40"/>
        <v>5.8876726265623312E-2</v>
      </c>
      <c r="AX24" s="74">
        <f t="shared" si="40"/>
        <v>9.5246683273778943E-2</v>
      </c>
      <c r="AY24" s="74">
        <f t="shared" si="39"/>
        <v>4.4885720954464962E-2</v>
      </c>
      <c r="AZ24" s="74">
        <f t="shared" si="39"/>
        <v>1.7351708617497602E-2</v>
      </c>
      <c r="BA24" s="74">
        <f t="shared" si="39"/>
        <v>-4.2423498152341338E-2</v>
      </c>
      <c r="BB24" s="74">
        <f t="shared" si="39"/>
        <v>-1.7154293338401502E-2</v>
      </c>
      <c r="BC24" s="74">
        <f t="shared" si="39"/>
        <v>2.4406514912377924E-2</v>
      </c>
      <c r="BD24" s="74">
        <f t="shared" si="39"/>
        <v>3.3505648094971516E-2</v>
      </c>
      <c r="BE24" s="74">
        <f t="shared" si="39"/>
        <v>-7.6504669583803253E-2</v>
      </c>
      <c r="BF24" s="74">
        <f t="shared" si="39"/>
        <v>-4.7786680259317128E-2</v>
      </c>
      <c r="BG24" s="74">
        <f t="shared" si="39"/>
        <v>-2.2844289806184175E-2</v>
      </c>
      <c r="BH24" s="74">
        <f t="shared" si="39"/>
        <v>1.103111509864556E-2</v>
      </c>
      <c r="BI24" s="74">
        <f t="shared" si="39"/>
        <v>-4.2170862276995437E-2</v>
      </c>
      <c r="BJ24" s="74">
        <f t="shared" si="39"/>
        <v>-6.7926858554336653E-2</v>
      </c>
      <c r="BN24" s="59">
        <v>23</v>
      </c>
      <c r="BO24" s="78">
        <f t="shared" si="6"/>
        <v>7.4907285968056556E-3</v>
      </c>
      <c r="BP24" s="78">
        <f t="shared" si="2"/>
        <v>-0.12032197867558736</v>
      </c>
      <c r="BQ24" s="78">
        <f t="shared" ref="BQ24:CC28" si="42">AK24+SUM(AK25:AK59)</f>
        <v>-0.31304246520669454</v>
      </c>
      <c r="BR24" s="78">
        <f t="shared" si="42"/>
        <v>-0.20482968268739088</v>
      </c>
      <c r="BS24" s="78">
        <f t="shared" si="42"/>
        <v>-5.9962261080987518E-2</v>
      </c>
      <c r="BT24" s="78">
        <f t="shared" si="42"/>
        <v>6.9432419959796224E-2</v>
      </c>
      <c r="BU24" s="78">
        <f t="shared" si="42"/>
        <v>-1.1459031716664209E-3</v>
      </c>
      <c r="BV24" s="78">
        <f t="shared" si="42"/>
        <v>-0.1840562939167294</v>
      </c>
      <c r="BW24" s="78">
        <f t="shared" si="42"/>
        <v>-0.14711699564705152</v>
      </c>
      <c r="BX24" s="78">
        <f t="shared" si="42"/>
        <v>-0.25547670577580744</v>
      </c>
      <c r="BY24" s="78">
        <f t="shared" si="42"/>
        <v>5.9509877650613968E-2</v>
      </c>
      <c r="BZ24" s="78">
        <f t="shared" si="42"/>
        <v>-6.1228773546009446E-2</v>
      </c>
      <c r="CA24" s="78">
        <f t="shared" si="42"/>
        <v>0.25240295924777356</v>
      </c>
      <c r="CB24" s="78">
        <f t="shared" si="42"/>
        <v>0.244461332854437</v>
      </c>
      <c r="CC24" s="78">
        <f t="shared" si="42"/>
        <v>0.12346087364615843</v>
      </c>
      <c r="CD24" s="78">
        <f t="shared" si="41"/>
        <v>0.18384713550519111</v>
      </c>
      <c r="CE24" s="78">
        <f t="shared" si="41"/>
        <v>3.967375391400723E-2</v>
      </c>
      <c r="CF24" s="78">
        <f t="shared" si="41"/>
        <v>-6.8584419155546944E-2</v>
      </c>
      <c r="CG24" s="78">
        <f t="shared" si="41"/>
        <v>-0.19063880640142991</v>
      </c>
      <c r="CH24" s="78">
        <f t="shared" si="41"/>
        <v>-8.3761808767450277E-2</v>
      </c>
      <c r="CI24" s="78">
        <f t="shared" si="41"/>
        <v>0.13190635430683606</v>
      </c>
      <c r="CJ24" s="78">
        <f t="shared" si="41"/>
        <v>6.1065779444424713E-2</v>
      </c>
      <c r="CK24" s="78">
        <f t="shared" si="41"/>
        <v>-0.25336019750514893</v>
      </c>
      <c r="CL24" s="78">
        <f t="shared" si="41"/>
        <v>-0.14317381926096334</v>
      </c>
      <c r="CM24" s="78">
        <f t="shared" si="37"/>
        <v>-0.10887945892430666</v>
      </c>
      <c r="CN24" s="78">
        <f t="shared" si="37"/>
        <v>-6.8340672279267045E-2</v>
      </c>
      <c r="CO24" s="78">
        <f t="shared" si="37"/>
        <v>-0.21411246449591353</v>
      </c>
      <c r="CP24" s="78">
        <f t="shared" si="37"/>
        <v>-0.32329622398027574</v>
      </c>
      <c r="CU24" s="56">
        <v>23</v>
      </c>
      <c r="CV24" s="57">
        <f t="shared" si="7"/>
        <v>-0.52008237444685401</v>
      </c>
      <c r="CW24" s="57">
        <f t="shared" si="8"/>
        <v>-1.0669818228666677</v>
      </c>
      <c r="CX24" s="57">
        <f t="shared" si="9"/>
        <v>-0.51199809518380712</v>
      </c>
      <c r="CY24" s="57">
        <f t="shared" si="10"/>
        <v>0.50126773875949238</v>
      </c>
      <c r="CZ24" s="57">
        <f t="shared" si="11"/>
        <v>0.95931792992874987</v>
      </c>
      <c r="DA24" s="57">
        <f t="shared" si="12"/>
        <v>-0.99463686955890562</v>
      </c>
      <c r="DB24" s="57">
        <f t="shared" si="13"/>
        <v>-2.3338602842181061E-2</v>
      </c>
      <c r="DC24" s="57">
        <f t="shared" si="14"/>
        <v>1.5132782769492101</v>
      </c>
      <c r="DF24" s="51">
        <v>23</v>
      </c>
      <c r="DG24" s="52">
        <f t="shared" si="36"/>
        <v>-6.8340672279267045E-2</v>
      </c>
      <c r="DH24" s="52">
        <f t="shared" si="15"/>
        <v>-1.1459031716664209E-3</v>
      </c>
      <c r="DI24" s="52">
        <f t="shared" si="16"/>
        <v>-0.21411246449591353</v>
      </c>
      <c r="DJ24" s="52">
        <f t="shared" si="17"/>
        <v>-0.14711699564705152</v>
      </c>
      <c r="DK24" s="52">
        <f t="shared" si="18"/>
        <v>-0.25240295924777356</v>
      </c>
      <c r="DL24" s="52">
        <f t="shared" si="19"/>
        <v>-0.1840562939167294</v>
      </c>
      <c r="DM24" s="52">
        <f t="shared" si="20"/>
        <v>-7.4907285968056556E-3</v>
      </c>
      <c r="DN24" s="52">
        <f t="shared" si="21"/>
        <v>5.9509877650613968E-2</v>
      </c>
      <c r="DO24" s="52">
        <f t="shared" si="22"/>
        <v>-0.13190635430683606</v>
      </c>
      <c r="DP24" s="52">
        <f t="shared" si="23"/>
        <v>-6.1228773546009446E-2</v>
      </c>
      <c r="DQ24" s="52">
        <f t="shared" si="24"/>
        <v>-0.32329622398027574</v>
      </c>
      <c r="DR24" s="52">
        <f t="shared" si="25"/>
        <v>-0.25547670577580744</v>
      </c>
      <c r="DS24" s="52">
        <f t="shared" si="26"/>
        <v>-6.9432419959796224E-2</v>
      </c>
      <c r="DT24" s="52">
        <f t="shared" si="27"/>
        <v>6.9432419959796224E-2</v>
      </c>
      <c r="DX24">
        <v>23</v>
      </c>
      <c r="DY24" s="19">
        <f t="shared" si="4"/>
        <v>0.54689944841981364</v>
      </c>
      <c r="EM24" s="21">
        <v>23</v>
      </c>
      <c r="EN24" s="16">
        <f t="shared" si="28"/>
        <v>-0.52008237444685401</v>
      </c>
      <c r="EO24" s="16">
        <f t="shared" si="5"/>
        <v>-1.0669818228666677</v>
      </c>
      <c r="EP24" s="16">
        <f t="shared" si="29"/>
        <v>-0.51199809518380712</v>
      </c>
      <c r="EQ24" s="16">
        <f t="shared" si="30"/>
        <v>0.50126773875949238</v>
      </c>
      <c r="ER24" s="16">
        <f t="shared" si="31"/>
        <v>0.95931792992874987</v>
      </c>
      <c r="ES24" s="16">
        <f t="shared" si="32"/>
        <v>-0.99463686955890562</v>
      </c>
      <c r="ET24" s="16">
        <f t="shared" si="33"/>
        <v>-2.3338602842181061E-2</v>
      </c>
      <c r="EU24" s="16">
        <f t="shared" si="34"/>
        <v>1.5132782769492101</v>
      </c>
      <c r="EW24" s="40">
        <f>'SATORI (D)'!EW3</f>
        <v>15.572963459119389</v>
      </c>
      <c r="EX24" s="39" t="str">
        <f>'SATORI (D)'!EX3</f>
        <v>CHF</v>
      </c>
      <c r="FK24" s="20"/>
      <c r="FL24" s="20"/>
    </row>
    <row r="25" spans="1:168" ht="18.600000000000001" thickBot="1" x14ac:dyDescent="0.4">
      <c r="A25" s="37" t="s">
        <v>51</v>
      </c>
      <c r="B25" s="38">
        <v>23</v>
      </c>
      <c r="C25" s="63">
        <f>RTD("fxbluelabs.excelrtd", , "21422436","@bh,AUDUSD,h1,close,23")</f>
        <v>0.67415000000000003</v>
      </c>
      <c r="D25" s="64">
        <f>RTD("fxbluelabs.excelrtd", , "21422436","@bh,AUDNZD,h1,close,23")</f>
        <v>1.09683</v>
      </c>
      <c r="E25" s="65">
        <f>RTD("fxbluelabs.excelrtd", , "21422436","@bh,AUDJPY,h1,close,23")</f>
        <v>98.251999999999995</v>
      </c>
      <c r="F25" s="64">
        <f>RTD("fxbluelabs.excelrtd", , "21422436","@bh,AUDCHF,h1,close,23")</f>
        <v>0.57547999999999999</v>
      </c>
      <c r="G25" s="64">
        <f>RTD("fxbluelabs.excelrtd", , "21422436","@bh,AUDCAD,h1,close,23")</f>
        <v>0.91666999999999998</v>
      </c>
      <c r="H25" s="64">
        <f>RTD("fxbluelabs.excelrtd", , "21422436","@bh,EURUSD,h1,close,23")</f>
        <v>1.1114599999999999</v>
      </c>
      <c r="I25" s="64">
        <f>RTD("fxbluelabs.excelrtd", , "21422436","@bh,EURCAD,h1,close,23")</f>
        <v>1.51128</v>
      </c>
      <c r="J25" s="64">
        <f>RTD("fxbluelabs.excelrtd", , "21422436","@bh,EURGBP,h1,close,23")</f>
        <v>0.85172999999999999</v>
      </c>
      <c r="K25" s="64">
        <f>RTD("fxbluelabs.excelrtd", , "21422436","@bh,EURCHF,h1,close,23")</f>
        <v>0.94879000000000002</v>
      </c>
      <c r="L25" s="65">
        <f>RTD("fxbluelabs.excelrtd", , "21422436","@bh,EURJPY,h1,close,23")</f>
        <v>161.98099999999999</v>
      </c>
      <c r="M25" s="64">
        <f>RTD("fxbluelabs.excelrtd", , "21422436","@bh,EURAUD,h1,close,23")</f>
        <v>1.6486400000000001</v>
      </c>
      <c r="N25" s="64">
        <f>RTD("fxbluelabs.excelrtd", , "21422436","@bh,EURNZD,h1,close,23")</f>
        <v>1.8083199999999999</v>
      </c>
      <c r="O25" s="64">
        <f>RTD("fxbluelabs.excelrtd", , "21422436","@bh,GBPUSD,h1,close,23")</f>
        <v>1.3049200000000001</v>
      </c>
      <c r="P25" s="64">
        <f>RTD("fxbluelabs.excelrtd", , "21422436","@bh,GBPAUD,h1,close,23")</f>
        <v>1.9356199999999999</v>
      </c>
      <c r="Q25" s="64">
        <f>RTD("fxbluelabs.excelrtd", , "21422436","@bh,GBPNZD,h1,close,23")</f>
        <v>2.1230799999999999</v>
      </c>
      <c r="R25" s="64">
        <f>RTD("fxbluelabs.excelrtd", , "21422436","@bh,GBPCAD,h1,close,23")</f>
        <v>1.77434</v>
      </c>
      <c r="S25" s="64">
        <f>RTD("fxbluelabs.excelrtd", , "21422436","@bh,GBPCHF,h1,close,23")</f>
        <v>1.1139399999999999</v>
      </c>
      <c r="T25" s="65">
        <f>RTD("fxbluelabs.excelrtd", , "21422436","@bh,GBPJPY,h1,close,23")</f>
        <v>190.18299999999999</v>
      </c>
      <c r="U25" s="65">
        <f>RTD("fxbluelabs.excelrtd", , "21422436","@bh,NZDJPY,h1,close,23")</f>
        <v>89.572999999999993</v>
      </c>
      <c r="V25" s="64">
        <f>RTD("fxbluelabs.excelrtd", , "21422436","@bh,NZDCHF,h1,close,23")</f>
        <v>0.52464999999999995</v>
      </c>
      <c r="W25" s="64">
        <f>RTD("fxbluelabs.excelrtd", , "21422436","@bh,NZDUSD,h1,close,23")</f>
        <v>0.61458999999999997</v>
      </c>
      <c r="X25" s="64">
        <f>RTD("fxbluelabs.excelrtd", , "21422436","@bh,NZDCAD,h1,close,23")</f>
        <v>0.83567999999999998</v>
      </c>
      <c r="Y25" s="65">
        <f>RTD("fxbluelabs.excelrtd", , "21422436","@bh,CADJPY,h1,close,23")</f>
        <v>107.18300000000001</v>
      </c>
      <c r="Z25" s="64">
        <f>RTD("fxbluelabs.excelrtd", , "21422436","@bh,CADCHF,h1,close,23")</f>
        <v>0.62778999999999996</v>
      </c>
      <c r="AA25" s="65">
        <f>RTD("fxbluelabs.excelrtd", , "21422436","@bh,CHFJPY,h1,close,23")</f>
        <v>170.721</v>
      </c>
      <c r="AB25" s="64">
        <f>RTD("fxbluelabs.excelrtd", , "21422436","@bh,USDCAD,h1,close,23")</f>
        <v>1.3597900000000001</v>
      </c>
      <c r="AC25" s="64">
        <f>RTD("fxbluelabs.excelrtd", , "21422436","@bh,USDCHF,h1,close,23")</f>
        <v>0.85367000000000004</v>
      </c>
      <c r="AD25" s="66">
        <f>RTD("fxbluelabs.excelrtd", , "21422436","@bh,USDJPY,h1,close,23")</f>
        <v>145.745</v>
      </c>
      <c r="AH25" s="56">
        <v>24</v>
      </c>
      <c r="AI25" s="75">
        <f t="shared" si="40"/>
        <v>-2.3727958950621818E-2</v>
      </c>
      <c r="AJ25" s="75">
        <f t="shared" si="40"/>
        <v>-2.8255281914799611E-2</v>
      </c>
      <c r="AK25" s="75">
        <f t="shared" si="40"/>
        <v>-4.6796476021899201E-2</v>
      </c>
      <c r="AL25" s="75">
        <f t="shared" si="40"/>
        <v>-6.4252843622467914E-2</v>
      </c>
      <c r="AM25" s="75">
        <f t="shared" si="40"/>
        <v>-2.7265192165071377E-2</v>
      </c>
      <c r="AN25" s="75">
        <f t="shared" si="40"/>
        <v>-9.3483146067429385E-2</v>
      </c>
      <c r="AO25" s="75">
        <f t="shared" si="40"/>
        <v>-9.9155197715468005E-2</v>
      </c>
      <c r="AP25" s="75">
        <f t="shared" si="40"/>
        <v>-0.1242978927989377</v>
      </c>
      <c r="AQ25" s="75">
        <f t="shared" si="40"/>
        <v>-0.13472691485889965</v>
      </c>
      <c r="AR25" s="75">
        <f t="shared" si="40"/>
        <v>-0.11900797908420095</v>
      </c>
      <c r="AS25" s="75">
        <f t="shared" si="40"/>
        <v>-7.2734325752792262E-2</v>
      </c>
      <c r="AT25" s="75">
        <f t="shared" si="40"/>
        <v>-9.8889017794508635E-2</v>
      </c>
      <c r="AU25" s="75">
        <f t="shared" si="40"/>
        <v>3.1429425608084371E-2</v>
      </c>
      <c r="AV25" s="75">
        <f t="shared" si="40"/>
        <v>5.4275627141948619E-2</v>
      </c>
      <c r="AW25" s="75">
        <f t="shared" si="40"/>
        <v>2.732626619551486E-2</v>
      </c>
      <c r="AX25" s="75">
        <f t="shared" si="39"/>
        <v>2.7059632665488591E-2</v>
      </c>
      <c r="AY25" s="75">
        <f t="shared" si="39"/>
        <v>-8.0787770526956643E-3</v>
      </c>
      <c r="AZ25" s="75">
        <f t="shared" si="39"/>
        <v>9.4654642021406062E-3</v>
      </c>
      <c r="BA25" s="75">
        <f t="shared" si="39"/>
        <v>-2.1207250647385323E-2</v>
      </c>
      <c r="BB25" s="75">
        <f t="shared" si="39"/>
        <v>-3.8106125559700672E-2</v>
      </c>
      <c r="BC25" s="75">
        <f t="shared" si="39"/>
        <v>1.6271274691585292E-3</v>
      </c>
      <c r="BD25" s="75">
        <f t="shared" si="39"/>
        <v>-3.5897619987764287E-3</v>
      </c>
      <c r="BE25" s="75">
        <f t="shared" si="39"/>
        <v>-1.8656194322916354E-2</v>
      </c>
      <c r="BF25" s="75">
        <f t="shared" si="39"/>
        <v>-3.662303748289282E-2</v>
      </c>
      <c r="BG25" s="75">
        <f t="shared" si="39"/>
        <v>1.9333520809907821E-2</v>
      </c>
      <c r="BH25" s="75">
        <f t="shared" si="39"/>
        <v>-5.1475887223695451E-3</v>
      </c>
      <c r="BI25" s="75">
        <f t="shared" si="39"/>
        <v>-3.9812180185244544E-2</v>
      </c>
      <c r="BJ25" s="75">
        <f t="shared" si="39"/>
        <v>-2.263716061407554E-2</v>
      </c>
      <c r="BN25" s="59">
        <v>24</v>
      </c>
      <c r="BO25" s="79">
        <f t="shared" si="6"/>
        <v>5.3474560088318294E-2</v>
      </c>
      <c r="BP25" s="79">
        <f t="shared" si="2"/>
        <v>-5.1031386696896774E-2</v>
      </c>
      <c r="BQ25" s="79">
        <f t="shared" si="42"/>
        <v>-0.20210324768441038</v>
      </c>
      <c r="BR25" s="79">
        <f t="shared" si="42"/>
        <v>-0.12142104989389052</v>
      </c>
      <c r="BS25" s="79">
        <f t="shared" si="42"/>
        <v>-2.6144202237561587E-2</v>
      </c>
      <c r="BT25" s="79">
        <f t="shared" si="42"/>
        <v>-2.2338763888477303E-2</v>
      </c>
      <c r="BU25" s="79">
        <f t="shared" si="42"/>
        <v>-0.10304627901202008</v>
      </c>
      <c r="BV25" s="79">
        <f t="shared" si="42"/>
        <v>-0.19344894182157821</v>
      </c>
      <c r="BW25" s="79">
        <f t="shared" si="42"/>
        <v>-0.19665377407009249</v>
      </c>
      <c r="BX25" s="79">
        <f t="shared" si="42"/>
        <v>-0.28202302911002963</v>
      </c>
      <c r="BY25" s="79">
        <f t="shared" si="42"/>
        <v>-7.8179369243795635E-2</v>
      </c>
      <c r="BZ25" s="79">
        <f t="shared" si="42"/>
        <v>-0.12758870984047557</v>
      </c>
      <c r="CA25" s="79">
        <f t="shared" si="42"/>
        <v>0.16887293441867959</v>
      </c>
      <c r="CB25" s="79">
        <f t="shared" si="42"/>
        <v>0.11427048961040781</v>
      </c>
      <c r="CC25" s="79">
        <f t="shared" si="42"/>
        <v>6.4584147380535112E-2</v>
      </c>
      <c r="CD25" s="79">
        <f t="shared" si="41"/>
        <v>8.860045223141215E-2</v>
      </c>
      <c r="CE25" s="79">
        <f t="shared" si="41"/>
        <v>-5.211967040457734E-3</v>
      </c>
      <c r="CF25" s="79">
        <f t="shared" si="41"/>
        <v>-8.593612777304456E-2</v>
      </c>
      <c r="CG25" s="79">
        <f t="shared" si="41"/>
        <v>-0.14821530824908857</v>
      </c>
      <c r="CH25" s="79">
        <f t="shared" si="41"/>
        <v>-6.6607515429048775E-2</v>
      </c>
      <c r="CI25" s="79">
        <f t="shared" si="41"/>
        <v>0.10749983939445815</v>
      </c>
      <c r="CJ25" s="79">
        <f t="shared" si="41"/>
        <v>2.7560131349453201E-2</v>
      </c>
      <c r="CK25" s="79">
        <f t="shared" si="41"/>
        <v>-0.17685552792134571</v>
      </c>
      <c r="CL25" s="79">
        <f t="shared" si="41"/>
        <v>-9.5387139001646234E-2</v>
      </c>
      <c r="CM25" s="79">
        <f t="shared" si="37"/>
        <v>-8.6035169118122479E-2</v>
      </c>
      <c r="CN25" s="79">
        <f t="shared" si="37"/>
        <v>-7.9371787377912603E-2</v>
      </c>
      <c r="CO25" s="79">
        <f t="shared" si="37"/>
        <v>-0.1719416022189181</v>
      </c>
      <c r="CP25" s="79">
        <f t="shared" si="37"/>
        <v>-0.25536936542593913</v>
      </c>
      <c r="CU25" s="56">
        <v>24</v>
      </c>
      <c r="CV25" s="58">
        <f t="shared" si="7"/>
        <v>-1.003278866986469</v>
      </c>
      <c r="CW25" s="58">
        <f t="shared" si="8"/>
        <v>-0.81419132503574854</v>
      </c>
      <c r="CX25" s="58">
        <f t="shared" si="9"/>
        <v>-0.17984098187636299</v>
      </c>
      <c r="CY25" s="58">
        <f t="shared" si="10"/>
        <v>0.47580073953428514</v>
      </c>
      <c r="CZ25" s="58">
        <f t="shared" si="11"/>
        <v>0.53862887064911058</v>
      </c>
      <c r="DA25" s="58">
        <f t="shared" si="12"/>
        <v>-0.38331644679105314</v>
      </c>
      <c r="DB25" s="58">
        <f t="shared" si="13"/>
        <v>3.4273096222611238E-2</v>
      </c>
      <c r="DC25" s="58">
        <f t="shared" si="14"/>
        <v>1.2365377752819806</v>
      </c>
      <c r="DF25" s="53">
        <v>24</v>
      </c>
      <c r="DG25" s="54">
        <f t="shared" si="36"/>
        <v>-7.9371787377912603E-2</v>
      </c>
      <c r="DH25" s="54">
        <f t="shared" si="15"/>
        <v>-0.10304627901202008</v>
      </c>
      <c r="DI25" s="54">
        <f t="shared" si="16"/>
        <v>-0.1719416022189181</v>
      </c>
      <c r="DJ25" s="54">
        <f t="shared" si="17"/>
        <v>-0.19665377407009249</v>
      </c>
      <c r="DK25" s="54">
        <f t="shared" si="18"/>
        <v>-0.16887293441867959</v>
      </c>
      <c r="DL25" s="54">
        <f t="shared" si="19"/>
        <v>-0.19344894182157821</v>
      </c>
      <c r="DM25" s="54">
        <f t="shared" si="20"/>
        <v>-5.3474560088318294E-2</v>
      </c>
      <c r="DN25" s="54">
        <f t="shared" si="21"/>
        <v>-7.8179369243795635E-2</v>
      </c>
      <c r="DO25" s="54">
        <f t="shared" si="22"/>
        <v>-0.10749983939445815</v>
      </c>
      <c r="DP25" s="54">
        <f t="shared" si="23"/>
        <v>-0.12758870984047557</v>
      </c>
      <c r="DQ25" s="54">
        <f t="shared" si="24"/>
        <v>-0.25536936542593913</v>
      </c>
      <c r="DR25" s="54">
        <f t="shared" si="25"/>
        <v>-0.28202302911002963</v>
      </c>
      <c r="DS25" s="54">
        <f t="shared" si="26"/>
        <v>2.2338763888477303E-2</v>
      </c>
      <c r="DT25" s="54">
        <f t="shared" si="27"/>
        <v>-2.2338763888477303E-2</v>
      </c>
      <c r="DX25">
        <v>24</v>
      </c>
      <c r="DY25" s="19">
        <f t="shared" si="4"/>
        <v>-0.18908754195072042</v>
      </c>
      <c r="EM25" s="21">
        <v>24</v>
      </c>
      <c r="EN25" s="16">
        <f t="shared" si="28"/>
        <v>-1.003278866986469</v>
      </c>
      <c r="EO25" s="16">
        <f t="shared" si="5"/>
        <v>-0.81419132503574854</v>
      </c>
      <c r="EP25" s="16">
        <f t="shared" si="29"/>
        <v>-0.17984098187636299</v>
      </c>
      <c r="EQ25" s="16">
        <f t="shared" si="30"/>
        <v>0.47580073953428514</v>
      </c>
      <c r="ER25" s="16">
        <f t="shared" si="31"/>
        <v>0.53862887064911058</v>
      </c>
      <c r="ES25" s="16">
        <f t="shared" si="32"/>
        <v>-0.38331644679105314</v>
      </c>
      <c r="ET25" s="16">
        <f t="shared" si="33"/>
        <v>3.4273096222611238E-2</v>
      </c>
      <c r="EU25" s="16">
        <f t="shared" si="34"/>
        <v>1.2365377752819806</v>
      </c>
      <c r="EW25" s="40">
        <f>'SATORI (D)'!EW4</f>
        <v>-0.85009273013544029</v>
      </c>
      <c r="EX25" s="39" t="str">
        <f>'SATORI (D)'!EX4</f>
        <v>EUR</v>
      </c>
      <c r="FK25" s="20"/>
      <c r="FL25" s="20"/>
    </row>
    <row r="26" spans="1:168" ht="18.600000000000001" thickBot="1" x14ac:dyDescent="0.4">
      <c r="A26" s="37" t="s">
        <v>51</v>
      </c>
      <c r="B26" s="38">
        <v>24</v>
      </c>
      <c r="C26" s="63">
        <f>RTD("fxbluelabs.excelrtd", , "21422436","@bh,AUDUSD,h1,close,24")</f>
        <v>0.67430999999999996</v>
      </c>
      <c r="D26" s="64">
        <f>RTD("fxbluelabs.excelrtd", , "21422436","@bh,AUDNZD,h1,close,24")</f>
        <v>1.09714</v>
      </c>
      <c r="E26" s="65">
        <f>RTD("fxbluelabs.excelrtd", , "21422436","@bh,AUDJPY,h1,close,24")</f>
        <v>98.298000000000002</v>
      </c>
      <c r="F26" s="64">
        <f>RTD("fxbluelabs.excelrtd", , "21422436","@bh,AUDCHF,h1,close,24")</f>
        <v>0.57584999999999997</v>
      </c>
      <c r="G26" s="64">
        <f>RTD("fxbluelabs.excelrtd", , "21422436","@bh,AUDCAD,h1,close,24")</f>
        <v>0.91691999999999996</v>
      </c>
      <c r="H26" s="64">
        <f>RTD("fxbluelabs.excelrtd", , "21422436","@bh,EURUSD,h1,close,24")</f>
        <v>1.1125</v>
      </c>
      <c r="I26" s="64">
        <f>RTD("fxbluelabs.excelrtd", , "21422436","@bh,EURCAD,h1,close,24")</f>
        <v>1.51278</v>
      </c>
      <c r="J26" s="64">
        <f>RTD("fxbluelabs.excelrtd", , "21422436","@bh,EURGBP,h1,close,24")</f>
        <v>0.85279000000000005</v>
      </c>
      <c r="K26" s="64">
        <f>RTD("fxbluelabs.excelrtd", , "21422436","@bh,EURCHF,h1,close,24")</f>
        <v>0.95006999999999997</v>
      </c>
      <c r="L26" s="65">
        <f>RTD("fxbluelabs.excelrtd", , "21422436","@bh,EURJPY,h1,close,24")</f>
        <v>162.17400000000001</v>
      </c>
      <c r="M26" s="64">
        <f>RTD("fxbluelabs.excelrtd", , "21422436","@bh,EURAUD,h1,close,24")</f>
        <v>1.64984</v>
      </c>
      <c r="N26" s="64">
        <f>RTD("fxbluelabs.excelrtd", , "21422436","@bh,EURNZD,h1,close,24")</f>
        <v>1.8101100000000001</v>
      </c>
      <c r="O26" s="64">
        <f>RTD("fxbluelabs.excelrtd", , "21422436","@bh,GBPUSD,h1,close,24")</f>
        <v>1.3045100000000001</v>
      </c>
      <c r="P26" s="64">
        <f>RTD("fxbluelabs.excelrtd", , "21422436","@bh,GBPAUD,h1,close,24")</f>
        <v>1.9345699999999999</v>
      </c>
      <c r="Q26" s="64">
        <f>RTD("fxbluelabs.excelrtd", , "21422436","@bh,GBPNZD,h1,close,24")</f>
        <v>2.1225000000000001</v>
      </c>
      <c r="R26" s="64">
        <f>RTD("fxbluelabs.excelrtd", , "21422436","@bh,GBPCAD,h1,close,24")</f>
        <v>1.77386</v>
      </c>
      <c r="S26" s="64">
        <f>RTD("fxbluelabs.excelrtd", , "21422436","@bh,GBPCHF,h1,close,24")</f>
        <v>1.1140300000000001</v>
      </c>
      <c r="T26" s="65">
        <f>RTD("fxbluelabs.excelrtd", , "21422436","@bh,GBPJPY,h1,close,24")</f>
        <v>190.16499999999999</v>
      </c>
      <c r="U26" s="65">
        <f>RTD("fxbluelabs.excelrtd", , "21422436","@bh,NZDJPY,h1,close,24")</f>
        <v>89.591999999999999</v>
      </c>
      <c r="V26" s="64">
        <f>RTD("fxbluelabs.excelrtd", , "21422436","@bh,NZDCHF,h1,close,24")</f>
        <v>0.52485000000000004</v>
      </c>
      <c r="W26" s="64">
        <f>RTD("fxbluelabs.excelrtd", , "21422436","@bh,NZDUSD,h1,close,24")</f>
        <v>0.61458000000000002</v>
      </c>
      <c r="X26" s="64">
        <f>RTD("fxbluelabs.excelrtd", , "21422436","@bh,NZDCAD,h1,close,24")</f>
        <v>0.83570999999999995</v>
      </c>
      <c r="Y26" s="65">
        <f>RTD("fxbluelabs.excelrtd", , "21422436","@bh,CADJPY,h1,close,24")</f>
        <v>107.203</v>
      </c>
      <c r="Z26" s="64">
        <f>RTD("fxbluelabs.excelrtd", , "21422436","@bh,CADCHF,h1,close,24")</f>
        <v>0.62802000000000002</v>
      </c>
      <c r="AA26" s="65">
        <f>RTD("fxbluelabs.excelrtd", , "21422436","@bh,CHFJPY,h1,close,24")</f>
        <v>170.68799999999999</v>
      </c>
      <c r="AB26" s="64">
        <f>RTD("fxbluelabs.excelrtd", , "21422436","@bh,USDCAD,h1,close,24")</f>
        <v>1.3598600000000001</v>
      </c>
      <c r="AC26" s="64">
        <f>RTD("fxbluelabs.excelrtd", , "21422436","@bh,USDCHF,h1,close,24")</f>
        <v>0.85401000000000005</v>
      </c>
      <c r="AD26" s="66">
        <f>RTD("fxbluelabs.excelrtd", , "21422436","@bh,USDJPY,h1,close,24")</f>
        <v>145.77799999999999</v>
      </c>
      <c r="AH26" s="56">
        <v>25</v>
      </c>
      <c r="AI26" s="74">
        <f t="shared" si="40"/>
        <v>6.6779449737326801E-2</v>
      </c>
      <c r="AJ26" s="74">
        <f t="shared" si="40"/>
        <v>-2.0959202456778705E-2</v>
      </c>
      <c r="AK26" s="74">
        <f t="shared" si="40"/>
        <v>-0.13004693881697937</v>
      </c>
      <c r="AL26" s="74">
        <f t="shared" si="40"/>
        <v>-6.4211585852622516E-2</v>
      </c>
      <c r="AM26" s="74">
        <f t="shared" si="40"/>
        <v>5.4560136182093898E-2</v>
      </c>
      <c r="AN26" s="74">
        <f t="shared" si="40"/>
        <v>9.1769532515206836E-2</v>
      </c>
      <c r="AO26" s="74">
        <f t="shared" si="40"/>
        <v>8.0711318108444174E-2</v>
      </c>
      <c r="AP26" s="74">
        <f t="shared" si="40"/>
        <v>-1.1724841421518481E-2</v>
      </c>
      <c r="AQ26" s="74">
        <f t="shared" si="40"/>
        <v>-3.6825824372390362E-2</v>
      </c>
      <c r="AR26" s="74">
        <f t="shared" si="40"/>
        <v>-0.10410057717301191</v>
      </c>
      <c r="AS26" s="74">
        <f t="shared" si="40"/>
        <v>2.6069928034868857E-2</v>
      </c>
      <c r="AT26" s="74">
        <f t="shared" si="40"/>
        <v>4.9723207478450798E-3</v>
      </c>
      <c r="AU26" s="74">
        <f t="shared" si="40"/>
        <v>0.10205804263417589</v>
      </c>
      <c r="AV26" s="74">
        <f t="shared" si="40"/>
        <v>3.5162289478708295E-2</v>
      </c>
      <c r="AW26" s="74">
        <f t="shared" si="40"/>
        <v>1.4607551632994903E-2</v>
      </c>
      <c r="AX26" s="74">
        <f t="shared" si="39"/>
        <v>8.9715449677531089E-2</v>
      </c>
      <c r="AY26" s="74">
        <f t="shared" si="39"/>
        <v>-2.9613410388020161E-2</v>
      </c>
      <c r="AZ26" s="74">
        <f t="shared" si="39"/>
        <v>-9.5089994010912546E-2</v>
      </c>
      <c r="BA26" s="74">
        <f t="shared" si="39"/>
        <v>-0.11037896778941449</v>
      </c>
      <c r="BB26" s="74">
        <f t="shared" si="39"/>
        <v>-4.3802849089653477E-2</v>
      </c>
      <c r="BC26" s="74">
        <f t="shared" si="39"/>
        <v>8.6312189561115624E-2</v>
      </c>
      <c r="BD26" s="74">
        <f t="shared" si="39"/>
        <v>7.5441873832436224E-2</v>
      </c>
      <c r="BE26" s="74">
        <f t="shared" si="39"/>
        <v>-0.18528519021991963</v>
      </c>
      <c r="BF26" s="74">
        <f t="shared" si="39"/>
        <v>-0.11928050002386061</v>
      </c>
      <c r="BG26" s="74">
        <f t="shared" si="39"/>
        <v>-7.200941391363487E-2</v>
      </c>
      <c r="BH26" s="74">
        <f t="shared" si="39"/>
        <v>-1.1029330666676896E-2</v>
      </c>
      <c r="BI26" s="74">
        <f t="shared" si="39"/>
        <v>-0.12863842078796761</v>
      </c>
      <c r="BJ26" s="74">
        <f t="shared" si="39"/>
        <v>-0.1951212832818692</v>
      </c>
      <c r="BN26" s="59">
        <v>25</v>
      </c>
      <c r="BO26" s="78">
        <f t="shared" si="6"/>
        <v>7.7202519038940112E-2</v>
      </c>
      <c r="BP26" s="78">
        <f t="shared" si="2"/>
        <v>-2.2776104782097163E-2</v>
      </c>
      <c r="BQ26" s="78">
        <f t="shared" si="42"/>
        <v>-0.15530677166251117</v>
      </c>
      <c r="BR26" s="78">
        <f t="shared" si="42"/>
        <v>-5.7168206271422592E-2</v>
      </c>
      <c r="BS26" s="78">
        <f t="shared" si="42"/>
        <v>1.120989927509794E-3</v>
      </c>
      <c r="BT26" s="78">
        <f t="shared" si="42"/>
        <v>7.1144382178952081E-2</v>
      </c>
      <c r="BU26" s="78">
        <f t="shared" si="42"/>
        <v>-3.8910812965520791E-3</v>
      </c>
      <c r="BV26" s="78">
        <f t="shared" si="42"/>
        <v>-6.9151049022640507E-2</v>
      </c>
      <c r="BW26" s="78">
        <f t="shared" si="42"/>
        <v>-6.1926859211192842E-2</v>
      </c>
      <c r="BX26" s="78">
        <f t="shared" si="42"/>
        <v>-0.16301505002582861</v>
      </c>
      <c r="BY26" s="78">
        <f t="shared" si="42"/>
        <v>-5.4450434910033735E-3</v>
      </c>
      <c r="BZ26" s="78">
        <f t="shared" si="42"/>
        <v>-2.8699692045966931E-2</v>
      </c>
      <c r="CA26" s="78">
        <f t="shared" si="42"/>
        <v>0.13744350881059522</v>
      </c>
      <c r="CB26" s="78">
        <f t="shared" si="42"/>
        <v>5.9994862468459191E-2</v>
      </c>
      <c r="CC26" s="78">
        <f t="shared" si="42"/>
        <v>3.7257881185020256E-2</v>
      </c>
      <c r="CD26" s="78">
        <f t="shared" si="41"/>
        <v>6.1540819565923555E-2</v>
      </c>
      <c r="CE26" s="78">
        <f t="shared" si="41"/>
        <v>2.8668100122379338E-3</v>
      </c>
      <c r="CF26" s="78">
        <f t="shared" si="41"/>
        <v>-9.5401591975185149E-2</v>
      </c>
      <c r="CG26" s="78">
        <f t="shared" si="41"/>
        <v>-0.12700805760170325</v>
      </c>
      <c r="CH26" s="78">
        <f t="shared" si="41"/>
        <v>-2.8501389869348102E-2</v>
      </c>
      <c r="CI26" s="78">
        <f t="shared" si="41"/>
        <v>0.10587271192529962</v>
      </c>
      <c r="CJ26" s="78">
        <f t="shared" si="41"/>
        <v>3.1149893348229631E-2</v>
      </c>
      <c r="CK26" s="78">
        <f t="shared" si="41"/>
        <v>-0.15819933359842936</v>
      </c>
      <c r="CL26" s="78">
        <f t="shared" si="41"/>
        <v>-5.8764101518753414E-2</v>
      </c>
      <c r="CM26" s="78">
        <f t="shared" si="37"/>
        <v>-0.10536868992803031</v>
      </c>
      <c r="CN26" s="78">
        <f t="shared" si="37"/>
        <v>-7.4224198655543056E-2</v>
      </c>
      <c r="CO26" s="78">
        <f t="shared" si="37"/>
        <v>-0.13212942203367356</v>
      </c>
      <c r="CP26" s="78">
        <f t="shared" si="37"/>
        <v>-0.23273220481186355</v>
      </c>
      <c r="CU26" s="56">
        <v>25</v>
      </c>
      <c r="CV26" s="57">
        <f t="shared" si="7"/>
        <v>-0.26098439291423231</v>
      </c>
      <c r="CW26" s="57">
        <f t="shared" si="8"/>
        <v>-0.83074894745486716</v>
      </c>
      <c r="CX26" s="57">
        <f t="shared" si="9"/>
        <v>-0.2326598580067506</v>
      </c>
      <c r="CY26" s="57">
        <f t="shared" si="10"/>
        <v>0.17149037744536885</v>
      </c>
      <c r="CZ26" s="57">
        <f t="shared" si="11"/>
        <v>0.2728533390896915</v>
      </c>
      <c r="DA26" s="57">
        <f t="shared" si="12"/>
        <v>-0.21147739272703681</v>
      </c>
      <c r="DB26" s="57">
        <f t="shared" si="13"/>
        <v>-4.2689265544782681E-3</v>
      </c>
      <c r="DC26" s="57">
        <f t="shared" si="14"/>
        <v>1.0370316996035513</v>
      </c>
      <c r="DF26" s="51">
        <v>25</v>
      </c>
      <c r="DG26" s="52">
        <f t="shared" si="36"/>
        <v>-7.4224198655543056E-2</v>
      </c>
      <c r="DH26" s="52">
        <f t="shared" si="15"/>
        <v>-3.8910812965520791E-3</v>
      </c>
      <c r="DI26" s="52">
        <f t="shared" si="16"/>
        <v>-0.13212942203367356</v>
      </c>
      <c r="DJ26" s="52">
        <f t="shared" si="17"/>
        <v>-6.1926859211192842E-2</v>
      </c>
      <c r="DK26" s="52">
        <f t="shared" si="18"/>
        <v>-0.13744350881059522</v>
      </c>
      <c r="DL26" s="52">
        <f t="shared" si="19"/>
        <v>-6.9151049022640507E-2</v>
      </c>
      <c r="DM26" s="52">
        <f t="shared" si="20"/>
        <v>-7.7202519038940112E-2</v>
      </c>
      <c r="DN26" s="52">
        <f t="shared" si="21"/>
        <v>-5.4450434910033735E-3</v>
      </c>
      <c r="DO26" s="52">
        <f t="shared" si="22"/>
        <v>-0.10587271192529962</v>
      </c>
      <c r="DP26" s="52">
        <f t="shared" si="23"/>
        <v>-2.8699692045966931E-2</v>
      </c>
      <c r="DQ26" s="52">
        <f t="shared" si="24"/>
        <v>-0.23273220481186355</v>
      </c>
      <c r="DR26" s="52">
        <f t="shared" si="25"/>
        <v>-0.16301505002582861</v>
      </c>
      <c r="DS26" s="52">
        <f t="shared" si="26"/>
        <v>-7.1144382178952081E-2</v>
      </c>
      <c r="DT26" s="52">
        <f t="shared" si="27"/>
        <v>7.1144382178952081E-2</v>
      </c>
      <c r="DX26">
        <v>25</v>
      </c>
      <c r="DY26" s="19">
        <f t="shared" si="4"/>
        <v>0.5697645545406349</v>
      </c>
      <c r="EM26" s="21">
        <v>25</v>
      </c>
      <c r="EN26" s="16">
        <f t="shared" si="28"/>
        <v>-0.26098439291423231</v>
      </c>
      <c r="EO26" s="16">
        <f t="shared" si="5"/>
        <v>-0.83074894745486716</v>
      </c>
      <c r="EP26" s="16">
        <f t="shared" si="29"/>
        <v>-0.2326598580067506</v>
      </c>
      <c r="EQ26" s="16">
        <f t="shared" si="30"/>
        <v>0.17149037744536885</v>
      </c>
      <c r="ER26" s="16">
        <f t="shared" si="31"/>
        <v>0.2728533390896915</v>
      </c>
      <c r="ES26" s="16">
        <f t="shared" si="32"/>
        <v>-0.21147739272703681</v>
      </c>
      <c r="ET26" s="16">
        <f t="shared" si="33"/>
        <v>-4.2689265544782681E-3</v>
      </c>
      <c r="EU26" s="16">
        <f t="shared" si="34"/>
        <v>1.0370316996035513</v>
      </c>
      <c r="EW26" s="40">
        <f>'SATORI (D)'!EW5</f>
        <v>-5.0306957078103487</v>
      </c>
      <c r="EX26" s="39" t="str">
        <f>'SATORI (D)'!EX5</f>
        <v>NZD</v>
      </c>
      <c r="FK26" s="20"/>
      <c r="FL26" s="20"/>
    </row>
    <row r="27" spans="1:168" ht="18.600000000000001" thickBot="1" x14ac:dyDescent="0.4">
      <c r="A27" s="37" t="s">
        <v>51</v>
      </c>
      <c r="B27" s="38">
        <v>25</v>
      </c>
      <c r="C27" s="63">
        <f>RTD("fxbluelabs.excelrtd", , "21422436","@bh,AUDUSD,h1,close,25")</f>
        <v>0.67386000000000001</v>
      </c>
      <c r="D27" s="64">
        <f>RTD("fxbluelabs.excelrtd", , "21422436","@bh,AUDNZD,h1,close,25")</f>
        <v>1.09737</v>
      </c>
      <c r="E27" s="65">
        <f>RTD("fxbluelabs.excelrtd", , "21422436","@bh,AUDJPY,h1,close,25")</f>
        <v>98.426000000000002</v>
      </c>
      <c r="F27" s="64">
        <f>RTD("fxbluelabs.excelrtd", , "21422436","@bh,AUDCHF,h1,close,25")</f>
        <v>0.57621999999999995</v>
      </c>
      <c r="G27" s="64">
        <f>RTD("fxbluelabs.excelrtd", , "21422436","@bh,AUDCAD,h1,close,25")</f>
        <v>0.91642000000000001</v>
      </c>
      <c r="H27" s="64">
        <f>RTD("fxbluelabs.excelrtd", , "21422436","@bh,EURUSD,h1,close,25")</f>
        <v>1.11148</v>
      </c>
      <c r="I27" s="64">
        <f>RTD("fxbluelabs.excelrtd", , "21422436","@bh,EURCAD,h1,close,25")</f>
        <v>1.51156</v>
      </c>
      <c r="J27" s="64">
        <f>RTD("fxbluelabs.excelrtd", , "21422436","@bh,EURGBP,h1,close,25")</f>
        <v>0.85289000000000004</v>
      </c>
      <c r="K27" s="64">
        <f>RTD("fxbluelabs.excelrtd", , "21422436","@bh,EURCHF,h1,close,25")</f>
        <v>0.95042000000000004</v>
      </c>
      <c r="L27" s="65">
        <f>RTD("fxbluelabs.excelrtd", , "21422436","@bh,EURJPY,h1,close,25")</f>
        <v>162.34299999999999</v>
      </c>
      <c r="M27" s="64">
        <f>RTD("fxbluelabs.excelrtd", , "21422436","@bh,EURAUD,h1,close,25")</f>
        <v>1.64941</v>
      </c>
      <c r="N27" s="64">
        <f>RTD("fxbluelabs.excelrtd", , "21422436","@bh,EURNZD,h1,close,25")</f>
        <v>1.81002</v>
      </c>
      <c r="O27" s="64">
        <f>RTD("fxbluelabs.excelrtd", , "21422436","@bh,GBPUSD,h1,close,25")</f>
        <v>1.30318</v>
      </c>
      <c r="P27" s="64">
        <f>RTD("fxbluelabs.excelrtd", , "21422436","@bh,GBPAUD,h1,close,25")</f>
        <v>1.9338900000000001</v>
      </c>
      <c r="Q27" s="64">
        <f>RTD("fxbluelabs.excelrtd", , "21422436","@bh,GBPNZD,h1,close,25")</f>
        <v>2.1221899999999998</v>
      </c>
      <c r="R27" s="64">
        <f>RTD("fxbluelabs.excelrtd", , "21422436","@bh,GBPCAD,h1,close,25")</f>
        <v>1.77227</v>
      </c>
      <c r="S27" s="64">
        <f>RTD("fxbluelabs.excelrtd", , "21422436","@bh,GBPCHF,h1,close,25")</f>
        <v>1.11436</v>
      </c>
      <c r="T27" s="65">
        <f>RTD("fxbluelabs.excelrtd", , "21422436","@bh,GBPJPY,h1,close,25")</f>
        <v>190.346</v>
      </c>
      <c r="U27" s="65">
        <f>RTD("fxbluelabs.excelrtd", , "21422436","@bh,NZDJPY,h1,close,25")</f>
        <v>89.691000000000003</v>
      </c>
      <c r="V27" s="64">
        <f>RTD("fxbluelabs.excelrtd", , "21422436","@bh,NZDCHF,h1,close,25")</f>
        <v>0.52507999999999999</v>
      </c>
      <c r="W27" s="64">
        <f>RTD("fxbluelabs.excelrtd", , "21422436","@bh,NZDUSD,h1,close,25")</f>
        <v>0.61404999999999998</v>
      </c>
      <c r="X27" s="64">
        <f>RTD("fxbluelabs.excelrtd", , "21422436","@bh,NZDCAD,h1,close,25")</f>
        <v>0.83508000000000004</v>
      </c>
      <c r="Y27" s="65">
        <f>RTD("fxbluelabs.excelrtd", , "21422436","@bh,CADJPY,h1,close,25")</f>
        <v>107.402</v>
      </c>
      <c r="Z27" s="64">
        <f>RTD("fxbluelabs.excelrtd", , "21422436","@bh,CADCHF,h1,close,25")</f>
        <v>0.62877000000000005</v>
      </c>
      <c r="AA27" s="65">
        <f>RTD("fxbluelabs.excelrtd", , "21422436","@bh,CHFJPY,h1,close,25")</f>
        <v>170.81100000000001</v>
      </c>
      <c r="AB27" s="64">
        <f>RTD("fxbluelabs.excelrtd", , "21422436","@bh,USDCAD,h1,close,25")</f>
        <v>1.3600099999999999</v>
      </c>
      <c r="AC27" s="64">
        <f>RTD("fxbluelabs.excelrtd", , "21422436","@bh,USDCHF,h1,close,25")</f>
        <v>0.85511000000000004</v>
      </c>
      <c r="AD27" s="66">
        <f>RTD("fxbluelabs.excelrtd", , "21422436","@bh,USDJPY,h1,close,25")</f>
        <v>146.06299999999999</v>
      </c>
      <c r="AH27" s="56">
        <v>26</v>
      </c>
      <c r="AI27" s="75">
        <f t="shared" si="40"/>
        <v>-5.3395034261817645E-2</v>
      </c>
      <c r="AJ27" s="75">
        <f t="shared" si="40"/>
        <v>-2.4598228927516532E-2</v>
      </c>
      <c r="AK27" s="75">
        <f t="shared" si="40"/>
        <v>-0.12886467180095518</v>
      </c>
      <c r="AL27" s="75">
        <f t="shared" si="40"/>
        <v>-9.7090745171470053E-2</v>
      </c>
      <c r="AM27" s="75">
        <f t="shared" si="40"/>
        <v>-5.5620385416554202E-2</v>
      </c>
      <c r="AN27" s="75">
        <f t="shared" si="40"/>
        <v>-9.0787332919842464E-2</v>
      </c>
      <c r="AO27" s="75">
        <f t="shared" si="40"/>
        <v>-9.1873492184143715E-2</v>
      </c>
      <c r="AP27" s="75">
        <f t="shared" si="40"/>
        <v>-1.9928258270227588E-2</v>
      </c>
      <c r="AQ27" s="75">
        <f t="shared" si="40"/>
        <v>-0.13344681566476407</v>
      </c>
      <c r="AR27" s="75">
        <f t="shared" si="40"/>
        <v>-0.16849406888578741</v>
      </c>
      <c r="AS27" s="75">
        <f t="shared" si="40"/>
        <v>-3.5757575757567786E-2</v>
      </c>
      <c r="AT27" s="75">
        <f t="shared" si="40"/>
        <v>-6.239129834635869E-2</v>
      </c>
      <c r="AU27" s="75">
        <f t="shared" si="40"/>
        <v>-7.0546737213406319E-2</v>
      </c>
      <c r="AV27" s="75">
        <f t="shared" si="40"/>
        <v>-1.4993433909972259E-2</v>
      </c>
      <c r="AW27" s="75">
        <f t="shared" si="40"/>
        <v>-4.1920229101119949E-2</v>
      </c>
      <c r="AX27" s="75">
        <f t="shared" si="39"/>
        <v>-7.0481302720012934E-2</v>
      </c>
      <c r="AY27" s="75">
        <f t="shared" si="39"/>
        <v>-0.11294168265180247</v>
      </c>
      <c r="AZ27" s="75">
        <f t="shared" si="39"/>
        <v>-0.14636065573770302</v>
      </c>
      <c r="BA27" s="75">
        <f t="shared" si="39"/>
        <v>-0.10469454808709037</v>
      </c>
      <c r="BB27" s="75">
        <f t="shared" si="39"/>
        <v>-7.2317588398745275E-2</v>
      </c>
      <c r="BC27" s="75">
        <f t="shared" si="39"/>
        <v>-2.930498347525666E-2</v>
      </c>
      <c r="BD27" s="75">
        <f t="shared" si="39"/>
        <v>-2.8731504094228196E-2</v>
      </c>
      <c r="BE27" s="75">
        <f t="shared" si="39"/>
        <v>-7.5360754724005719E-2</v>
      </c>
      <c r="BF27" s="75">
        <f t="shared" si="39"/>
        <v>-4.2922548645553935E-2</v>
      </c>
      <c r="BG27" s="75">
        <f t="shared" si="39"/>
        <v>-3.2774028923070679E-2</v>
      </c>
      <c r="BH27" s="75">
        <f t="shared" si="39"/>
        <v>0</v>
      </c>
      <c r="BI27" s="75">
        <f t="shared" si="39"/>
        <v>-4.325057277785354E-2</v>
      </c>
      <c r="BJ27" s="75">
        <f t="shared" si="39"/>
        <v>-7.6620489139745632E-2</v>
      </c>
      <c r="BN27" s="59">
        <v>26</v>
      </c>
      <c r="BO27" s="79">
        <f t="shared" si="6"/>
        <v>1.0423069301613311E-2</v>
      </c>
      <c r="BP27" s="79">
        <f t="shared" si="2"/>
        <v>-1.8169023253184584E-3</v>
      </c>
      <c r="BQ27" s="79">
        <f t="shared" si="42"/>
        <v>-2.5259832845531793E-2</v>
      </c>
      <c r="BR27" s="79">
        <f t="shared" si="42"/>
        <v>7.0433795811999239E-3</v>
      </c>
      <c r="BS27" s="79">
        <f t="shared" si="42"/>
        <v>-5.3439146254584104E-2</v>
      </c>
      <c r="BT27" s="79">
        <f t="shared" si="42"/>
        <v>-2.0625150336254755E-2</v>
      </c>
      <c r="BU27" s="79">
        <f t="shared" si="42"/>
        <v>-8.4602399404996254E-2</v>
      </c>
      <c r="BV27" s="79">
        <f t="shared" si="42"/>
        <v>-5.7426207601122027E-2</v>
      </c>
      <c r="BW27" s="79">
        <f t="shared" si="42"/>
        <v>-2.510103483880248E-2</v>
      </c>
      <c r="BX27" s="79">
        <f t="shared" si="42"/>
        <v>-5.8914472852816716E-2</v>
      </c>
      <c r="BY27" s="79">
        <f t="shared" si="42"/>
        <v>-3.151497152587223E-2</v>
      </c>
      <c r="BZ27" s="79">
        <f t="shared" si="42"/>
        <v>-3.367201279381201E-2</v>
      </c>
      <c r="CA27" s="79">
        <f t="shared" si="42"/>
        <v>3.5385466176419328E-2</v>
      </c>
      <c r="CB27" s="79">
        <f t="shared" si="42"/>
        <v>2.4832572989750896E-2</v>
      </c>
      <c r="CC27" s="79">
        <f t="shared" si="42"/>
        <v>2.2650329552025353E-2</v>
      </c>
      <c r="CD27" s="79">
        <f t="shared" si="41"/>
        <v>-2.8174630111607535E-2</v>
      </c>
      <c r="CE27" s="79">
        <f t="shared" si="41"/>
        <v>3.2480220400258095E-2</v>
      </c>
      <c r="CF27" s="79">
        <f t="shared" si="41"/>
        <v>-3.11597964272603E-4</v>
      </c>
      <c r="CG27" s="79">
        <f t="shared" si="41"/>
        <v>-1.6629089812288778E-2</v>
      </c>
      <c r="CH27" s="79">
        <f t="shared" si="41"/>
        <v>1.5301459220305375E-2</v>
      </c>
      <c r="CI27" s="79">
        <f t="shared" si="41"/>
        <v>1.9560522364183992E-2</v>
      </c>
      <c r="CJ27" s="79">
        <f t="shared" si="41"/>
        <v>-4.4291980484206593E-2</v>
      </c>
      <c r="CK27" s="79">
        <f t="shared" si="41"/>
        <v>2.7085856621490281E-2</v>
      </c>
      <c r="CL27" s="79">
        <f t="shared" si="41"/>
        <v>6.0516398505107191E-2</v>
      </c>
      <c r="CM27" s="79">
        <f t="shared" si="41"/>
        <v>-3.3359276014395429E-2</v>
      </c>
      <c r="CN27" s="79">
        <f t="shared" si="41"/>
        <v>-6.3194867988866157E-2</v>
      </c>
      <c r="CO27" s="79">
        <f t="shared" si="41"/>
        <v>-3.4910012457059422E-3</v>
      </c>
      <c r="CP27" s="79">
        <f t="shared" si="41"/>
        <v>-3.7610921529994353E-2</v>
      </c>
      <c r="CU27" s="56">
        <v>26</v>
      </c>
      <c r="CV27" s="58">
        <f t="shared" si="7"/>
        <v>-0.31185624935367645</v>
      </c>
      <c r="CW27" s="58">
        <f t="shared" si="8"/>
        <v>-0.14904069827052829</v>
      </c>
      <c r="CX27" s="58">
        <f t="shared" si="9"/>
        <v>0.3613052793708581</v>
      </c>
      <c r="CY27" s="58">
        <f t="shared" si="10"/>
        <v>-5.95922991316504E-2</v>
      </c>
      <c r="CZ27" s="58">
        <f t="shared" si="11"/>
        <v>0.14428856864369558</v>
      </c>
      <c r="DA27" s="58">
        <f t="shared" si="12"/>
        <v>-5.6367034006499783E-2</v>
      </c>
      <c r="DB27" s="58">
        <f t="shared" si="13"/>
        <v>-1.3220503144900888E-2</v>
      </c>
      <c r="DC27" s="58">
        <f t="shared" si="14"/>
        <v>0.14499933439780938</v>
      </c>
      <c r="DF27" s="53">
        <v>26</v>
      </c>
      <c r="DG27" s="54">
        <f t="shared" si="36"/>
        <v>-6.3194867988866157E-2</v>
      </c>
      <c r="DH27" s="54">
        <f t="shared" si="15"/>
        <v>-8.4602399404996254E-2</v>
      </c>
      <c r="DI27" s="54">
        <f t="shared" si="16"/>
        <v>-3.4910012457059422E-3</v>
      </c>
      <c r="DJ27" s="54">
        <f t="shared" si="17"/>
        <v>-2.510103483880248E-2</v>
      </c>
      <c r="DK27" s="54">
        <f t="shared" si="18"/>
        <v>-3.5385466176419328E-2</v>
      </c>
      <c r="DL27" s="54">
        <f t="shared" si="19"/>
        <v>-5.7426207601122027E-2</v>
      </c>
      <c r="DM27" s="54">
        <f t="shared" si="20"/>
        <v>-1.0423069301613311E-2</v>
      </c>
      <c r="DN27" s="54">
        <f t="shared" si="21"/>
        <v>-3.151497152587223E-2</v>
      </c>
      <c r="DO27" s="54">
        <f t="shared" si="22"/>
        <v>-1.9560522364183992E-2</v>
      </c>
      <c r="DP27" s="54">
        <f t="shared" si="23"/>
        <v>-3.367201279381201E-2</v>
      </c>
      <c r="DQ27" s="54">
        <f t="shared" si="24"/>
        <v>-3.7610921529994353E-2</v>
      </c>
      <c r="DR27" s="54">
        <f t="shared" si="25"/>
        <v>-5.8914472852816716E-2</v>
      </c>
      <c r="DS27" s="54">
        <f t="shared" si="26"/>
        <v>2.0625150336254755E-2</v>
      </c>
      <c r="DT27" s="54">
        <f t="shared" si="27"/>
        <v>-2.0625150336254755E-2</v>
      </c>
      <c r="DX27">
        <v>26</v>
      </c>
      <c r="DY27" s="19">
        <f t="shared" si="4"/>
        <v>-0.16281555108314816</v>
      </c>
      <c r="EM27" s="13">
        <v>26</v>
      </c>
      <c r="EN27" s="16">
        <f t="shared" si="28"/>
        <v>-0.31185624935367645</v>
      </c>
      <c r="EO27" s="16">
        <f t="shared" si="5"/>
        <v>-0.14904069827052829</v>
      </c>
      <c r="EP27" s="16">
        <f t="shared" si="29"/>
        <v>0.3613052793708581</v>
      </c>
      <c r="EQ27" s="16">
        <f t="shared" si="30"/>
        <v>-5.95922991316504E-2</v>
      </c>
      <c r="ER27" s="16">
        <f t="shared" si="31"/>
        <v>0.14428856864369558</v>
      </c>
      <c r="ES27" s="16">
        <f t="shared" si="32"/>
        <v>-5.6367034006499783E-2</v>
      </c>
      <c r="ET27" s="16">
        <f t="shared" si="33"/>
        <v>-1.3220503144900888E-2</v>
      </c>
      <c r="EU27" s="16">
        <f t="shared" si="34"/>
        <v>0.14499933439780938</v>
      </c>
      <c r="EW27" s="40">
        <f>'SATORI (D)'!EW6</f>
        <v>-9.8979395632680447</v>
      </c>
      <c r="EX27" s="39" t="str">
        <f>'SATORI (D)'!EX6</f>
        <v>GBP</v>
      </c>
      <c r="FK27" s="20"/>
      <c r="FL27" s="20"/>
    </row>
    <row r="28" spans="1:168" ht="18.600000000000001" thickBot="1" x14ac:dyDescent="0.4">
      <c r="A28" s="37" t="s">
        <v>51</v>
      </c>
      <c r="B28" s="38">
        <v>26</v>
      </c>
      <c r="C28" s="63">
        <f>RTD("fxbluelabs.excelrtd", , "21422436","@bh,AUDUSD,h1,close,26")</f>
        <v>0.67422000000000004</v>
      </c>
      <c r="D28" s="64">
        <f>RTD("fxbluelabs.excelrtd", , "21422436","@bh,AUDNZD,h1,close,26")</f>
        <v>1.0976399999999999</v>
      </c>
      <c r="E28" s="65">
        <f>RTD("fxbluelabs.excelrtd", , "21422436","@bh,AUDJPY,h1,close,26")</f>
        <v>98.552999999999997</v>
      </c>
      <c r="F28" s="64">
        <f>RTD("fxbluelabs.excelrtd", , "21422436","@bh,AUDCHF,h1,close,26")</f>
        <v>0.57677999999999996</v>
      </c>
      <c r="G28" s="64">
        <f>RTD("fxbluelabs.excelrtd", , "21422436","@bh,AUDCAD,h1,close,26")</f>
        <v>0.91693000000000002</v>
      </c>
      <c r="H28" s="64">
        <f>RTD("fxbluelabs.excelrtd", , "21422436","@bh,EURUSD,h1,close,26")</f>
        <v>1.11249</v>
      </c>
      <c r="I28" s="64">
        <f>RTD("fxbluelabs.excelrtd", , "21422436","@bh,EURCAD,h1,close,26")</f>
        <v>1.51295</v>
      </c>
      <c r="J28" s="64">
        <f>RTD("fxbluelabs.excelrtd", , "21422436","@bh,EURGBP,h1,close,26")</f>
        <v>0.85306000000000004</v>
      </c>
      <c r="K28" s="64">
        <f>RTD("fxbluelabs.excelrtd", , "21422436","@bh,EURCHF,h1,close,26")</f>
        <v>0.95169000000000004</v>
      </c>
      <c r="L28" s="65">
        <f>RTD("fxbluelabs.excelrtd", , "21422436","@bh,EURJPY,h1,close,26")</f>
        <v>162.61699999999999</v>
      </c>
      <c r="M28" s="64">
        <f>RTD("fxbluelabs.excelrtd", , "21422436","@bh,EURAUD,h1,close,26")</f>
        <v>1.65</v>
      </c>
      <c r="N28" s="64">
        <f>RTD("fxbluelabs.excelrtd", , "21422436","@bh,EURNZD,h1,close,26")</f>
        <v>1.81115</v>
      </c>
      <c r="O28" s="64">
        <f>RTD("fxbluelabs.excelrtd", , "21422436","@bh,GBPUSD,h1,close,26")</f>
        <v>1.3041</v>
      </c>
      <c r="P28" s="64">
        <f>RTD("fxbluelabs.excelrtd", , "21422436","@bh,GBPAUD,h1,close,26")</f>
        <v>1.93418</v>
      </c>
      <c r="Q28" s="64">
        <f>RTD("fxbluelabs.excelrtd", , "21422436","@bh,GBPNZD,h1,close,26")</f>
        <v>2.1230799999999999</v>
      </c>
      <c r="R28" s="64">
        <f>RTD("fxbluelabs.excelrtd", , "21422436","@bh,GBPCAD,h1,close,26")</f>
        <v>1.77352</v>
      </c>
      <c r="S28" s="64">
        <f>RTD("fxbluelabs.excelrtd", , "21422436","@bh,GBPCHF,h1,close,26")</f>
        <v>1.1156200000000001</v>
      </c>
      <c r="T28" s="65">
        <f>RTD("fxbluelabs.excelrtd", , "21422436","@bh,GBPJPY,h1,close,26")</f>
        <v>190.625</v>
      </c>
      <c r="U28" s="65">
        <f>RTD("fxbluelabs.excelrtd", , "21422436","@bh,NZDJPY,h1,close,26")</f>
        <v>89.784999999999997</v>
      </c>
      <c r="V28" s="64">
        <f>RTD("fxbluelabs.excelrtd", , "21422436","@bh,NZDCHF,h1,close,26")</f>
        <v>0.52546000000000004</v>
      </c>
      <c r="W28" s="64">
        <f>RTD("fxbluelabs.excelrtd", , "21422436","@bh,NZDUSD,h1,close,26")</f>
        <v>0.61423000000000005</v>
      </c>
      <c r="X28" s="64">
        <f>RTD("fxbluelabs.excelrtd", , "21422436","@bh,NZDCAD,h1,close,26")</f>
        <v>0.83531999999999995</v>
      </c>
      <c r="Y28" s="65">
        <f>RTD("fxbluelabs.excelrtd", , "21422436","@bh,CADJPY,h1,close,26")</f>
        <v>107.483</v>
      </c>
      <c r="Z28" s="64">
        <f>RTD("fxbluelabs.excelrtd", , "21422436","@bh,CADCHF,h1,close,26")</f>
        <v>0.62904000000000004</v>
      </c>
      <c r="AA28" s="65">
        <f>RTD("fxbluelabs.excelrtd", , "21422436","@bh,CHFJPY,h1,close,26")</f>
        <v>170.86699999999999</v>
      </c>
      <c r="AB28" s="64">
        <f>RTD("fxbluelabs.excelrtd", , "21422436","@bh,USDCAD,h1,close,26")</f>
        <v>1.3600099999999999</v>
      </c>
      <c r="AC28" s="64">
        <f>RTD("fxbluelabs.excelrtd", , "21422436","@bh,USDCHF,h1,close,26")</f>
        <v>0.85548000000000002</v>
      </c>
      <c r="AD28" s="66">
        <f>RTD("fxbluelabs.excelrtd", , "21422436","@bh,USDJPY,h1,close,26")</f>
        <v>146.17500000000001</v>
      </c>
      <c r="AH28" s="56">
        <v>27</v>
      </c>
      <c r="AI28" s="74">
        <f>IF(C28=0,0,(C28-C29)*100/C29)</f>
        <v>6.3818103563430956E-2</v>
      </c>
      <c r="AJ28" s="74">
        <f t="shared" si="40"/>
        <v>2.2781326602198074E-2</v>
      </c>
      <c r="AK28" s="74">
        <f t="shared" si="40"/>
        <v>0.10360483895542338</v>
      </c>
      <c r="AL28" s="74">
        <f t="shared" si="40"/>
        <v>0.10413412475266998</v>
      </c>
      <c r="AM28" s="74">
        <f t="shared" si="40"/>
        <v>2.1812391619700955E-3</v>
      </c>
      <c r="AN28" s="74">
        <f t="shared" si="40"/>
        <v>7.0162182583587709E-2</v>
      </c>
      <c r="AO28" s="74">
        <f t="shared" si="40"/>
        <v>7.2710927791474643E-3</v>
      </c>
      <c r="AP28" s="74">
        <f t="shared" si="40"/>
        <v>-3.7497949330894439E-2</v>
      </c>
      <c r="AQ28" s="74">
        <f t="shared" si="40"/>
        <v>0.10834578082596159</v>
      </c>
      <c r="AR28" s="74">
        <f t="shared" si="40"/>
        <v>0.1095795960329707</v>
      </c>
      <c r="AS28" s="74">
        <f t="shared" si="40"/>
        <v>4.2426042316955565E-3</v>
      </c>
      <c r="AT28" s="74">
        <f t="shared" si="40"/>
        <v>2.8719285552546679E-2</v>
      </c>
      <c r="AU28" s="74">
        <f t="shared" si="40"/>
        <v>0.10593220338982565</v>
      </c>
      <c r="AV28" s="74">
        <f t="shared" si="40"/>
        <v>3.9826006899723154E-2</v>
      </c>
      <c r="AW28" s="74">
        <f t="shared" si="40"/>
        <v>6.4570558653145302E-2</v>
      </c>
      <c r="AX28" s="74">
        <f t="shared" si="39"/>
        <v>4.2306672608405399E-2</v>
      </c>
      <c r="AY28" s="74">
        <f t="shared" si="39"/>
        <v>0.14542190305206057</v>
      </c>
      <c r="AZ28" s="74">
        <f t="shared" si="39"/>
        <v>0.14604905777343041</v>
      </c>
      <c r="BA28" s="74">
        <f t="shared" si="39"/>
        <v>8.8065458274801597E-2</v>
      </c>
      <c r="BB28" s="74">
        <f t="shared" si="39"/>
        <v>8.761904761905065E-2</v>
      </c>
      <c r="BC28" s="74">
        <f t="shared" si="39"/>
        <v>4.8865505839440652E-2</v>
      </c>
      <c r="BD28" s="74">
        <f t="shared" si="39"/>
        <v>-1.5560476389978395E-2</v>
      </c>
      <c r="BE28" s="74">
        <f t="shared" si="39"/>
        <v>0.102446611345496</v>
      </c>
      <c r="BF28" s="74">
        <f t="shared" si="39"/>
        <v>0.10343894715066113</v>
      </c>
      <c r="BG28" s="74">
        <f t="shared" si="39"/>
        <v>-5.8524709132475061E-4</v>
      </c>
      <c r="BH28" s="74">
        <f t="shared" si="39"/>
        <v>-6.3194867988866157E-2</v>
      </c>
      <c r="BI28" s="74">
        <f t="shared" si="39"/>
        <v>3.9759571532147597E-2</v>
      </c>
      <c r="BJ28" s="74">
        <f t="shared" si="39"/>
        <v>3.9009567609751279E-2</v>
      </c>
      <c r="BN28" s="59">
        <v>27</v>
      </c>
      <c r="BO28" s="78">
        <f t="shared" si="6"/>
        <v>6.3818103563430956E-2</v>
      </c>
      <c r="BP28" s="78">
        <f t="shared" si="2"/>
        <v>2.2781326602198074E-2</v>
      </c>
      <c r="BQ28" s="78">
        <f t="shared" si="42"/>
        <v>0.10360483895542338</v>
      </c>
      <c r="BR28" s="78">
        <f t="shared" si="42"/>
        <v>0.10413412475266998</v>
      </c>
      <c r="BS28" s="78">
        <f t="shared" si="42"/>
        <v>2.1812391619700955E-3</v>
      </c>
      <c r="BT28" s="78">
        <f t="shared" si="42"/>
        <v>7.0162182583587709E-2</v>
      </c>
      <c r="BU28" s="78">
        <f t="shared" si="42"/>
        <v>7.2710927791474643E-3</v>
      </c>
      <c r="BV28" s="78">
        <f t="shared" si="42"/>
        <v>-3.7497949330894439E-2</v>
      </c>
      <c r="BW28" s="78">
        <f t="shared" si="42"/>
        <v>0.10834578082596159</v>
      </c>
      <c r="BX28" s="78">
        <f t="shared" si="42"/>
        <v>0.1095795960329707</v>
      </c>
      <c r="BY28" s="78">
        <f t="shared" si="42"/>
        <v>4.2426042316955565E-3</v>
      </c>
      <c r="BZ28" s="78">
        <f t="shared" si="42"/>
        <v>2.8719285552546679E-2</v>
      </c>
      <c r="CA28" s="78">
        <f t="shared" si="42"/>
        <v>0.10593220338982565</v>
      </c>
      <c r="CB28" s="78">
        <f t="shared" si="42"/>
        <v>3.9826006899723154E-2</v>
      </c>
      <c r="CC28" s="78">
        <f t="shared" si="42"/>
        <v>6.4570558653145302E-2</v>
      </c>
      <c r="CD28" s="78">
        <f t="shared" si="41"/>
        <v>4.2306672608405399E-2</v>
      </c>
      <c r="CE28" s="78">
        <f t="shared" si="41"/>
        <v>0.14542190305206057</v>
      </c>
      <c r="CF28" s="78">
        <f t="shared" si="41"/>
        <v>0.14604905777343041</v>
      </c>
      <c r="CG28" s="78">
        <f t="shared" si="41"/>
        <v>8.8065458274801597E-2</v>
      </c>
      <c r="CH28" s="78">
        <f t="shared" si="41"/>
        <v>8.761904761905065E-2</v>
      </c>
      <c r="CI28" s="78">
        <f t="shared" si="41"/>
        <v>4.8865505839440652E-2</v>
      </c>
      <c r="CJ28" s="78">
        <f t="shared" si="41"/>
        <v>-1.5560476389978395E-2</v>
      </c>
      <c r="CK28" s="78">
        <f t="shared" si="41"/>
        <v>0.102446611345496</v>
      </c>
      <c r="CL28" s="78">
        <f t="shared" si="41"/>
        <v>0.10343894715066113</v>
      </c>
      <c r="CM28" s="78">
        <f t="shared" si="41"/>
        <v>-5.8524709132475061E-4</v>
      </c>
      <c r="CN28" s="78">
        <f t="shared" si="41"/>
        <v>-6.3194867988866157E-2</v>
      </c>
      <c r="CO28" s="78">
        <f t="shared" si="41"/>
        <v>3.9759571532147597E-2</v>
      </c>
      <c r="CP28" s="78">
        <f t="shared" si="41"/>
        <v>3.9009567609751279E-2</v>
      </c>
      <c r="CU28" s="56">
        <v>27</v>
      </c>
      <c r="CV28" s="57">
        <f t="shared" si="7"/>
        <v>0.2908225926750152</v>
      </c>
      <c r="CW28" s="57">
        <f t="shared" si="8"/>
        <v>-0.27320372422325223</v>
      </c>
      <c r="CX28" s="57">
        <f t="shared" si="9"/>
        <v>0.23288189832547868</v>
      </c>
      <c r="CY28" s="57">
        <f t="shared" si="10"/>
        <v>-0.48586567487321514</v>
      </c>
      <c r="CZ28" s="57">
        <f t="shared" si="11"/>
        <v>0.58160435170748492</v>
      </c>
      <c r="DA28" s="57">
        <f t="shared" si="12"/>
        <v>0.25245102190427382</v>
      </c>
      <c r="DB28" s="57">
        <f t="shared" si="13"/>
        <v>9.2918364535424472E-2</v>
      </c>
      <c r="DC28" s="57">
        <f t="shared" si="14"/>
        <v>-0.58816988290054861</v>
      </c>
      <c r="DF28" s="51">
        <v>27</v>
      </c>
      <c r="DG28" s="52">
        <f t="shared" si="36"/>
        <v>-6.3194867988866157E-2</v>
      </c>
      <c r="DH28" s="52">
        <f t="shared" si="15"/>
        <v>7.2710927791474643E-3</v>
      </c>
      <c r="DI28" s="52">
        <f t="shared" si="16"/>
        <v>3.9759571532147597E-2</v>
      </c>
      <c r="DJ28" s="52">
        <f t="shared" si="17"/>
        <v>0.10834578082596159</v>
      </c>
      <c r="DK28" s="52">
        <f t="shared" si="18"/>
        <v>-0.10593220338982565</v>
      </c>
      <c r="DL28" s="52">
        <f t="shared" si="19"/>
        <v>-3.7497949330894439E-2</v>
      </c>
      <c r="DM28" s="52">
        <f t="shared" si="20"/>
        <v>-6.3818103563430956E-2</v>
      </c>
      <c r="DN28" s="52">
        <f t="shared" si="21"/>
        <v>4.2426042316955565E-3</v>
      </c>
      <c r="DO28" s="52">
        <f t="shared" si="22"/>
        <v>-4.8865505839440652E-2</v>
      </c>
      <c r="DP28" s="52">
        <f t="shared" si="23"/>
        <v>2.8719285552546679E-2</v>
      </c>
      <c r="DQ28" s="52">
        <f t="shared" si="24"/>
        <v>3.9009567609751279E-2</v>
      </c>
      <c r="DR28" s="52">
        <f t="shared" si="25"/>
        <v>0.1095795960329707</v>
      </c>
      <c r="DS28" s="52">
        <f t="shared" si="26"/>
        <v>-7.0162182583587709E-2</v>
      </c>
      <c r="DT28" s="52">
        <f t="shared" si="27"/>
        <v>7.0162182583587709E-2</v>
      </c>
      <c r="DX28">
        <v>27</v>
      </c>
      <c r="DY28" s="19">
        <f t="shared" si="4"/>
        <v>0.56402631689826743</v>
      </c>
      <c r="EM28" s="21">
        <v>27</v>
      </c>
      <c r="EN28" s="16">
        <f t="shared" si="28"/>
        <v>0.2908225926750152</v>
      </c>
      <c r="EO28" s="16">
        <f t="shared" si="5"/>
        <v>-0.27320372422325223</v>
      </c>
      <c r="EP28" s="16">
        <f t="shared" si="29"/>
        <v>0.23288189832547868</v>
      </c>
      <c r="EQ28" s="16">
        <f t="shared" si="30"/>
        <v>-0.48586567487321514</v>
      </c>
      <c r="ER28" s="16">
        <f t="shared" si="31"/>
        <v>0.58160435170748492</v>
      </c>
      <c r="ES28" s="16">
        <f t="shared" si="32"/>
        <v>0.25245102190427382</v>
      </c>
      <c r="ET28" s="16">
        <f t="shared" si="33"/>
        <v>9.2918364535424472E-2</v>
      </c>
      <c r="EU28" s="16">
        <f t="shared" si="34"/>
        <v>-0.58816988290054861</v>
      </c>
      <c r="EW28" s="40">
        <f>'SATORI (D)'!EW7</f>
        <v>-13.158116587406765</v>
      </c>
      <c r="EX28" s="39" t="str">
        <f>'SATORI (D)'!EX7</f>
        <v>CAD</v>
      </c>
      <c r="FK28" s="20"/>
      <c r="FL28" s="20"/>
    </row>
    <row r="29" spans="1:168" ht="18.600000000000001" thickBot="1" x14ac:dyDescent="0.4">
      <c r="A29" s="37" t="s">
        <v>51</v>
      </c>
      <c r="B29" s="38">
        <v>27</v>
      </c>
      <c r="C29" s="63">
        <f>RTD("fxbluelabs.excelrtd", , "21422436","@bh,AUDUSD,h1,close,27")</f>
        <v>0.67379</v>
      </c>
      <c r="D29" s="64">
        <f>RTD("fxbluelabs.excelrtd", , "21422436","@bh,AUDNZD,h1,close,27")</f>
        <v>1.0973900000000001</v>
      </c>
      <c r="E29" s="65">
        <f>RTD("fxbluelabs.excelrtd", , "21422436","@bh,AUDJPY,h1,close,27")</f>
        <v>98.450999999999993</v>
      </c>
      <c r="F29" s="64">
        <f>RTD("fxbluelabs.excelrtd", , "21422436","@bh,AUDCHF,h1,close,27")</f>
        <v>0.57618000000000003</v>
      </c>
      <c r="G29" s="64">
        <f>RTD("fxbluelabs.excelrtd", , "21422436","@bh,AUDCAD,h1,close,27")</f>
        <v>0.91691</v>
      </c>
      <c r="H29" s="64">
        <f>RTD("fxbluelabs.excelrtd", , "21422436","@bh,EURUSD,h1,close,27")</f>
        <v>1.11171</v>
      </c>
      <c r="I29" s="64">
        <f>RTD("fxbluelabs.excelrtd", , "21422436","@bh,EURCAD,h1,close,27")</f>
        <v>1.51284</v>
      </c>
      <c r="J29" s="64">
        <f>RTD("fxbluelabs.excelrtd", , "21422436","@bh,EURGBP,h1,close,27")</f>
        <v>0.85338000000000003</v>
      </c>
      <c r="K29" s="64">
        <f>RTD("fxbluelabs.excelrtd", , "21422436","@bh,EURCHF,h1,close,27")</f>
        <v>0.95065999999999995</v>
      </c>
      <c r="L29" s="65">
        <f>RTD("fxbluelabs.excelrtd", , "21422436","@bh,EURJPY,h1,close,27")</f>
        <v>162.43899999999999</v>
      </c>
      <c r="M29" s="64">
        <f>RTD("fxbluelabs.excelrtd", , "21422436","@bh,EURAUD,h1,close,27")</f>
        <v>1.6499299999999999</v>
      </c>
      <c r="N29" s="64">
        <f>RTD("fxbluelabs.excelrtd", , "21422436","@bh,EURNZD,h1,close,27")</f>
        <v>1.81063</v>
      </c>
      <c r="O29" s="64">
        <f>RTD("fxbluelabs.excelrtd", , "21422436","@bh,GBPUSD,h1,close,27")</f>
        <v>1.3027200000000001</v>
      </c>
      <c r="P29" s="64">
        <f>RTD("fxbluelabs.excelrtd", , "21422436","@bh,GBPAUD,h1,close,27")</f>
        <v>1.9334100000000001</v>
      </c>
      <c r="Q29" s="64">
        <f>RTD("fxbluelabs.excelrtd", , "21422436","@bh,GBPNZD,h1,close,27")</f>
        <v>2.1217100000000002</v>
      </c>
      <c r="R29" s="64">
        <f>RTD("fxbluelabs.excelrtd", , "21422436","@bh,GBPCAD,h1,close,27")</f>
        <v>1.77277</v>
      </c>
      <c r="S29" s="64">
        <f>RTD("fxbluelabs.excelrtd", , "21422436","@bh,GBPCHF,h1,close,27")</f>
        <v>1.1140000000000001</v>
      </c>
      <c r="T29" s="65">
        <f>RTD("fxbluelabs.excelrtd", , "21422436","@bh,GBPJPY,h1,close,27")</f>
        <v>190.34700000000001</v>
      </c>
      <c r="U29" s="65">
        <f>RTD("fxbluelabs.excelrtd", , "21422436","@bh,NZDJPY,h1,close,27")</f>
        <v>89.706000000000003</v>
      </c>
      <c r="V29" s="64">
        <f>RTD("fxbluelabs.excelrtd", , "21422436","@bh,NZDCHF,h1,close,27")</f>
        <v>0.52500000000000002</v>
      </c>
      <c r="W29" s="64">
        <f>RTD("fxbluelabs.excelrtd", , "21422436","@bh,NZDUSD,h1,close,27")</f>
        <v>0.61392999999999998</v>
      </c>
      <c r="X29" s="64">
        <f>RTD("fxbluelabs.excelrtd", , "21422436","@bh,NZDCAD,h1,close,27")</f>
        <v>0.83545000000000003</v>
      </c>
      <c r="Y29" s="65">
        <f>RTD("fxbluelabs.excelrtd", , "21422436","@bh,CADJPY,h1,close,27")</f>
        <v>107.373</v>
      </c>
      <c r="Z29" s="64">
        <f>RTD("fxbluelabs.excelrtd", , "21422436","@bh,CADCHF,h1,close,27")</f>
        <v>0.62839</v>
      </c>
      <c r="AA29" s="65">
        <f>RTD("fxbluelabs.excelrtd", , "21422436","@bh,CHFJPY,h1,close,27")</f>
        <v>170.86799999999999</v>
      </c>
      <c r="AB29" s="64">
        <f>RTD("fxbluelabs.excelrtd", , "21422436","@bh,USDCAD,h1,close,27")</f>
        <v>1.36087</v>
      </c>
      <c r="AC29" s="64">
        <f>RTD("fxbluelabs.excelrtd", , "21422436","@bh,USDCHF,h1,close,27")</f>
        <v>0.85514000000000001</v>
      </c>
      <c r="AD29" s="66">
        <f>RTD("fxbluelabs.excelrtd", , "21422436","@bh,USDJPY,h1,close,27")</f>
        <v>146.11799999999999</v>
      </c>
      <c r="AH29" s="56">
        <v>28</v>
      </c>
      <c r="AI29" s="75">
        <f>0</f>
        <v>0</v>
      </c>
      <c r="AJ29" s="75">
        <f>0</f>
        <v>0</v>
      </c>
      <c r="AK29" s="75">
        <f>0</f>
        <v>0</v>
      </c>
      <c r="AL29" s="75">
        <f>0</f>
        <v>0</v>
      </c>
      <c r="AM29" s="75">
        <f>0</f>
        <v>0</v>
      </c>
      <c r="AN29" s="75">
        <f>0</f>
        <v>0</v>
      </c>
      <c r="AO29" s="75">
        <f>0</f>
        <v>0</v>
      </c>
      <c r="AP29" s="75">
        <f>0</f>
        <v>0</v>
      </c>
      <c r="AQ29" s="75">
        <f>0</f>
        <v>0</v>
      </c>
      <c r="AR29" s="75">
        <f>0</f>
        <v>0</v>
      </c>
      <c r="AS29" s="75">
        <f>0</f>
        <v>0</v>
      </c>
      <c r="AT29" s="75">
        <f>0</f>
        <v>0</v>
      </c>
      <c r="AU29" s="75">
        <f>0</f>
        <v>0</v>
      </c>
      <c r="AV29" s="75">
        <f>0</f>
        <v>0</v>
      </c>
      <c r="AW29" s="75">
        <f>0</f>
        <v>0</v>
      </c>
      <c r="AX29" s="75">
        <f>0</f>
        <v>0</v>
      </c>
      <c r="AY29" s="75">
        <f>0</f>
        <v>0</v>
      </c>
      <c r="AZ29" s="75">
        <f>0</f>
        <v>0</v>
      </c>
      <c r="BA29" s="75">
        <f>0</f>
        <v>0</v>
      </c>
      <c r="BB29" s="75">
        <f>0</f>
        <v>0</v>
      </c>
      <c r="BC29" s="75">
        <f>0</f>
        <v>0</v>
      </c>
      <c r="BD29" s="75">
        <f>0</f>
        <v>0</v>
      </c>
      <c r="BE29" s="75">
        <f>0</f>
        <v>0</v>
      </c>
      <c r="BF29" s="75">
        <f>0</f>
        <v>0</v>
      </c>
      <c r="BG29" s="75">
        <f>0</f>
        <v>0</v>
      </c>
      <c r="BH29" s="75">
        <f>0</f>
        <v>0</v>
      </c>
      <c r="BI29" s="75">
        <f>0</f>
        <v>0</v>
      </c>
      <c r="BJ29" s="75">
        <f>0</f>
        <v>0</v>
      </c>
      <c r="BN29" s="59">
        <v>28</v>
      </c>
      <c r="BO29" s="79">
        <f t="shared" ref="BO29:BO37" si="43">AI29+SUM(AI30:AI130)</f>
        <v>0</v>
      </c>
      <c r="BP29" s="79">
        <f t="shared" ref="BP29:BP37" si="44">AJ29+SUM(AJ30:AJ130)</f>
        <v>0</v>
      </c>
      <c r="BQ29" s="79">
        <f t="shared" ref="BQ29:CP37" si="45">AK29+SUM(AK30:AK130)</f>
        <v>0</v>
      </c>
      <c r="BR29" s="79">
        <f t="shared" si="45"/>
        <v>0</v>
      </c>
      <c r="BS29" s="79">
        <f t="shared" si="45"/>
        <v>0</v>
      </c>
      <c r="BT29" s="79">
        <f t="shared" si="45"/>
        <v>0</v>
      </c>
      <c r="BU29" s="79">
        <f t="shared" si="45"/>
        <v>0</v>
      </c>
      <c r="BV29" s="79">
        <f t="shared" si="45"/>
        <v>0</v>
      </c>
      <c r="BW29" s="79">
        <f t="shared" si="45"/>
        <v>0</v>
      </c>
      <c r="BX29" s="79">
        <f t="shared" si="45"/>
        <v>0</v>
      </c>
      <c r="BY29" s="79">
        <f t="shared" si="45"/>
        <v>0</v>
      </c>
      <c r="BZ29" s="79">
        <f t="shared" si="45"/>
        <v>0</v>
      </c>
      <c r="CA29" s="79">
        <f t="shared" si="45"/>
        <v>0</v>
      </c>
      <c r="CB29" s="79">
        <f t="shared" si="45"/>
        <v>0</v>
      </c>
      <c r="CC29" s="79">
        <f t="shared" si="45"/>
        <v>0</v>
      </c>
      <c r="CD29" s="79">
        <f t="shared" si="45"/>
        <v>0</v>
      </c>
      <c r="CE29" s="79">
        <f t="shared" si="45"/>
        <v>0</v>
      </c>
      <c r="CF29" s="79">
        <f t="shared" si="45"/>
        <v>0</v>
      </c>
      <c r="CG29" s="79">
        <f t="shared" si="45"/>
        <v>0</v>
      </c>
      <c r="CH29" s="79">
        <f t="shared" si="45"/>
        <v>0</v>
      </c>
      <c r="CI29" s="79">
        <f t="shared" si="45"/>
        <v>0</v>
      </c>
      <c r="CJ29" s="79">
        <f t="shared" si="45"/>
        <v>0</v>
      </c>
      <c r="CK29" s="79">
        <f t="shared" si="45"/>
        <v>0</v>
      </c>
      <c r="CL29" s="79">
        <f t="shared" si="45"/>
        <v>0</v>
      </c>
      <c r="CM29" s="79">
        <f t="shared" si="45"/>
        <v>0</v>
      </c>
      <c r="CN29" s="79">
        <f t="shared" si="45"/>
        <v>0</v>
      </c>
      <c r="CO29" s="79">
        <f t="shared" si="45"/>
        <v>0</v>
      </c>
      <c r="CP29" s="79">
        <f t="shared" si="45"/>
        <v>0</v>
      </c>
      <c r="CU29" s="56">
        <v>28</v>
      </c>
      <c r="CV29" s="58">
        <f t="shared" si="7"/>
        <v>0</v>
      </c>
      <c r="CW29" s="58">
        <f t="shared" si="8"/>
        <v>0</v>
      </c>
      <c r="CX29" s="58">
        <f t="shared" si="9"/>
        <v>0</v>
      </c>
      <c r="CY29" s="58">
        <f t="shared" si="10"/>
        <v>0</v>
      </c>
      <c r="CZ29" s="58">
        <f t="shared" si="11"/>
        <v>0</v>
      </c>
      <c r="DA29" s="58">
        <f t="shared" si="12"/>
        <v>0</v>
      </c>
      <c r="DB29" s="58">
        <f t="shared" si="13"/>
        <v>0</v>
      </c>
      <c r="DC29" s="58">
        <f t="shared" si="14"/>
        <v>0</v>
      </c>
      <c r="DF29" s="51">
        <v>28</v>
      </c>
      <c r="DG29" s="54">
        <f t="shared" si="36"/>
        <v>0</v>
      </c>
      <c r="DH29" s="54">
        <f t="shared" si="15"/>
        <v>0</v>
      </c>
      <c r="DI29" s="54">
        <f t="shared" si="16"/>
        <v>0</v>
      </c>
      <c r="DJ29" s="54">
        <f t="shared" si="17"/>
        <v>0</v>
      </c>
      <c r="DK29" s="54">
        <f t="shared" si="18"/>
        <v>0</v>
      </c>
      <c r="DL29" s="54">
        <f t="shared" si="19"/>
        <v>0</v>
      </c>
      <c r="DM29" s="54">
        <f t="shared" si="20"/>
        <v>0</v>
      </c>
      <c r="DN29" s="54">
        <f t="shared" si="21"/>
        <v>0</v>
      </c>
      <c r="DO29" s="54">
        <f t="shared" si="22"/>
        <v>0</v>
      </c>
      <c r="DP29" s="54">
        <f t="shared" si="23"/>
        <v>0</v>
      </c>
      <c r="DQ29" s="54">
        <f t="shared" si="24"/>
        <v>0</v>
      </c>
      <c r="DR29" s="54">
        <f t="shared" si="25"/>
        <v>0</v>
      </c>
      <c r="DS29" s="54">
        <f t="shared" si="26"/>
        <v>0</v>
      </c>
      <c r="DT29" s="54">
        <f t="shared" si="27"/>
        <v>0</v>
      </c>
      <c r="DX29">
        <v>28</v>
      </c>
      <c r="DY29" s="19">
        <f t="shared" si="4"/>
        <v>0</v>
      </c>
      <c r="EM29" s="21">
        <v>28</v>
      </c>
      <c r="EN29" s="16">
        <f t="shared" si="28"/>
        <v>0</v>
      </c>
      <c r="EO29" s="16">
        <f t="shared" si="5"/>
        <v>0</v>
      </c>
      <c r="EP29" s="16">
        <f t="shared" si="29"/>
        <v>0</v>
      </c>
      <c r="EQ29" s="16">
        <f t="shared" si="30"/>
        <v>0</v>
      </c>
      <c r="ER29" s="16">
        <f t="shared" si="31"/>
        <v>0</v>
      </c>
      <c r="ES29" s="16">
        <f t="shared" si="32"/>
        <v>0</v>
      </c>
      <c r="ET29" s="16">
        <f t="shared" si="33"/>
        <v>0</v>
      </c>
      <c r="EU29" s="16">
        <f t="shared" si="34"/>
        <v>0</v>
      </c>
      <c r="EW29" s="40">
        <f>'SATORI (D)'!EW8</f>
        <v>-17.980552919411579</v>
      </c>
      <c r="EX29" s="39" t="str">
        <f>'SATORI (D)'!EX8</f>
        <v>USD</v>
      </c>
      <c r="FK29" s="20"/>
      <c r="FL29" s="20"/>
    </row>
    <row r="30" spans="1:168" ht="18.600000000000001" thickBot="1" x14ac:dyDescent="0.4">
      <c r="B30" s="38"/>
      <c r="C30" s="67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9">
        <v>0</v>
      </c>
      <c r="AH30" s="56">
        <v>29</v>
      </c>
      <c r="AI30" s="74">
        <f t="shared" ref="AI30:AX36" si="46">IF(C30=0,0,(C30-C31)*100/C31)</f>
        <v>0</v>
      </c>
      <c r="AJ30" s="74">
        <f t="shared" si="46"/>
        <v>0</v>
      </c>
      <c r="AK30" s="74">
        <f t="shared" si="46"/>
        <v>0</v>
      </c>
      <c r="AL30" s="74">
        <f t="shared" si="46"/>
        <v>0</v>
      </c>
      <c r="AM30" s="74">
        <f t="shared" si="46"/>
        <v>0</v>
      </c>
      <c r="AN30" s="74">
        <f t="shared" si="46"/>
        <v>0</v>
      </c>
      <c r="AO30" s="74">
        <f t="shared" si="46"/>
        <v>0</v>
      </c>
      <c r="AP30" s="74">
        <f t="shared" si="46"/>
        <v>0</v>
      </c>
      <c r="AQ30" s="74">
        <f t="shared" si="46"/>
        <v>0</v>
      </c>
      <c r="AR30" s="74">
        <f t="shared" si="46"/>
        <v>0</v>
      </c>
      <c r="AS30" s="74">
        <f t="shared" si="46"/>
        <v>0</v>
      </c>
      <c r="AT30" s="74">
        <f t="shared" si="46"/>
        <v>0</v>
      </c>
      <c r="AU30" s="74">
        <f t="shared" si="46"/>
        <v>0</v>
      </c>
      <c r="AV30" s="74">
        <f t="shared" si="46"/>
        <v>0</v>
      </c>
      <c r="AW30" s="74">
        <f t="shared" si="46"/>
        <v>0</v>
      </c>
      <c r="AX30" s="74">
        <f t="shared" si="46"/>
        <v>0</v>
      </c>
      <c r="AY30" s="74">
        <f t="shared" ref="AY30:BJ36" si="47">IF(S30=0,0,(S30-S31)*100/S31)</f>
        <v>0</v>
      </c>
      <c r="AZ30" s="74">
        <f t="shared" si="47"/>
        <v>0</v>
      </c>
      <c r="BA30" s="74">
        <f t="shared" si="47"/>
        <v>0</v>
      </c>
      <c r="BB30" s="74">
        <f t="shared" si="47"/>
        <v>0</v>
      </c>
      <c r="BC30" s="74">
        <f t="shared" si="47"/>
        <v>0</v>
      </c>
      <c r="BD30" s="74">
        <f t="shared" si="47"/>
        <v>0</v>
      </c>
      <c r="BE30" s="74">
        <f t="shared" si="47"/>
        <v>0</v>
      </c>
      <c r="BF30" s="74">
        <f t="shared" si="47"/>
        <v>0</v>
      </c>
      <c r="BG30" s="74">
        <f t="shared" si="47"/>
        <v>0</v>
      </c>
      <c r="BH30" s="74">
        <f t="shared" si="47"/>
        <v>0</v>
      </c>
      <c r="BI30" s="74">
        <f t="shared" si="47"/>
        <v>0</v>
      </c>
      <c r="BJ30" s="74">
        <f t="shared" si="47"/>
        <v>0</v>
      </c>
      <c r="BN30" s="59">
        <v>29</v>
      </c>
      <c r="BO30" s="78">
        <f t="shared" si="43"/>
        <v>0</v>
      </c>
      <c r="BP30" s="78">
        <f t="shared" si="44"/>
        <v>0</v>
      </c>
      <c r="BQ30" s="78">
        <f t="shared" si="45"/>
        <v>0</v>
      </c>
      <c r="BR30" s="78">
        <f t="shared" si="45"/>
        <v>0</v>
      </c>
      <c r="BS30" s="78">
        <f t="shared" si="45"/>
        <v>0</v>
      </c>
      <c r="BT30" s="78">
        <f t="shared" si="45"/>
        <v>0</v>
      </c>
      <c r="BU30" s="78">
        <f t="shared" si="45"/>
        <v>0</v>
      </c>
      <c r="BV30" s="78">
        <f t="shared" si="45"/>
        <v>0</v>
      </c>
      <c r="BW30" s="78">
        <f t="shared" si="45"/>
        <v>0</v>
      </c>
      <c r="BX30" s="78">
        <f t="shared" si="45"/>
        <v>0</v>
      </c>
      <c r="BY30" s="78">
        <f t="shared" si="45"/>
        <v>0</v>
      </c>
      <c r="BZ30" s="78">
        <f t="shared" si="45"/>
        <v>0</v>
      </c>
      <c r="CA30" s="78">
        <f t="shared" si="45"/>
        <v>0</v>
      </c>
      <c r="CB30" s="78">
        <f t="shared" si="45"/>
        <v>0</v>
      </c>
      <c r="CC30" s="78">
        <f t="shared" si="45"/>
        <v>0</v>
      </c>
      <c r="CD30" s="78">
        <f t="shared" si="45"/>
        <v>0</v>
      </c>
      <c r="CE30" s="78">
        <f t="shared" si="45"/>
        <v>0</v>
      </c>
      <c r="CF30" s="78">
        <f t="shared" si="45"/>
        <v>0</v>
      </c>
      <c r="CG30" s="78">
        <f t="shared" si="45"/>
        <v>0</v>
      </c>
      <c r="CH30" s="78">
        <f t="shared" si="45"/>
        <v>0</v>
      </c>
      <c r="CI30" s="78">
        <f t="shared" si="45"/>
        <v>0</v>
      </c>
      <c r="CJ30" s="78">
        <f t="shared" si="45"/>
        <v>0</v>
      </c>
      <c r="CK30" s="78">
        <f t="shared" si="45"/>
        <v>0</v>
      </c>
      <c r="CL30" s="78">
        <f t="shared" si="45"/>
        <v>0</v>
      </c>
      <c r="CM30" s="78">
        <f t="shared" si="45"/>
        <v>0</v>
      </c>
      <c r="CN30" s="78">
        <f t="shared" si="45"/>
        <v>0</v>
      </c>
      <c r="CO30" s="78">
        <f t="shared" si="45"/>
        <v>0</v>
      </c>
      <c r="CP30" s="78">
        <f t="shared" si="45"/>
        <v>0</v>
      </c>
      <c r="CU30" s="56">
        <v>29</v>
      </c>
      <c r="CV30" s="57">
        <f t="shared" si="7"/>
        <v>0</v>
      </c>
      <c r="CW30" s="57">
        <f t="shared" si="8"/>
        <v>0</v>
      </c>
      <c r="CX30" s="57">
        <f t="shared" si="9"/>
        <v>0</v>
      </c>
      <c r="CY30" s="57">
        <f t="shared" si="10"/>
        <v>0</v>
      </c>
      <c r="CZ30" s="57">
        <f t="shared" si="11"/>
        <v>0</v>
      </c>
      <c r="DA30" s="57">
        <f t="shared" si="12"/>
        <v>0</v>
      </c>
      <c r="DB30" s="57">
        <f t="shared" si="13"/>
        <v>0</v>
      </c>
      <c r="DC30" s="57">
        <f t="shared" si="14"/>
        <v>0</v>
      </c>
      <c r="DF30" s="53">
        <v>29</v>
      </c>
      <c r="DG30" s="52">
        <f t="shared" si="36"/>
        <v>0</v>
      </c>
      <c r="DH30" s="52">
        <f t="shared" si="15"/>
        <v>0</v>
      </c>
      <c r="DI30" s="52">
        <f t="shared" si="16"/>
        <v>0</v>
      </c>
      <c r="DJ30" s="52">
        <f t="shared" si="17"/>
        <v>0</v>
      </c>
      <c r="DK30" s="52">
        <f t="shared" si="18"/>
        <v>0</v>
      </c>
      <c r="DL30" s="52">
        <f t="shared" si="19"/>
        <v>0</v>
      </c>
      <c r="DM30" s="52">
        <f t="shared" si="20"/>
        <v>0</v>
      </c>
      <c r="DN30" s="52">
        <f t="shared" si="21"/>
        <v>0</v>
      </c>
      <c r="DO30" s="52">
        <f t="shared" si="22"/>
        <v>0</v>
      </c>
      <c r="DP30" s="52">
        <f t="shared" si="23"/>
        <v>0</v>
      </c>
      <c r="DQ30" s="52">
        <f t="shared" si="24"/>
        <v>0</v>
      </c>
      <c r="DR30" s="52">
        <f t="shared" si="25"/>
        <v>0</v>
      </c>
      <c r="DS30" s="52">
        <f t="shared" si="26"/>
        <v>0</v>
      </c>
      <c r="DT30" s="52">
        <f t="shared" si="27"/>
        <v>0</v>
      </c>
      <c r="DX30">
        <v>29</v>
      </c>
      <c r="DY30" s="19">
        <f t="shared" si="4"/>
        <v>0</v>
      </c>
      <c r="EM30" s="21">
        <v>29</v>
      </c>
      <c r="EN30" s="16">
        <f t="shared" si="28"/>
        <v>0</v>
      </c>
      <c r="EO30" s="16">
        <f t="shared" si="5"/>
        <v>0</v>
      </c>
      <c r="EP30" s="16">
        <f t="shared" si="29"/>
        <v>0</v>
      </c>
      <c r="EQ30" s="16">
        <f t="shared" si="30"/>
        <v>0</v>
      </c>
      <c r="ER30" s="16">
        <f t="shared" si="31"/>
        <v>0</v>
      </c>
      <c r="ES30" s="16">
        <f t="shared" si="32"/>
        <v>0</v>
      </c>
      <c r="ET30" s="16">
        <f t="shared" si="33"/>
        <v>0</v>
      </c>
      <c r="EU30" s="16">
        <f t="shared" si="34"/>
        <v>0</v>
      </c>
      <c r="EW30" s="40">
        <f>'SATORI (D)'!EW9</f>
        <v>-18.577040596505629</v>
      </c>
      <c r="EX30" s="39" t="str">
        <f>'SATORI (D)'!EX9</f>
        <v>AUD</v>
      </c>
      <c r="FK30" s="20"/>
      <c r="FL30" s="20"/>
    </row>
    <row r="31" spans="1:168" ht="14.4" thickBot="1" x14ac:dyDescent="0.35">
      <c r="B31" s="38"/>
      <c r="C31" s="67">
        <v>0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9">
        <v>0</v>
      </c>
      <c r="AH31" s="56">
        <v>30</v>
      </c>
      <c r="AI31" s="75">
        <f t="shared" si="46"/>
        <v>0</v>
      </c>
      <c r="AJ31" s="75">
        <f t="shared" si="46"/>
        <v>0</v>
      </c>
      <c r="AK31" s="75">
        <f t="shared" si="46"/>
        <v>0</v>
      </c>
      <c r="AL31" s="75">
        <f t="shared" si="46"/>
        <v>0</v>
      </c>
      <c r="AM31" s="75">
        <f t="shared" si="46"/>
        <v>0</v>
      </c>
      <c r="AN31" s="75">
        <f t="shared" si="46"/>
        <v>0</v>
      </c>
      <c r="AO31" s="75">
        <f t="shared" si="46"/>
        <v>0</v>
      </c>
      <c r="AP31" s="75">
        <f t="shared" si="46"/>
        <v>0</v>
      </c>
      <c r="AQ31" s="75">
        <f t="shared" si="46"/>
        <v>0</v>
      </c>
      <c r="AR31" s="75">
        <f t="shared" si="46"/>
        <v>0</v>
      </c>
      <c r="AS31" s="75">
        <f t="shared" si="46"/>
        <v>0</v>
      </c>
      <c r="AT31" s="75">
        <f t="shared" si="46"/>
        <v>0</v>
      </c>
      <c r="AU31" s="75">
        <f t="shared" si="46"/>
        <v>0</v>
      </c>
      <c r="AV31" s="75">
        <f t="shared" si="46"/>
        <v>0</v>
      </c>
      <c r="AW31" s="75">
        <f t="shared" si="46"/>
        <v>0</v>
      </c>
      <c r="AX31" s="75">
        <f t="shared" si="46"/>
        <v>0</v>
      </c>
      <c r="AY31" s="75">
        <f t="shared" si="47"/>
        <v>0</v>
      </c>
      <c r="AZ31" s="75">
        <f t="shared" si="47"/>
        <v>0</v>
      </c>
      <c r="BA31" s="75">
        <f t="shared" si="47"/>
        <v>0</v>
      </c>
      <c r="BB31" s="75">
        <f t="shared" si="47"/>
        <v>0</v>
      </c>
      <c r="BC31" s="75">
        <f t="shared" si="47"/>
        <v>0</v>
      </c>
      <c r="BD31" s="75">
        <f t="shared" si="47"/>
        <v>0</v>
      </c>
      <c r="BE31" s="75">
        <f t="shared" si="47"/>
        <v>0</v>
      </c>
      <c r="BF31" s="75">
        <f t="shared" si="47"/>
        <v>0</v>
      </c>
      <c r="BG31" s="75">
        <f t="shared" si="47"/>
        <v>0</v>
      </c>
      <c r="BH31" s="75">
        <f t="shared" si="47"/>
        <v>0</v>
      </c>
      <c r="BI31" s="75">
        <f t="shared" si="47"/>
        <v>0</v>
      </c>
      <c r="BJ31" s="75">
        <f t="shared" si="47"/>
        <v>0</v>
      </c>
      <c r="BN31" s="59">
        <v>30</v>
      </c>
      <c r="BO31" s="79">
        <f t="shared" si="43"/>
        <v>0</v>
      </c>
      <c r="BP31" s="79">
        <f t="shared" si="44"/>
        <v>0</v>
      </c>
      <c r="BQ31" s="79">
        <f t="shared" si="45"/>
        <v>0</v>
      </c>
      <c r="BR31" s="79">
        <f t="shared" si="45"/>
        <v>0</v>
      </c>
      <c r="BS31" s="79">
        <f t="shared" si="45"/>
        <v>0</v>
      </c>
      <c r="BT31" s="79">
        <f t="shared" si="45"/>
        <v>0</v>
      </c>
      <c r="BU31" s="79">
        <f t="shared" si="45"/>
        <v>0</v>
      </c>
      <c r="BV31" s="79">
        <f t="shared" si="45"/>
        <v>0</v>
      </c>
      <c r="BW31" s="79">
        <f t="shared" si="45"/>
        <v>0</v>
      </c>
      <c r="BX31" s="79">
        <f t="shared" si="45"/>
        <v>0</v>
      </c>
      <c r="BY31" s="79">
        <f t="shared" si="45"/>
        <v>0</v>
      </c>
      <c r="BZ31" s="79">
        <f t="shared" si="45"/>
        <v>0</v>
      </c>
      <c r="CA31" s="79">
        <f t="shared" si="45"/>
        <v>0</v>
      </c>
      <c r="CB31" s="79">
        <f t="shared" si="45"/>
        <v>0</v>
      </c>
      <c r="CC31" s="79">
        <f t="shared" si="45"/>
        <v>0</v>
      </c>
      <c r="CD31" s="79">
        <f t="shared" si="45"/>
        <v>0</v>
      </c>
      <c r="CE31" s="79">
        <f t="shared" si="45"/>
        <v>0</v>
      </c>
      <c r="CF31" s="79">
        <f t="shared" si="45"/>
        <v>0</v>
      </c>
      <c r="CG31" s="79">
        <f t="shared" si="45"/>
        <v>0</v>
      </c>
      <c r="CH31" s="79">
        <f t="shared" si="45"/>
        <v>0</v>
      </c>
      <c r="CI31" s="79">
        <f t="shared" si="45"/>
        <v>0</v>
      </c>
      <c r="CJ31" s="79">
        <f t="shared" si="45"/>
        <v>0</v>
      </c>
      <c r="CK31" s="79">
        <f t="shared" si="45"/>
        <v>0</v>
      </c>
      <c r="CL31" s="79">
        <f t="shared" si="45"/>
        <v>0</v>
      </c>
      <c r="CM31" s="79">
        <f t="shared" si="45"/>
        <v>0</v>
      </c>
      <c r="CN31" s="79">
        <f t="shared" si="45"/>
        <v>0</v>
      </c>
      <c r="CO31" s="79">
        <f t="shared" si="45"/>
        <v>0</v>
      </c>
      <c r="CP31" s="79">
        <f t="shared" si="45"/>
        <v>0</v>
      </c>
      <c r="CU31" s="56">
        <v>30</v>
      </c>
      <c r="CV31" s="58">
        <f t="shared" si="7"/>
        <v>0</v>
      </c>
      <c r="CW31" s="58">
        <f t="shared" si="8"/>
        <v>0</v>
      </c>
      <c r="CX31" s="58">
        <f t="shared" si="9"/>
        <v>0</v>
      </c>
      <c r="CY31" s="58">
        <f t="shared" si="10"/>
        <v>0</v>
      </c>
      <c r="CZ31" s="58">
        <f t="shared" si="11"/>
        <v>0</v>
      </c>
      <c r="DA31" s="58">
        <f t="shared" si="12"/>
        <v>0</v>
      </c>
      <c r="DB31" s="58">
        <f t="shared" si="13"/>
        <v>0</v>
      </c>
      <c r="DC31" s="58">
        <f t="shared" si="14"/>
        <v>0</v>
      </c>
      <c r="DF31" s="51">
        <v>30</v>
      </c>
      <c r="DG31" s="54">
        <f t="shared" si="36"/>
        <v>0</v>
      </c>
      <c r="DH31" s="54">
        <f t="shared" si="15"/>
        <v>0</v>
      </c>
      <c r="DI31" s="54">
        <f t="shared" si="16"/>
        <v>0</v>
      </c>
      <c r="DJ31" s="54">
        <f t="shared" si="17"/>
        <v>0</v>
      </c>
      <c r="DK31" s="54">
        <f t="shared" si="18"/>
        <v>0</v>
      </c>
      <c r="DL31" s="54">
        <f t="shared" si="19"/>
        <v>0</v>
      </c>
      <c r="DM31" s="54">
        <f t="shared" si="20"/>
        <v>0</v>
      </c>
      <c r="DN31" s="54">
        <f t="shared" si="21"/>
        <v>0</v>
      </c>
      <c r="DO31" s="54">
        <f t="shared" si="22"/>
        <v>0</v>
      </c>
      <c r="DP31" s="54">
        <f t="shared" si="23"/>
        <v>0</v>
      </c>
      <c r="DQ31" s="54">
        <f t="shared" si="24"/>
        <v>0</v>
      </c>
      <c r="DR31" s="54">
        <f t="shared" si="25"/>
        <v>0</v>
      </c>
      <c r="DS31" s="54">
        <f t="shared" si="26"/>
        <v>0</v>
      </c>
      <c r="DT31" s="54">
        <f t="shared" si="27"/>
        <v>0</v>
      </c>
      <c r="DX31">
        <v>30</v>
      </c>
      <c r="DY31" s="19">
        <f t="shared" si="4"/>
        <v>0</v>
      </c>
      <c r="EM31" s="21">
        <v>30</v>
      </c>
      <c r="EN31" s="16">
        <f t="shared" si="28"/>
        <v>0</v>
      </c>
      <c r="EO31" s="16">
        <f t="shared" si="5"/>
        <v>0</v>
      </c>
      <c r="EP31" s="16">
        <f t="shared" si="29"/>
        <v>0</v>
      </c>
      <c r="EQ31" s="16">
        <f t="shared" si="30"/>
        <v>0</v>
      </c>
      <c r="ER31" s="16">
        <f t="shared" si="31"/>
        <v>0</v>
      </c>
      <c r="ES31" s="16">
        <f t="shared" si="32"/>
        <v>0</v>
      </c>
      <c r="ET31" s="16">
        <f t="shared" si="33"/>
        <v>0</v>
      </c>
      <c r="EU31" s="16">
        <f t="shared" si="34"/>
        <v>0</v>
      </c>
      <c r="FK31" s="20"/>
      <c r="FL31" s="20"/>
    </row>
    <row r="32" spans="1:168" ht="14.4" thickBot="1" x14ac:dyDescent="0.35">
      <c r="B32" s="38"/>
      <c r="C32" s="67">
        <v>0</v>
      </c>
      <c r="D32" s="68">
        <v>0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68">
        <v>0</v>
      </c>
      <c r="AC32" s="68">
        <v>0</v>
      </c>
      <c r="AD32" s="69">
        <v>0</v>
      </c>
      <c r="AH32" s="56">
        <v>31</v>
      </c>
      <c r="AI32" s="74">
        <f t="shared" si="46"/>
        <v>0</v>
      </c>
      <c r="AJ32" s="74">
        <f t="shared" si="46"/>
        <v>0</v>
      </c>
      <c r="AK32" s="74">
        <f t="shared" si="46"/>
        <v>0</v>
      </c>
      <c r="AL32" s="74">
        <f t="shared" si="46"/>
        <v>0</v>
      </c>
      <c r="AM32" s="74">
        <f t="shared" si="46"/>
        <v>0</v>
      </c>
      <c r="AN32" s="74">
        <f t="shared" si="46"/>
        <v>0</v>
      </c>
      <c r="AO32" s="74">
        <f t="shared" si="46"/>
        <v>0</v>
      </c>
      <c r="AP32" s="74">
        <f t="shared" si="46"/>
        <v>0</v>
      </c>
      <c r="AQ32" s="74">
        <f t="shared" si="46"/>
        <v>0</v>
      </c>
      <c r="AR32" s="74">
        <f t="shared" si="46"/>
        <v>0</v>
      </c>
      <c r="AS32" s="74">
        <f t="shared" si="46"/>
        <v>0</v>
      </c>
      <c r="AT32" s="74">
        <f t="shared" si="46"/>
        <v>0</v>
      </c>
      <c r="AU32" s="74">
        <f t="shared" si="46"/>
        <v>0</v>
      </c>
      <c r="AV32" s="74">
        <f t="shared" si="46"/>
        <v>0</v>
      </c>
      <c r="AW32" s="74">
        <f t="shared" si="46"/>
        <v>0</v>
      </c>
      <c r="AX32" s="74">
        <f t="shared" si="46"/>
        <v>0</v>
      </c>
      <c r="AY32" s="74">
        <f t="shared" si="47"/>
        <v>0</v>
      </c>
      <c r="AZ32" s="74">
        <f t="shared" si="47"/>
        <v>0</v>
      </c>
      <c r="BA32" s="74">
        <f t="shared" si="47"/>
        <v>0</v>
      </c>
      <c r="BB32" s="74">
        <f t="shared" si="47"/>
        <v>0</v>
      </c>
      <c r="BC32" s="74">
        <f t="shared" si="47"/>
        <v>0</v>
      </c>
      <c r="BD32" s="74">
        <f t="shared" si="47"/>
        <v>0</v>
      </c>
      <c r="BE32" s="74">
        <f t="shared" si="47"/>
        <v>0</v>
      </c>
      <c r="BF32" s="74">
        <f t="shared" si="47"/>
        <v>0</v>
      </c>
      <c r="BG32" s="74">
        <f t="shared" si="47"/>
        <v>0</v>
      </c>
      <c r="BH32" s="74">
        <f t="shared" si="47"/>
        <v>0</v>
      </c>
      <c r="BI32" s="74">
        <f t="shared" si="47"/>
        <v>0</v>
      </c>
      <c r="BJ32" s="74">
        <f t="shared" si="47"/>
        <v>0</v>
      </c>
      <c r="BN32" s="59">
        <v>31</v>
      </c>
      <c r="BO32" s="78">
        <f t="shared" si="43"/>
        <v>0</v>
      </c>
      <c r="BP32" s="78">
        <f t="shared" si="44"/>
        <v>0</v>
      </c>
      <c r="BQ32" s="78">
        <f t="shared" si="45"/>
        <v>0</v>
      </c>
      <c r="BR32" s="78">
        <f t="shared" si="45"/>
        <v>0</v>
      </c>
      <c r="BS32" s="78">
        <f t="shared" si="45"/>
        <v>0</v>
      </c>
      <c r="BT32" s="78">
        <f t="shared" si="45"/>
        <v>0</v>
      </c>
      <c r="BU32" s="78">
        <f t="shared" si="45"/>
        <v>0</v>
      </c>
      <c r="BV32" s="78">
        <f t="shared" si="45"/>
        <v>0</v>
      </c>
      <c r="BW32" s="78">
        <f t="shared" si="45"/>
        <v>0</v>
      </c>
      <c r="BX32" s="78">
        <f t="shared" si="45"/>
        <v>0</v>
      </c>
      <c r="BY32" s="78">
        <f t="shared" si="45"/>
        <v>0</v>
      </c>
      <c r="BZ32" s="78">
        <f t="shared" si="45"/>
        <v>0</v>
      </c>
      <c r="CA32" s="78">
        <f t="shared" si="45"/>
        <v>0</v>
      </c>
      <c r="CB32" s="78">
        <f t="shared" si="45"/>
        <v>0</v>
      </c>
      <c r="CC32" s="78">
        <f t="shared" si="45"/>
        <v>0</v>
      </c>
      <c r="CD32" s="78">
        <f t="shared" si="45"/>
        <v>0</v>
      </c>
      <c r="CE32" s="78">
        <f t="shared" si="45"/>
        <v>0</v>
      </c>
      <c r="CF32" s="78">
        <f t="shared" si="45"/>
        <v>0</v>
      </c>
      <c r="CG32" s="78">
        <f t="shared" si="45"/>
        <v>0</v>
      </c>
      <c r="CH32" s="78">
        <f t="shared" si="45"/>
        <v>0</v>
      </c>
      <c r="CI32" s="78">
        <f t="shared" si="45"/>
        <v>0</v>
      </c>
      <c r="CJ32" s="78">
        <f t="shared" si="45"/>
        <v>0</v>
      </c>
      <c r="CK32" s="78">
        <f t="shared" si="45"/>
        <v>0</v>
      </c>
      <c r="CL32" s="78">
        <f t="shared" si="45"/>
        <v>0</v>
      </c>
      <c r="CM32" s="78">
        <f t="shared" si="45"/>
        <v>0</v>
      </c>
      <c r="CN32" s="78">
        <f t="shared" si="45"/>
        <v>0</v>
      </c>
      <c r="CO32" s="78">
        <f t="shared" si="45"/>
        <v>0</v>
      </c>
      <c r="CP32" s="78">
        <f t="shared" si="45"/>
        <v>0</v>
      </c>
      <c r="CU32" s="56">
        <v>31</v>
      </c>
      <c r="CV32" s="57">
        <f t="shared" si="7"/>
        <v>0</v>
      </c>
      <c r="CW32" s="57">
        <f t="shared" si="8"/>
        <v>0</v>
      </c>
      <c r="CX32" s="57">
        <f t="shared" si="9"/>
        <v>0</v>
      </c>
      <c r="CY32" s="57">
        <f t="shared" si="10"/>
        <v>0</v>
      </c>
      <c r="CZ32" s="57">
        <f t="shared" si="11"/>
        <v>0</v>
      </c>
      <c r="DA32" s="57">
        <f t="shared" si="12"/>
        <v>0</v>
      </c>
      <c r="DB32" s="57">
        <f t="shared" si="13"/>
        <v>0</v>
      </c>
      <c r="DC32" s="57">
        <f t="shared" si="14"/>
        <v>0</v>
      </c>
      <c r="DF32" s="53">
        <v>31</v>
      </c>
      <c r="DG32" s="52">
        <f t="shared" si="36"/>
        <v>0</v>
      </c>
      <c r="DH32" s="52">
        <f t="shared" si="15"/>
        <v>0</v>
      </c>
      <c r="DI32" s="52">
        <f t="shared" si="16"/>
        <v>0</v>
      </c>
      <c r="DJ32" s="52">
        <f t="shared" si="17"/>
        <v>0</v>
      </c>
      <c r="DK32" s="52">
        <f t="shared" si="18"/>
        <v>0</v>
      </c>
      <c r="DL32" s="52">
        <f t="shared" si="19"/>
        <v>0</v>
      </c>
      <c r="DM32" s="52">
        <f t="shared" si="20"/>
        <v>0</v>
      </c>
      <c r="DN32" s="52">
        <f t="shared" si="21"/>
        <v>0</v>
      </c>
      <c r="DO32" s="52">
        <f t="shared" si="22"/>
        <v>0</v>
      </c>
      <c r="DP32" s="52">
        <f t="shared" si="23"/>
        <v>0</v>
      </c>
      <c r="DQ32" s="52">
        <f t="shared" si="24"/>
        <v>0</v>
      </c>
      <c r="DR32" s="52">
        <f t="shared" si="25"/>
        <v>0</v>
      </c>
      <c r="DS32" s="52">
        <f t="shared" si="26"/>
        <v>0</v>
      </c>
      <c r="DT32" s="52">
        <f t="shared" si="27"/>
        <v>0</v>
      </c>
      <c r="DX32">
        <v>31</v>
      </c>
      <c r="DY32" s="19">
        <f t="shared" si="4"/>
        <v>0</v>
      </c>
      <c r="EM32" s="13">
        <v>31</v>
      </c>
      <c r="EN32" s="16">
        <f t="shared" si="28"/>
        <v>0</v>
      </c>
      <c r="EO32" s="16">
        <f t="shared" si="5"/>
        <v>0</v>
      </c>
      <c r="EP32" s="16">
        <f t="shared" si="29"/>
        <v>0</v>
      </c>
      <c r="EQ32" s="16">
        <f t="shared" si="30"/>
        <v>0</v>
      </c>
      <c r="ER32" s="16">
        <f t="shared" si="31"/>
        <v>0</v>
      </c>
      <c r="ES32" s="16">
        <f t="shared" si="32"/>
        <v>0</v>
      </c>
      <c r="ET32" s="16">
        <f t="shared" si="33"/>
        <v>0</v>
      </c>
      <c r="EU32" s="16">
        <f t="shared" si="34"/>
        <v>0</v>
      </c>
      <c r="FK32" s="20"/>
      <c r="FL32" s="20"/>
    </row>
    <row r="33" spans="2:168" ht="14.4" thickBot="1" x14ac:dyDescent="0.35">
      <c r="B33" s="38"/>
      <c r="C33" s="67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9">
        <v>0</v>
      </c>
      <c r="AH33" s="56">
        <v>32</v>
      </c>
      <c r="AI33" s="75">
        <f t="shared" si="46"/>
        <v>0</v>
      </c>
      <c r="AJ33" s="75">
        <f t="shared" si="46"/>
        <v>0</v>
      </c>
      <c r="AK33" s="75">
        <f t="shared" si="46"/>
        <v>0</v>
      </c>
      <c r="AL33" s="75">
        <f t="shared" si="46"/>
        <v>0</v>
      </c>
      <c r="AM33" s="75">
        <f t="shared" si="46"/>
        <v>0</v>
      </c>
      <c r="AN33" s="75">
        <f t="shared" si="46"/>
        <v>0</v>
      </c>
      <c r="AO33" s="75">
        <f t="shared" si="46"/>
        <v>0</v>
      </c>
      <c r="AP33" s="75">
        <f t="shared" si="46"/>
        <v>0</v>
      </c>
      <c r="AQ33" s="75">
        <f t="shared" si="46"/>
        <v>0</v>
      </c>
      <c r="AR33" s="75">
        <f t="shared" si="46"/>
        <v>0</v>
      </c>
      <c r="AS33" s="75">
        <f t="shared" si="46"/>
        <v>0</v>
      </c>
      <c r="AT33" s="75">
        <f t="shared" si="46"/>
        <v>0</v>
      </c>
      <c r="AU33" s="75">
        <f t="shared" si="46"/>
        <v>0</v>
      </c>
      <c r="AV33" s="75">
        <f t="shared" si="46"/>
        <v>0</v>
      </c>
      <c r="AW33" s="75">
        <f t="shared" si="46"/>
        <v>0</v>
      </c>
      <c r="AX33" s="75">
        <f t="shared" si="46"/>
        <v>0</v>
      </c>
      <c r="AY33" s="75">
        <f t="shared" si="47"/>
        <v>0</v>
      </c>
      <c r="AZ33" s="75">
        <f t="shared" si="47"/>
        <v>0</v>
      </c>
      <c r="BA33" s="75">
        <f t="shared" si="47"/>
        <v>0</v>
      </c>
      <c r="BB33" s="75">
        <f t="shared" si="47"/>
        <v>0</v>
      </c>
      <c r="BC33" s="75">
        <f t="shared" si="47"/>
        <v>0</v>
      </c>
      <c r="BD33" s="75">
        <f t="shared" si="47"/>
        <v>0</v>
      </c>
      <c r="BE33" s="75">
        <f t="shared" si="47"/>
        <v>0</v>
      </c>
      <c r="BF33" s="75">
        <f t="shared" si="47"/>
        <v>0</v>
      </c>
      <c r="BG33" s="75">
        <f t="shared" si="47"/>
        <v>0</v>
      </c>
      <c r="BH33" s="75">
        <f t="shared" si="47"/>
        <v>0</v>
      </c>
      <c r="BI33" s="75">
        <f t="shared" si="47"/>
        <v>0</v>
      </c>
      <c r="BJ33" s="75">
        <f t="shared" si="47"/>
        <v>0</v>
      </c>
      <c r="BN33" s="59">
        <v>32</v>
      </c>
      <c r="BO33" s="79">
        <f t="shared" si="43"/>
        <v>0</v>
      </c>
      <c r="BP33" s="79">
        <f t="shared" si="44"/>
        <v>0</v>
      </c>
      <c r="BQ33" s="79">
        <f t="shared" si="45"/>
        <v>0</v>
      </c>
      <c r="BR33" s="79">
        <f t="shared" si="45"/>
        <v>0</v>
      </c>
      <c r="BS33" s="79">
        <f t="shared" si="45"/>
        <v>0</v>
      </c>
      <c r="BT33" s="79">
        <f t="shared" si="45"/>
        <v>0</v>
      </c>
      <c r="BU33" s="79">
        <f t="shared" si="45"/>
        <v>0</v>
      </c>
      <c r="BV33" s="79">
        <f t="shared" si="45"/>
        <v>0</v>
      </c>
      <c r="BW33" s="79">
        <f t="shared" si="45"/>
        <v>0</v>
      </c>
      <c r="BX33" s="79">
        <f t="shared" si="45"/>
        <v>0</v>
      </c>
      <c r="BY33" s="79">
        <f t="shared" si="45"/>
        <v>0</v>
      </c>
      <c r="BZ33" s="79">
        <f t="shared" si="45"/>
        <v>0</v>
      </c>
      <c r="CA33" s="79">
        <f t="shared" si="45"/>
        <v>0</v>
      </c>
      <c r="CB33" s="79">
        <f t="shared" si="45"/>
        <v>0</v>
      </c>
      <c r="CC33" s="79">
        <f t="shared" si="45"/>
        <v>0</v>
      </c>
      <c r="CD33" s="79">
        <f t="shared" si="45"/>
        <v>0</v>
      </c>
      <c r="CE33" s="79">
        <f t="shared" si="45"/>
        <v>0</v>
      </c>
      <c r="CF33" s="79">
        <f t="shared" si="45"/>
        <v>0</v>
      </c>
      <c r="CG33" s="79">
        <f t="shared" si="45"/>
        <v>0</v>
      </c>
      <c r="CH33" s="79">
        <f t="shared" si="45"/>
        <v>0</v>
      </c>
      <c r="CI33" s="79">
        <f t="shared" si="45"/>
        <v>0</v>
      </c>
      <c r="CJ33" s="79">
        <f t="shared" si="45"/>
        <v>0</v>
      </c>
      <c r="CK33" s="79">
        <f t="shared" si="45"/>
        <v>0</v>
      </c>
      <c r="CL33" s="79">
        <f t="shared" si="45"/>
        <v>0</v>
      </c>
      <c r="CM33" s="79">
        <f t="shared" si="45"/>
        <v>0</v>
      </c>
      <c r="CN33" s="79">
        <f t="shared" si="45"/>
        <v>0</v>
      </c>
      <c r="CO33" s="79">
        <f t="shared" si="45"/>
        <v>0</v>
      </c>
      <c r="CP33" s="79">
        <f t="shared" si="45"/>
        <v>0</v>
      </c>
      <c r="CU33" s="56">
        <v>32</v>
      </c>
      <c r="CV33" s="58">
        <f t="shared" si="7"/>
        <v>0</v>
      </c>
      <c r="CW33" s="58">
        <f t="shared" si="8"/>
        <v>0</v>
      </c>
      <c r="CX33" s="58">
        <f t="shared" si="9"/>
        <v>0</v>
      </c>
      <c r="CY33" s="58">
        <f t="shared" si="10"/>
        <v>0</v>
      </c>
      <c r="CZ33" s="58">
        <f t="shared" si="11"/>
        <v>0</v>
      </c>
      <c r="DA33" s="58">
        <f t="shared" si="12"/>
        <v>0</v>
      </c>
      <c r="DB33" s="58">
        <f t="shared" si="13"/>
        <v>0</v>
      </c>
      <c r="DC33" s="58">
        <f t="shared" si="14"/>
        <v>0</v>
      </c>
      <c r="DF33" s="51">
        <v>32</v>
      </c>
      <c r="DG33" s="54">
        <f t="shared" si="36"/>
        <v>0</v>
      </c>
      <c r="DH33" s="54">
        <f t="shared" si="15"/>
        <v>0</v>
      </c>
      <c r="DI33" s="54">
        <f t="shared" si="16"/>
        <v>0</v>
      </c>
      <c r="DJ33" s="54">
        <f t="shared" si="17"/>
        <v>0</v>
      </c>
      <c r="DK33" s="54">
        <f t="shared" si="18"/>
        <v>0</v>
      </c>
      <c r="DL33" s="54">
        <f t="shared" si="19"/>
        <v>0</v>
      </c>
      <c r="DM33" s="54">
        <f t="shared" si="20"/>
        <v>0</v>
      </c>
      <c r="DN33" s="54">
        <f t="shared" si="21"/>
        <v>0</v>
      </c>
      <c r="DO33" s="54">
        <f t="shared" si="22"/>
        <v>0</v>
      </c>
      <c r="DP33" s="54">
        <f t="shared" si="23"/>
        <v>0</v>
      </c>
      <c r="DQ33" s="54">
        <f t="shared" si="24"/>
        <v>0</v>
      </c>
      <c r="DR33" s="54">
        <f t="shared" si="25"/>
        <v>0</v>
      </c>
      <c r="DS33" s="54">
        <f t="shared" si="26"/>
        <v>0</v>
      </c>
      <c r="DT33" s="54">
        <f t="shared" si="27"/>
        <v>0</v>
      </c>
      <c r="DX33">
        <v>32</v>
      </c>
      <c r="DY33" s="19">
        <f t="shared" si="4"/>
        <v>0</v>
      </c>
      <c r="EM33" s="21">
        <v>32</v>
      </c>
      <c r="EN33" s="16">
        <f t="shared" si="28"/>
        <v>0</v>
      </c>
      <c r="EO33" s="16">
        <f t="shared" si="5"/>
        <v>0</v>
      </c>
      <c r="EP33" s="16">
        <f t="shared" si="29"/>
        <v>0</v>
      </c>
      <c r="EQ33" s="16">
        <f t="shared" si="30"/>
        <v>0</v>
      </c>
      <c r="ER33" s="16">
        <f t="shared" si="31"/>
        <v>0</v>
      </c>
      <c r="ES33" s="16">
        <f t="shared" si="32"/>
        <v>0</v>
      </c>
      <c r="ET33" s="16">
        <f t="shared" si="33"/>
        <v>0</v>
      </c>
      <c r="EU33" s="16">
        <f t="shared" si="34"/>
        <v>0</v>
      </c>
      <c r="FK33" s="20"/>
      <c r="FL33" s="20"/>
    </row>
    <row r="34" spans="2:168" ht="14.4" thickBot="1" x14ac:dyDescent="0.35">
      <c r="B34" s="38"/>
      <c r="C34" s="67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9">
        <v>0</v>
      </c>
      <c r="AH34" s="56">
        <v>33</v>
      </c>
      <c r="AI34" s="74">
        <f t="shared" si="46"/>
        <v>0</v>
      </c>
      <c r="AJ34" s="74">
        <f t="shared" si="46"/>
        <v>0</v>
      </c>
      <c r="AK34" s="74">
        <f t="shared" si="46"/>
        <v>0</v>
      </c>
      <c r="AL34" s="74">
        <f t="shared" si="46"/>
        <v>0</v>
      </c>
      <c r="AM34" s="74">
        <f t="shared" si="46"/>
        <v>0</v>
      </c>
      <c r="AN34" s="74">
        <f t="shared" si="46"/>
        <v>0</v>
      </c>
      <c r="AO34" s="74">
        <f t="shared" si="46"/>
        <v>0</v>
      </c>
      <c r="AP34" s="74">
        <f t="shared" si="46"/>
        <v>0</v>
      </c>
      <c r="AQ34" s="74">
        <f t="shared" si="46"/>
        <v>0</v>
      </c>
      <c r="AR34" s="74">
        <f t="shared" si="46"/>
        <v>0</v>
      </c>
      <c r="AS34" s="74">
        <f t="shared" si="46"/>
        <v>0</v>
      </c>
      <c r="AT34" s="74">
        <f t="shared" si="46"/>
        <v>0</v>
      </c>
      <c r="AU34" s="74">
        <f t="shared" si="46"/>
        <v>0</v>
      </c>
      <c r="AV34" s="74">
        <f t="shared" si="46"/>
        <v>0</v>
      </c>
      <c r="AW34" s="74">
        <f t="shared" si="46"/>
        <v>0</v>
      </c>
      <c r="AX34" s="74">
        <f t="shared" si="46"/>
        <v>0</v>
      </c>
      <c r="AY34" s="74">
        <f t="shared" si="47"/>
        <v>0</v>
      </c>
      <c r="AZ34" s="74">
        <f t="shared" si="47"/>
        <v>0</v>
      </c>
      <c r="BA34" s="74">
        <f t="shared" si="47"/>
        <v>0</v>
      </c>
      <c r="BB34" s="74">
        <f t="shared" si="47"/>
        <v>0</v>
      </c>
      <c r="BC34" s="74">
        <f t="shared" si="47"/>
        <v>0</v>
      </c>
      <c r="BD34" s="74">
        <f t="shared" si="47"/>
        <v>0</v>
      </c>
      <c r="BE34" s="74">
        <f t="shared" si="47"/>
        <v>0</v>
      </c>
      <c r="BF34" s="74">
        <f t="shared" si="47"/>
        <v>0</v>
      </c>
      <c r="BG34" s="74">
        <f t="shared" si="47"/>
        <v>0</v>
      </c>
      <c r="BH34" s="74">
        <f t="shared" si="47"/>
        <v>0</v>
      </c>
      <c r="BI34" s="74">
        <f t="shared" si="47"/>
        <v>0</v>
      </c>
      <c r="BJ34" s="74">
        <f t="shared" si="47"/>
        <v>0</v>
      </c>
      <c r="BN34" s="59">
        <v>33</v>
      </c>
      <c r="BO34" s="78">
        <f t="shared" si="43"/>
        <v>0</v>
      </c>
      <c r="BP34" s="78">
        <f t="shared" si="44"/>
        <v>0</v>
      </c>
      <c r="BQ34" s="78">
        <f t="shared" si="45"/>
        <v>0</v>
      </c>
      <c r="BR34" s="78">
        <f t="shared" si="45"/>
        <v>0</v>
      </c>
      <c r="BS34" s="78">
        <f t="shared" si="45"/>
        <v>0</v>
      </c>
      <c r="BT34" s="78">
        <f t="shared" si="45"/>
        <v>0</v>
      </c>
      <c r="BU34" s="78">
        <f t="shared" si="45"/>
        <v>0</v>
      </c>
      <c r="BV34" s="78">
        <f t="shared" si="45"/>
        <v>0</v>
      </c>
      <c r="BW34" s="78">
        <f t="shared" si="45"/>
        <v>0</v>
      </c>
      <c r="BX34" s="78">
        <f t="shared" si="45"/>
        <v>0</v>
      </c>
      <c r="BY34" s="78">
        <f t="shared" si="45"/>
        <v>0</v>
      </c>
      <c r="BZ34" s="78">
        <f t="shared" si="45"/>
        <v>0</v>
      </c>
      <c r="CA34" s="78">
        <f t="shared" si="45"/>
        <v>0</v>
      </c>
      <c r="CB34" s="78">
        <f t="shared" si="45"/>
        <v>0</v>
      </c>
      <c r="CC34" s="78">
        <f t="shared" si="45"/>
        <v>0</v>
      </c>
      <c r="CD34" s="78">
        <f t="shared" si="45"/>
        <v>0</v>
      </c>
      <c r="CE34" s="78">
        <f t="shared" si="45"/>
        <v>0</v>
      </c>
      <c r="CF34" s="78">
        <f t="shared" si="45"/>
        <v>0</v>
      </c>
      <c r="CG34" s="78">
        <f t="shared" si="45"/>
        <v>0</v>
      </c>
      <c r="CH34" s="78">
        <f t="shared" si="45"/>
        <v>0</v>
      </c>
      <c r="CI34" s="78">
        <f t="shared" si="45"/>
        <v>0</v>
      </c>
      <c r="CJ34" s="78">
        <f t="shared" si="45"/>
        <v>0</v>
      </c>
      <c r="CK34" s="78">
        <f t="shared" si="45"/>
        <v>0</v>
      </c>
      <c r="CL34" s="78">
        <f t="shared" si="45"/>
        <v>0</v>
      </c>
      <c r="CM34" s="78">
        <f t="shared" si="45"/>
        <v>0</v>
      </c>
      <c r="CN34" s="78">
        <f t="shared" si="45"/>
        <v>0</v>
      </c>
      <c r="CO34" s="78">
        <f t="shared" si="45"/>
        <v>0</v>
      </c>
      <c r="CP34" s="78">
        <f t="shared" si="45"/>
        <v>0</v>
      </c>
      <c r="CU34" s="56">
        <v>33</v>
      </c>
      <c r="CV34" s="57">
        <f t="shared" si="7"/>
        <v>0</v>
      </c>
      <c r="CW34" s="57">
        <f t="shared" si="8"/>
        <v>0</v>
      </c>
      <c r="CX34" s="57">
        <f t="shared" si="9"/>
        <v>0</v>
      </c>
      <c r="CY34" s="57">
        <f t="shared" si="10"/>
        <v>0</v>
      </c>
      <c r="CZ34" s="57">
        <f t="shared" si="11"/>
        <v>0</v>
      </c>
      <c r="DA34" s="57">
        <f t="shared" si="12"/>
        <v>0</v>
      </c>
      <c r="DB34" s="57">
        <f t="shared" si="13"/>
        <v>0</v>
      </c>
      <c r="DC34" s="57">
        <f t="shared" si="14"/>
        <v>0</v>
      </c>
      <c r="DF34" s="53">
        <v>33</v>
      </c>
      <c r="DG34" s="52">
        <f t="shared" si="36"/>
        <v>0</v>
      </c>
      <c r="DH34" s="52">
        <f t="shared" si="15"/>
        <v>0</v>
      </c>
      <c r="DI34" s="52">
        <f t="shared" si="16"/>
        <v>0</v>
      </c>
      <c r="DJ34" s="52">
        <f t="shared" si="17"/>
        <v>0</v>
      </c>
      <c r="DK34" s="52">
        <f t="shared" si="18"/>
        <v>0</v>
      </c>
      <c r="DL34" s="52">
        <f t="shared" si="19"/>
        <v>0</v>
      </c>
      <c r="DM34" s="52">
        <f t="shared" si="20"/>
        <v>0</v>
      </c>
      <c r="DN34" s="52">
        <f t="shared" si="21"/>
        <v>0</v>
      </c>
      <c r="DO34" s="52">
        <f t="shared" si="22"/>
        <v>0</v>
      </c>
      <c r="DP34" s="52">
        <f t="shared" si="23"/>
        <v>0</v>
      </c>
      <c r="DQ34" s="52">
        <f t="shared" si="24"/>
        <v>0</v>
      </c>
      <c r="DR34" s="52">
        <f t="shared" si="25"/>
        <v>0</v>
      </c>
      <c r="DS34" s="52">
        <f t="shared" si="26"/>
        <v>0</v>
      </c>
      <c r="DT34" s="52">
        <f t="shared" si="27"/>
        <v>0</v>
      </c>
      <c r="DX34">
        <v>33</v>
      </c>
      <c r="DY34" s="19">
        <f t="shared" si="4"/>
        <v>0</v>
      </c>
      <c r="EM34" s="21">
        <v>33</v>
      </c>
      <c r="EN34" s="16">
        <f t="shared" si="28"/>
        <v>0</v>
      </c>
      <c r="EO34" s="16">
        <f t="shared" si="5"/>
        <v>0</v>
      </c>
      <c r="EP34" s="16">
        <f t="shared" si="29"/>
        <v>0</v>
      </c>
      <c r="EQ34" s="16">
        <f t="shared" si="30"/>
        <v>0</v>
      </c>
      <c r="ER34" s="16">
        <f t="shared" si="31"/>
        <v>0</v>
      </c>
      <c r="ES34" s="16">
        <f t="shared" si="32"/>
        <v>0</v>
      </c>
      <c r="ET34" s="16">
        <f t="shared" si="33"/>
        <v>0</v>
      </c>
      <c r="EU34" s="16">
        <f t="shared" si="34"/>
        <v>0</v>
      </c>
      <c r="FK34" s="20"/>
      <c r="FL34" s="20"/>
    </row>
    <row r="35" spans="2:168" ht="14.4" thickBot="1" x14ac:dyDescent="0.35">
      <c r="B35" s="38"/>
      <c r="C35" s="67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9">
        <v>0</v>
      </c>
      <c r="AH35" s="56">
        <v>34</v>
      </c>
      <c r="AI35" s="75">
        <f t="shared" si="46"/>
        <v>0</v>
      </c>
      <c r="AJ35" s="75">
        <f t="shared" si="46"/>
        <v>0</v>
      </c>
      <c r="AK35" s="75">
        <f t="shared" si="46"/>
        <v>0</v>
      </c>
      <c r="AL35" s="75">
        <f t="shared" si="46"/>
        <v>0</v>
      </c>
      <c r="AM35" s="75">
        <f t="shared" si="46"/>
        <v>0</v>
      </c>
      <c r="AN35" s="75">
        <f t="shared" si="46"/>
        <v>0</v>
      </c>
      <c r="AO35" s="75">
        <f t="shared" si="46"/>
        <v>0</v>
      </c>
      <c r="AP35" s="75">
        <f t="shared" si="46"/>
        <v>0</v>
      </c>
      <c r="AQ35" s="75">
        <f t="shared" si="46"/>
        <v>0</v>
      </c>
      <c r="AR35" s="75">
        <f t="shared" si="46"/>
        <v>0</v>
      </c>
      <c r="AS35" s="75">
        <f t="shared" si="46"/>
        <v>0</v>
      </c>
      <c r="AT35" s="75">
        <f t="shared" si="46"/>
        <v>0</v>
      </c>
      <c r="AU35" s="75">
        <f t="shared" si="46"/>
        <v>0</v>
      </c>
      <c r="AV35" s="75">
        <f t="shared" si="46"/>
        <v>0</v>
      </c>
      <c r="AW35" s="75">
        <f t="shared" si="46"/>
        <v>0</v>
      </c>
      <c r="AX35" s="75">
        <f t="shared" si="46"/>
        <v>0</v>
      </c>
      <c r="AY35" s="75">
        <f t="shared" si="47"/>
        <v>0</v>
      </c>
      <c r="AZ35" s="75">
        <f t="shared" si="47"/>
        <v>0</v>
      </c>
      <c r="BA35" s="75">
        <f t="shared" si="47"/>
        <v>0</v>
      </c>
      <c r="BB35" s="75">
        <f t="shared" si="47"/>
        <v>0</v>
      </c>
      <c r="BC35" s="75">
        <f t="shared" si="47"/>
        <v>0</v>
      </c>
      <c r="BD35" s="75">
        <f t="shared" si="47"/>
        <v>0</v>
      </c>
      <c r="BE35" s="75">
        <f t="shared" si="47"/>
        <v>0</v>
      </c>
      <c r="BF35" s="75">
        <f t="shared" si="47"/>
        <v>0</v>
      </c>
      <c r="BG35" s="75">
        <f t="shared" si="47"/>
        <v>0</v>
      </c>
      <c r="BH35" s="75">
        <f t="shared" si="47"/>
        <v>0</v>
      </c>
      <c r="BI35" s="75">
        <f t="shared" si="47"/>
        <v>0</v>
      </c>
      <c r="BJ35" s="75">
        <f t="shared" si="47"/>
        <v>0</v>
      </c>
      <c r="BN35" s="59">
        <v>34</v>
      </c>
      <c r="BO35" s="79">
        <f t="shared" si="43"/>
        <v>0</v>
      </c>
      <c r="BP35" s="79">
        <f t="shared" si="44"/>
        <v>0</v>
      </c>
      <c r="BQ35" s="79">
        <f t="shared" si="45"/>
        <v>0</v>
      </c>
      <c r="BR35" s="79">
        <f t="shared" si="45"/>
        <v>0</v>
      </c>
      <c r="BS35" s="79">
        <f t="shared" si="45"/>
        <v>0</v>
      </c>
      <c r="BT35" s="79">
        <f t="shared" si="45"/>
        <v>0</v>
      </c>
      <c r="BU35" s="79">
        <f t="shared" si="45"/>
        <v>0</v>
      </c>
      <c r="BV35" s="79">
        <f t="shared" si="45"/>
        <v>0</v>
      </c>
      <c r="BW35" s="79">
        <f t="shared" si="45"/>
        <v>0</v>
      </c>
      <c r="BX35" s="79">
        <f t="shared" si="45"/>
        <v>0</v>
      </c>
      <c r="BY35" s="79">
        <f t="shared" si="45"/>
        <v>0</v>
      </c>
      <c r="BZ35" s="79">
        <f t="shared" si="45"/>
        <v>0</v>
      </c>
      <c r="CA35" s="79">
        <f t="shared" si="45"/>
        <v>0</v>
      </c>
      <c r="CB35" s="79">
        <f t="shared" si="45"/>
        <v>0</v>
      </c>
      <c r="CC35" s="79">
        <f t="shared" si="45"/>
        <v>0</v>
      </c>
      <c r="CD35" s="79">
        <f t="shared" si="45"/>
        <v>0</v>
      </c>
      <c r="CE35" s="79">
        <f t="shared" si="45"/>
        <v>0</v>
      </c>
      <c r="CF35" s="79">
        <f t="shared" si="45"/>
        <v>0</v>
      </c>
      <c r="CG35" s="79">
        <f t="shared" si="45"/>
        <v>0</v>
      </c>
      <c r="CH35" s="79">
        <f t="shared" si="45"/>
        <v>0</v>
      </c>
      <c r="CI35" s="79">
        <f t="shared" si="45"/>
        <v>0</v>
      </c>
      <c r="CJ35" s="79">
        <f t="shared" si="45"/>
        <v>0</v>
      </c>
      <c r="CK35" s="79">
        <f t="shared" si="45"/>
        <v>0</v>
      </c>
      <c r="CL35" s="79">
        <f t="shared" si="45"/>
        <v>0</v>
      </c>
      <c r="CM35" s="79">
        <f t="shared" si="45"/>
        <v>0</v>
      </c>
      <c r="CN35" s="79">
        <f t="shared" si="45"/>
        <v>0</v>
      </c>
      <c r="CO35" s="79">
        <f t="shared" si="45"/>
        <v>0</v>
      </c>
      <c r="CP35" s="79">
        <f t="shared" si="45"/>
        <v>0</v>
      </c>
      <c r="CU35" s="56">
        <v>34</v>
      </c>
      <c r="CV35" s="58">
        <f t="shared" si="7"/>
        <v>0</v>
      </c>
      <c r="CW35" s="58">
        <f t="shared" si="8"/>
        <v>0</v>
      </c>
      <c r="CX35" s="58">
        <f t="shared" si="9"/>
        <v>0</v>
      </c>
      <c r="CY35" s="58">
        <f t="shared" si="10"/>
        <v>0</v>
      </c>
      <c r="CZ35" s="58">
        <f t="shared" si="11"/>
        <v>0</v>
      </c>
      <c r="DA35" s="58">
        <f t="shared" si="12"/>
        <v>0</v>
      </c>
      <c r="DB35" s="58">
        <f t="shared" si="13"/>
        <v>0</v>
      </c>
      <c r="DC35" s="58">
        <f t="shared" si="14"/>
        <v>0</v>
      </c>
      <c r="DF35" s="51">
        <v>34</v>
      </c>
      <c r="DG35" s="54">
        <f t="shared" si="36"/>
        <v>0</v>
      </c>
      <c r="DH35" s="54">
        <f t="shared" si="15"/>
        <v>0</v>
      </c>
      <c r="DI35" s="54">
        <f t="shared" si="16"/>
        <v>0</v>
      </c>
      <c r="DJ35" s="54">
        <f t="shared" si="17"/>
        <v>0</v>
      </c>
      <c r="DK35" s="54">
        <f t="shared" si="18"/>
        <v>0</v>
      </c>
      <c r="DL35" s="54">
        <f t="shared" si="19"/>
        <v>0</v>
      </c>
      <c r="DM35" s="54">
        <f t="shared" si="20"/>
        <v>0</v>
      </c>
      <c r="DN35" s="54">
        <f t="shared" si="21"/>
        <v>0</v>
      </c>
      <c r="DO35" s="54">
        <f t="shared" si="22"/>
        <v>0</v>
      </c>
      <c r="DP35" s="54">
        <f t="shared" si="23"/>
        <v>0</v>
      </c>
      <c r="DQ35" s="54">
        <f t="shared" si="24"/>
        <v>0</v>
      </c>
      <c r="DR35" s="54">
        <f t="shared" si="25"/>
        <v>0</v>
      </c>
      <c r="DS35" s="54">
        <f t="shared" si="26"/>
        <v>0</v>
      </c>
      <c r="DT35" s="54">
        <f t="shared" si="27"/>
        <v>0</v>
      </c>
      <c r="DX35">
        <v>34</v>
      </c>
      <c r="DY35" s="19">
        <f t="shared" si="4"/>
        <v>0</v>
      </c>
      <c r="EM35" s="21">
        <v>34</v>
      </c>
      <c r="EN35" s="16">
        <f t="shared" si="28"/>
        <v>0</v>
      </c>
      <c r="EO35" s="16">
        <f t="shared" si="5"/>
        <v>0</v>
      </c>
      <c r="EP35" s="16">
        <f t="shared" si="29"/>
        <v>0</v>
      </c>
      <c r="EQ35" s="16">
        <f t="shared" si="30"/>
        <v>0</v>
      </c>
      <c r="ER35" s="16">
        <f t="shared" si="31"/>
        <v>0</v>
      </c>
      <c r="ES35" s="16">
        <f t="shared" si="32"/>
        <v>0</v>
      </c>
      <c r="ET35" s="16">
        <f t="shared" si="33"/>
        <v>0</v>
      </c>
      <c r="EU35" s="16">
        <f t="shared" si="34"/>
        <v>0</v>
      </c>
      <c r="FK35" s="20"/>
      <c r="FL35" s="20"/>
    </row>
    <row r="36" spans="2:168" ht="14.4" thickBot="1" x14ac:dyDescent="0.35">
      <c r="B36" s="38"/>
      <c r="C36" s="67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9">
        <v>0</v>
      </c>
      <c r="AH36" s="56">
        <v>35</v>
      </c>
      <c r="AI36" s="74">
        <f t="shared" si="46"/>
        <v>0</v>
      </c>
      <c r="AJ36" s="74">
        <f t="shared" si="46"/>
        <v>0</v>
      </c>
      <c r="AK36" s="74">
        <f t="shared" si="46"/>
        <v>0</v>
      </c>
      <c r="AL36" s="74">
        <f t="shared" si="46"/>
        <v>0</v>
      </c>
      <c r="AM36" s="74">
        <f t="shared" si="46"/>
        <v>0</v>
      </c>
      <c r="AN36" s="74">
        <f t="shared" si="46"/>
        <v>0</v>
      </c>
      <c r="AO36" s="74">
        <f t="shared" si="46"/>
        <v>0</v>
      </c>
      <c r="AP36" s="74">
        <f t="shared" si="46"/>
        <v>0</v>
      </c>
      <c r="AQ36" s="74">
        <f t="shared" si="46"/>
        <v>0</v>
      </c>
      <c r="AR36" s="74">
        <f t="shared" si="46"/>
        <v>0</v>
      </c>
      <c r="AS36" s="74">
        <f t="shared" si="46"/>
        <v>0</v>
      </c>
      <c r="AT36" s="74">
        <f t="shared" si="46"/>
        <v>0</v>
      </c>
      <c r="AU36" s="74">
        <f t="shared" si="46"/>
        <v>0</v>
      </c>
      <c r="AV36" s="74">
        <f t="shared" si="46"/>
        <v>0</v>
      </c>
      <c r="AW36" s="74">
        <f t="shared" si="46"/>
        <v>0</v>
      </c>
      <c r="AX36" s="74">
        <f t="shared" si="46"/>
        <v>0</v>
      </c>
      <c r="AY36" s="74">
        <f t="shared" si="47"/>
        <v>0</v>
      </c>
      <c r="AZ36" s="74">
        <f t="shared" si="47"/>
        <v>0</v>
      </c>
      <c r="BA36" s="74">
        <f t="shared" si="47"/>
        <v>0</v>
      </c>
      <c r="BB36" s="74">
        <f t="shared" si="47"/>
        <v>0</v>
      </c>
      <c r="BC36" s="74">
        <f t="shared" si="47"/>
        <v>0</v>
      </c>
      <c r="BD36" s="74">
        <f t="shared" si="47"/>
        <v>0</v>
      </c>
      <c r="BE36" s="74">
        <f t="shared" si="47"/>
        <v>0</v>
      </c>
      <c r="BF36" s="74">
        <f t="shared" si="47"/>
        <v>0</v>
      </c>
      <c r="BG36" s="74">
        <f t="shared" si="47"/>
        <v>0</v>
      </c>
      <c r="BH36" s="74">
        <f t="shared" si="47"/>
        <v>0</v>
      </c>
      <c r="BI36" s="74">
        <f t="shared" si="47"/>
        <v>0</v>
      </c>
      <c r="BJ36" s="74">
        <f t="shared" si="47"/>
        <v>0</v>
      </c>
      <c r="BN36" s="59">
        <v>35</v>
      </c>
      <c r="BO36" s="78">
        <f t="shared" si="43"/>
        <v>0</v>
      </c>
      <c r="BP36" s="78">
        <f t="shared" si="44"/>
        <v>0</v>
      </c>
      <c r="BQ36" s="78">
        <f t="shared" si="45"/>
        <v>0</v>
      </c>
      <c r="BR36" s="78">
        <f t="shared" si="45"/>
        <v>0</v>
      </c>
      <c r="BS36" s="78">
        <f t="shared" si="45"/>
        <v>0</v>
      </c>
      <c r="BT36" s="78">
        <f t="shared" si="45"/>
        <v>0</v>
      </c>
      <c r="BU36" s="78">
        <f t="shared" si="45"/>
        <v>0</v>
      </c>
      <c r="BV36" s="78">
        <f t="shared" si="45"/>
        <v>0</v>
      </c>
      <c r="BW36" s="78">
        <f t="shared" si="45"/>
        <v>0</v>
      </c>
      <c r="BX36" s="78">
        <f t="shared" si="45"/>
        <v>0</v>
      </c>
      <c r="BY36" s="78">
        <f t="shared" si="45"/>
        <v>0</v>
      </c>
      <c r="BZ36" s="78">
        <f t="shared" si="45"/>
        <v>0</v>
      </c>
      <c r="CA36" s="78">
        <f t="shared" si="45"/>
        <v>0</v>
      </c>
      <c r="CB36" s="78">
        <f t="shared" si="45"/>
        <v>0</v>
      </c>
      <c r="CC36" s="78">
        <f t="shared" si="45"/>
        <v>0</v>
      </c>
      <c r="CD36" s="78">
        <f t="shared" si="45"/>
        <v>0</v>
      </c>
      <c r="CE36" s="78">
        <f t="shared" si="45"/>
        <v>0</v>
      </c>
      <c r="CF36" s="78">
        <f t="shared" si="45"/>
        <v>0</v>
      </c>
      <c r="CG36" s="78">
        <f t="shared" si="45"/>
        <v>0</v>
      </c>
      <c r="CH36" s="78">
        <f t="shared" si="45"/>
        <v>0</v>
      </c>
      <c r="CI36" s="78">
        <f t="shared" si="45"/>
        <v>0</v>
      </c>
      <c r="CJ36" s="78">
        <f t="shared" si="45"/>
        <v>0</v>
      </c>
      <c r="CK36" s="78">
        <f t="shared" si="45"/>
        <v>0</v>
      </c>
      <c r="CL36" s="78">
        <f t="shared" si="45"/>
        <v>0</v>
      </c>
      <c r="CM36" s="78">
        <f t="shared" si="45"/>
        <v>0</v>
      </c>
      <c r="CN36" s="78">
        <f t="shared" si="45"/>
        <v>0</v>
      </c>
      <c r="CO36" s="78">
        <f t="shared" si="45"/>
        <v>0</v>
      </c>
      <c r="CP36" s="78">
        <f t="shared" si="45"/>
        <v>0</v>
      </c>
      <c r="CU36" s="56">
        <v>35</v>
      </c>
      <c r="CV36" s="57">
        <f t="shared" si="7"/>
        <v>0</v>
      </c>
      <c r="CW36" s="57">
        <f t="shared" si="8"/>
        <v>0</v>
      </c>
      <c r="CX36" s="57">
        <f t="shared" si="9"/>
        <v>0</v>
      </c>
      <c r="CY36" s="57">
        <f t="shared" si="10"/>
        <v>0</v>
      </c>
      <c r="CZ36" s="57">
        <f t="shared" si="11"/>
        <v>0</v>
      </c>
      <c r="DA36" s="57">
        <f t="shared" si="12"/>
        <v>0</v>
      </c>
      <c r="DB36" s="57">
        <f t="shared" si="13"/>
        <v>0</v>
      </c>
      <c r="DC36" s="57">
        <f t="shared" si="14"/>
        <v>0</v>
      </c>
      <c r="DF36" s="53">
        <v>35</v>
      </c>
      <c r="DG36" s="52">
        <f t="shared" si="36"/>
        <v>0</v>
      </c>
      <c r="DH36" s="52">
        <f t="shared" si="15"/>
        <v>0</v>
      </c>
      <c r="DI36" s="52">
        <f t="shared" si="16"/>
        <v>0</v>
      </c>
      <c r="DJ36" s="52">
        <f t="shared" si="17"/>
        <v>0</v>
      </c>
      <c r="DK36" s="52">
        <f t="shared" si="18"/>
        <v>0</v>
      </c>
      <c r="DL36" s="52">
        <f t="shared" si="19"/>
        <v>0</v>
      </c>
      <c r="DM36" s="52">
        <f t="shared" si="20"/>
        <v>0</v>
      </c>
      <c r="DN36" s="52">
        <f t="shared" si="21"/>
        <v>0</v>
      </c>
      <c r="DO36" s="52">
        <f t="shared" si="22"/>
        <v>0</v>
      </c>
      <c r="DP36" s="52">
        <f t="shared" si="23"/>
        <v>0</v>
      </c>
      <c r="DQ36" s="52">
        <f t="shared" si="24"/>
        <v>0</v>
      </c>
      <c r="DR36" s="52">
        <f t="shared" si="25"/>
        <v>0</v>
      </c>
      <c r="DS36" s="52">
        <f t="shared" si="26"/>
        <v>0</v>
      </c>
      <c r="DT36" s="52">
        <f t="shared" si="27"/>
        <v>0</v>
      </c>
      <c r="DX36">
        <v>35</v>
      </c>
      <c r="DY36" s="19">
        <f t="shared" si="4"/>
        <v>0</v>
      </c>
      <c r="EM36" s="21">
        <v>35</v>
      </c>
      <c r="EN36" s="16">
        <f t="shared" si="28"/>
        <v>0</v>
      </c>
      <c r="EO36" s="16">
        <f t="shared" si="5"/>
        <v>0</v>
      </c>
      <c r="EP36" s="16">
        <f t="shared" si="29"/>
        <v>0</v>
      </c>
      <c r="EQ36" s="16">
        <f t="shared" si="30"/>
        <v>0</v>
      </c>
      <c r="ER36" s="16">
        <f t="shared" si="31"/>
        <v>0</v>
      </c>
      <c r="ES36" s="16">
        <f t="shared" si="32"/>
        <v>0</v>
      </c>
      <c r="ET36" s="16">
        <f t="shared" si="33"/>
        <v>0</v>
      </c>
      <c r="EU36" s="16">
        <f t="shared" si="34"/>
        <v>0</v>
      </c>
      <c r="FK36" s="20"/>
      <c r="FL36" s="20"/>
    </row>
    <row r="37" spans="2:168" x14ac:dyDescent="0.3">
      <c r="B37" s="38"/>
      <c r="C37" s="70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2">
        <v>0</v>
      </c>
      <c r="AH37" s="56">
        <v>36</v>
      </c>
      <c r="AI37" s="75">
        <f>IF(C37=0,0,(C37-#REF!)*100/#REF!)</f>
        <v>0</v>
      </c>
      <c r="AJ37" s="75">
        <f>IF(D37=0,0,(D37-#REF!)*100/#REF!)</f>
        <v>0</v>
      </c>
      <c r="AK37" s="75">
        <f>IF(E37=0,0,(E37-#REF!)*100/#REF!)</f>
        <v>0</v>
      </c>
      <c r="AL37" s="75">
        <f>IF(F37=0,0,(F37-#REF!)*100/#REF!)</f>
        <v>0</v>
      </c>
      <c r="AM37" s="75">
        <f>IF(G37=0,0,(G37-#REF!)*100/#REF!)</f>
        <v>0</v>
      </c>
      <c r="AN37" s="75">
        <f>IF(H37=0,0,(H37-#REF!)*100/#REF!)</f>
        <v>0</v>
      </c>
      <c r="AO37" s="75">
        <f>IF(I37=0,0,(I37-#REF!)*100/#REF!)</f>
        <v>0</v>
      </c>
      <c r="AP37" s="75">
        <f>IF(J37=0,0,(J37-#REF!)*100/#REF!)</f>
        <v>0</v>
      </c>
      <c r="AQ37" s="75">
        <f>IF(K37=0,0,(K37-#REF!)*100/#REF!)</f>
        <v>0</v>
      </c>
      <c r="AR37" s="75">
        <f>IF(L37=0,0,(L37-#REF!)*100/#REF!)</f>
        <v>0</v>
      </c>
      <c r="AS37" s="75">
        <f>IF(M37=0,0,(M37-#REF!)*100/#REF!)</f>
        <v>0</v>
      </c>
      <c r="AT37" s="75">
        <f>IF(N37=0,0,(N37-#REF!)*100/#REF!)</f>
        <v>0</v>
      </c>
      <c r="AU37" s="75">
        <f>IF(O37=0,0,(O37-#REF!)*100/#REF!)</f>
        <v>0</v>
      </c>
      <c r="AV37" s="75">
        <f>IF(P37=0,0,(P37-#REF!)*100/#REF!)</f>
        <v>0</v>
      </c>
      <c r="AW37" s="75">
        <f>IF(Q37=0,0,(Q37-#REF!)*100/#REF!)</f>
        <v>0</v>
      </c>
      <c r="AX37" s="75">
        <f>IF(R37=0,0,(R37-#REF!)*100/#REF!)</f>
        <v>0</v>
      </c>
      <c r="AY37" s="75">
        <f>IF(S37=0,0,(S37-#REF!)*100/#REF!)</f>
        <v>0</v>
      </c>
      <c r="AZ37" s="75">
        <f>IF(T37=0,0,(T37-#REF!)*100/#REF!)</f>
        <v>0</v>
      </c>
      <c r="BA37" s="75">
        <f>IF(U37=0,0,(U37-#REF!)*100/#REF!)</f>
        <v>0</v>
      </c>
      <c r="BB37" s="75">
        <f>IF(V37=0,0,(V37-#REF!)*100/#REF!)</f>
        <v>0</v>
      </c>
      <c r="BC37" s="75">
        <f>IF(W37=0,0,(W37-#REF!)*100/#REF!)</f>
        <v>0</v>
      </c>
      <c r="BD37" s="75">
        <f>IF(X37=0,0,(X37-#REF!)*100/#REF!)</f>
        <v>0</v>
      </c>
      <c r="BE37" s="75">
        <f>IF(Y37=0,0,(Y37-#REF!)*100/#REF!)</f>
        <v>0</v>
      </c>
      <c r="BF37" s="75">
        <f>IF(Z37=0,0,(Z37-#REF!)*100/#REF!)</f>
        <v>0</v>
      </c>
      <c r="BG37" s="75">
        <f>IF(AA37=0,0,(AA37-#REF!)*100/#REF!)</f>
        <v>0</v>
      </c>
      <c r="BH37" s="75">
        <f>IF(AB37=0,0,(AB37-#REF!)*100/#REF!)</f>
        <v>0</v>
      </c>
      <c r="BI37" s="75">
        <f>IF(AC37=0,0,(AC37-#REF!)*100/#REF!)</f>
        <v>0</v>
      </c>
      <c r="BJ37" s="75">
        <f>IF(AD37=0,0,(AD37-#REF!)*100/#REF!)</f>
        <v>0</v>
      </c>
      <c r="BN37" s="59">
        <v>36</v>
      </c>
      <c r="BO37" s="79">
        <f t="shared" si="43"/>
        <v>0</v>
      </c>
      <c r="BP37" s="79">
        <f t="shared" si="44"/>
        <v>0</v>
      </c>
      <c r="BQ37" s="79">
        <f t="shared" si="45"/>
        <v>0</v>
      </c>
      <c r="BR37" s="79">
        <f t="shared" si="45"/>
        <v>0</v>
      </c>
      <c r="BS37" s="79">
        <f t="shared" si="45"/>
        <v>0</v>
      </c>
      <c r="BT37" s="79">
        <f t="shared" si="45"/>
        <v>0</v>
      </c>
      <c r="BU37" s="79">
        <f t="shared" si="45"/>
        <v>0</v>
      </c>
      <c r="BV37" s="79">
        <f t="shared" si="45"/>
        <v>0</v>
      </c>
      <c r="BW37" s="79">
        <f t="shared" si="45"/>
        <v>0</v>
      </c>
      <c r="BX37" s="79">
        <f t="shared" si="45"/>
        <v>0</v>
      </c>
      <c r="BY37" s="79">
        <f t="shared" si="45"/>
        <v>0</v>
      </c>
      <c r="BZ37" s="79">
        <f t="shared" si="45"/>
        <v>0</v>
      </c>
      <c r="CA37" s="79">
        <f t="shared" si="45"/>
        <v>0</v>
      </c>
      <c r="CB37" s="79">
        <f t="shared" si="45"/>
        <v>0</v>
      </c>
      <c r="CC37" s="79">
        <f t="shared" si="45"/>
        <v>0</v>
      </c>
      <c r="CD37" s="79">
        <f t="shared" si="45"/>
        <v>0</v>
      </c>
      <c r="CE37" s="79">
        <f t="shared" si="45"/>
        <v>0</v>
      </c>
      <c r="CF37" s="79">
        <f t="shared" si="45"/>
        <v>0</v>
      </c>
      <c r="CG37" s="79">
        <f t="shared" si="45"/>
        <v>0</v>
      </c>
      <c r="CH37" s="79">
        <f t="shared" si="45"/>
        <v>0</v>
      </c>
      <c r="CI37" s="79">
        <f t="shared" si="45"/>
        <v>0</v>
      </c>
      <c r="CJ37" s="79">
        <f t="shared" si="45"/>
        <v>0</v>
      </c>
      <c r="CK37" s="79">
        <f t="shared" si="45"/>
        <v>0</v>
      </c>
      <c r="CL37" s="79">
        <f t="shared" si="45"/>
        <v>0</v>
      </c>
      <c r="CM37" s="79">
        <f t="shared" si="45"/>
        <v>0</v>
      </c>
      <c r="CN37" s="79">
        <f t="shared" si="45"/>
        <v>0</v>
      </c>
      <c r="CO37" s="79">
        <f t="shared" si="45"/>
        <v>0</v>
      </c>
      <c r="CP37" s="79">
        <f t="shared" si="45"/>
        <v>0</v>
      </c>
      <c r="CU37" s="56">
        <v>36</v>
      </c>
      <c r="CV37" s="58">
        <f t="shared" si="7"/>
        <v>0</v>
      </c>
      <c r="CW37" s="58">
        <f t="shared" si="8"/>
        <v>0</v>
      </c>
      <c r="CX37" s="58">
        <f t="shared" si="9"/>
        <v>0</v>
      </c>
      <c r="CY37" s="58">
        <f t="shared" si="10"/>
        <v>0</v>
      </c>
      <c r="CZ37" s="58">
        <f t="shared" si="11"/>
        <v>0</v>
      </c>
      <c r="DA37" s="58">
        <f t="shared" si="12"/>
        <v>0</v>
      </c>
      <c r="DB37" s="58">
        <f t="shared" si="13"/>
        <v>0</v>
      </c>
      <c r="DC37" s="58">
        <f t="shared" si="14"/>
        <v>0</v>
      </c>
      <c r="DF37" s="51">
        <v>36</v>
      </c>
      <c r="DG37" s="54">
        <f t="shared" si="36"/>
        <v>0</v>
      </c>
      <c r="DH37" s="54">
        <f t="shared" si="15"/>
        <v>0</v>
      </c>
      <c r="DI37" s="54">
        <f t="shared" si="16"/>
        <v>0</v>
      </c>
      <c r="DJ37" s="54">
        <f t="shared" si="17"/>
        <v>0</v>
      </c>
      <c r="DK37" s="54">
        <f t="shared" si="18"/>
        <v>0</v>
      </c>
      <c r="DL37" s="54">
        <f t="shared" si="19"/>
        <v>0</v>
      </c>
      <c r="DM37" s="54">
        <f t="shared" si="20"/>
        <v>0</v>
      </c>
      <c r="DN37" s="54">
        <f t="shared" si="21"/>
        <v>0</v>
      </c>
      <c r="DO37" s="54">
        <f t="shared" si="22"/>
        <v>0</v>
      </c>
      <c r="DP37" s="54">
        <f t="shared" si="23"/>
        <v>0</v>
      </c>
      <c r="DQ37" s="54">
        <f t="shared" si="24"/>
        <v>0</v>
      </c>
      <c r="DR37" s="54">
        <f t="shared" si="25"/>
        <v>0</v>
      </c>
      <c r="DS37" s="54">
        <f t="shared" si="26"/>
        <v>0</v>
      </c>
      <c r="DT37" s="54">
        <f t="shared" si="27"/>
        <v>0</v>
      </c>
      <c r="DX37">
        <v>36</v>
      </c>
      <c r="DY37" s="19">
        <f t="shared" si="4"/>
        <v>0</v>
      </c>
      <c r="EM37" s="13">
        <v>36</v>
      </c>
      <c r="EN37" s="16">
        <f t="shared" si="28"/>
        <v>0</v>
      </c>
      <c r="EO37" s="16">
        <f t="shared" si="5"/>
        <v>0</v>
      </c>
      <c r="EP37" s="16">
        <f t="shared" si="29"/>
        <v>0</v>
      </c>
      <c r="EQ37" s="16">
        <f t="shared" si="30"/>
        <v>0</v>
      </c>
      <c r="ER37" s="16">
        <f t="shared" si="31"/>
        <v>0</v>
      </c>
      <c r="ES37" s="16">
        <f t="shared" si="32"/>
        <v>0</v>
      </c>
      <c r="ET37" s="16">
        <f t="shared" si="33"/>
        <v>0</v>
      </c>
      <c r="EU37" s="16">
        <f t="shared" si="34"/>
        <v>0</v>
      </c>
      <c r="FK37" s="20"/>
      <c r="FL37" s="20"/>
    </row>
    <row r="38" spans="2:168" x14ac:dyDescent="0.3">
      <c r="CU38" s="59"/>
      <c r="CV38" s="59"/>
      <c r="CW38" s="59"/>
      <c r="CX38" s="59"/>
      <c r="CY38" s="59"/>
      <c r="CZ38" s="59"/>
      <c r="DA38" s="59"/>
      <c r="DB38" s="59"/>
      <c r="DC38" s="59"/>
      <c r="FK38" s="20"/>
      <c r="FL38" s="20"/>
    </row>
    <row r="39" spans="2:168" x14ac:dyDescent="0.3">
      <c r="FK39" s="20"/>
      <c r="FL39" s="20"/>
    </row>
    <row r="40" spans="2:168" x14ac:dyDescent="0.3">
      <c r="FK40" s="20"/>
      <c r="FL40" s="20"/>
    </row>
    <row r="41" spans="2:168" x14ac:dyDescent="0.3">
      <c r="FK41" s="20"/>
      <c r="FL41" s="20"/>
    </row>
    <row r="42" spans="2:168" x14ac:dyDescent="0.3">
      <c r="FK42" s="20"/>
      <c r="FL42" s="20"/>
    </row>
    <row r="43" spans="2:168" x14ac:dyDescent="0.3">
      <c r="FK43" s="20"/>
      <c r="FL43" s="20"/>
    </row>
    <row r="44" spans="2:168" x14ac:dyDescent="0.3">
      <c r="FK44" s="20"/>
      <c r="FL44" s="20"/>
    </row>
    <row r="45" spans="2:168" x14ac:dyDescent="0.3">
      <c r="FK45" s="20"/>
      <c r="FL45" s="20"/>
    </row>
    <row r="46" spans="2:168" x14ac:dyDescent="0.3">
      <c r="FK46" s="20"/>
      <c r="FL46" s="20"/>
    </row>
    <row r="47" spans="2:168" x14ac:dyDescent="0.3">
      <c r="FK47" s="20"/>
      <c r="FL47" s="20"/>
    </row>
    <row r="48" spans="2:168" x14ac:dyDescent="0.3">
      <c r="FK48" s="20"/>
      <c r="FL48" s="20"/>
    </row>
    <row r="49" spans="167:168" x14ac:dyDescent="0.3">
      <c r="FK49" s="20"/>
      <c r="FL49" s="20"/>
    </row>
    <row r="50" spans="167:168" x14ac:dyDescent="0.3">
      <c r="FK50" s="20"/>
      <c r="FL50" s="20"/>
    </row>
    <row r="51" spans="167:168" x14ac:dyDescent="0.3">
      <c r="FK51" s="20"/>
      <c r="FL51" s="20"/>
    </row>
    <row r="52" spans="167:168" x14ac:dyDescent="0.3">
      <c r="FK52" s="20"/>
      <c r="FL52" s="20"/>
    </row>
    <row r="53" spans="167:168" x14ac:dyDescent="0.3">
      <c r="FK53" s="20"/>
      <c r="FL53" s="20"/>
    </row>
    <row r="54" spans="167:168" x14ac:dyDescent="0.3">
      <c r="FK54" s="20"/>
      <c r="FL54" s="20"/>
    </row>
    <row r="55" spans="167:168" x14ac:dyDescent="0.3">
      <c r="FK55" s="20"/>
      <c r="FL55" s="20"/>
    </row>
    <row r="56" spans="167:168" x14ac:dyDescent="0.3">
      <c r="FK56" s="20"/>
      <c r="FL56" s="20"/>
    </row>
    <row r="57" spans="167:168" x14ac:dyDescent="0.3">
      <c r="FK57" s="20"/>
      <c r="FL57" s="20"/>
    </row>
    <row r="58" spans="167:168" x14ac:dyDescent="0.3">
      <c r="FK58" s="20"/>
      <c r="FL58" s="20"/>
    </row>
    <row r="59" spans="167:168" x14ac:dyDescent="0.3">
      <c r="FK59" s="20"/>
      <c r="FL59" s="20"/>
    </row>
    <row r="60" spans="167:168" x14ac:dyDescent="0.3">
      <c r="FK60" s="20"/>
      <c r="FL60" s="20"/>
    </row>
    <row r="61" spans="167:168" x14ac:dyDescent="0.3">
      <c r="FK61" s="20"/>
      <c r="FL61" s="20"/>
    </row>
    <row r="62" spans="167:168" x14ac:dyDescent="0.3">
      <c r="FK62" s="20"/>
      <c r="FL62" s="20"/>
    </row>
    <row r="63" spans="167:168" x14ac:dyDescent="0.3">
      <c r="FK63" s="20"/>
      <c r="FL63" s="20"/>
    </row>
    <row r="64" spans="167:168" x14ac:dyDescent="0.3">
      <c r="FK64" s="20"/>
      <c r="FL64" s="20"/>
    </row>
    <row r="65" spans="167:168" x14ac:dyDescent="0.3">
      <c r="FK65" s="20"/>
      <c r="FL65" s="20"/>
    </row>
    <row r="66" spans="167:168" x14ac:dyDescent="0.3">
      <c r="FK66" s="20"/>
      <c r="FL66" s="20"/>
    </row>
    <row r="67" spans="167:168" x14ac:dyDescent="0.3">
      <c r="FK67" s="20"/>
      <c r="FL67" s="20"/>
    </row>
    <row r="68" spans="167:168" x14ac:dyDescent="0.3">
      <c r="FK68" s="20"/>
      <c r="FL68" s="20"/>
    </row>
    <row r="69" spans="167:168" x14ac:dyDescent="0.3">
      <c r="FK69" s="20"/>
      <c r="FL69" s="20"/>
    </row>
    <row r="70" spans="167:168" x14ac:dyDescent="0.3">
      <c r="FK70" s="20"/>
      <c r="FL70" s="20"/>
    </row>
    <row r="71" spans="167:168" x14ac:dyDescent="0.3">
      <c r="FK71" s="20"/>
      <c r="FL71" s="20"/>
    </row>
    <row r="72" spans="167:168" x14ac:dyDescent="0.3">
      <c r="FK72" s="20"/>
      <c r="FL72" s="20"/>
    </row>
    <row r="73" spans="167:168" x14ac:dyDescent="0.3">
      <c r="FK73" s="20"/>
      <c r="FL73" s="20"/>
    </row>
    <row r="74" spans="167:168" x14ac:dyDescent="0.3">
      <c r="FK74" s="20"/>
      <c r="FL74" s="20"/>
    </row>
    <row r="75" spans="167:168" x14ac:dyDescent="0.3">
      <c r="FK75" s="20"/>
      <c r="FL75" s="20"/>
    </row>
    <row r="76" spans="167:168" x14ac:dyDescent="0.3">
      <c r="FK76" s="20"/>
      <c r="FL76" s="20"/>
    </row>
    <row r="77" spans="167:168" x14ac:dyDescent="0.3">
      <c r="FK77" s="20"/>
      <c r="FL77" s="20"/>
    </row>
    <row r="78" spans="167:168" x14ac:dyDescent="0.3">
      <c r="FK78" s="20"/>
      <c r="FL78" s="20"/>
    </row>
    <row r="79" spans="167:168" x14ac:dyDescent="0.3">
      <c r="FK79" s="20"/>
      <c r="FL79" s="20"/>
    </row>
    <row r="80" spans="167:168" x14ac:dyDescent="0.3">
      <c r="FK80" s="20"/>
      <c r="FL80" s="20"/>
    </row>
    <row r="81" spans="167:168" x14ac:dyDescent="0.3">
      <c r="FK81" s="20"/>
      <c r="FL81" s="20"/>
    </row>
    <row r="82" spans="167:168" x14ac:dyDescent="0.3">
      <c r="FK82" s="20"/>
      <c r="FL82" s="20"/>
    </row>
    <row r="83" spans="167:168" x14ac:dyDescent="0.3">
      <c r="FK83" s="20"/>
      <c r="FL83" s="20"/>
    </row>
    <row r="84" spans="167:168" x14ac:dyDescent="0.3">
      <c r="FK84" s="20"/>
      <c r="FL84" s="20"/>
    </row>
    <row r="85" spans="167:168" x14ac:dyDescent="0.3">
      <c r="FK85" s="20"/>
      <c r="FL85" s="20"/>
    </row>
    <row r="86" spans="167:168" x14ac:dyDescent="0.3">
      <c r="FK86" s="20"/>
      <c r="FL86" s="20"/>
    </row>
    <row r="87" spans="167:168" x14ac:dyDescent="0.3">
      <c r="FK87" s="20"/>
      <c r="FL87" s="20"/>
    </row>
    <row r="88" spans="167:168" x14ac:dyDescent="0.3">
      <c r="FK88" s="20"/>
      <c r="FL88" s="20"/>
    </row>
    <row r="89" spans="167:168" x14ac:dyDescent="0.3">
      <c r="FK89" s="20"/>
      <c r="FL89" s="20"/>
    </row>
    <row r="90" spans="167:168" x14ac:dyDescent="0.3">
      <c r="FK90" s="20"/>
      <c r="FL90" s="20"/>
    </row>
    <row r="91" spans="167:168" x14ac:dyDescent="0.3">
      <c r="FK91" s="20"/>
      <c r="FL91" s="20"/>
    </row>
    <row r="92" spans="167:168" x14ac:dyDescent="0.3">
      <c r="FK92" s="20"/>
      <c r="FL92" s="20"/>
    </row>
    <row r="93" spans="167:168" x14ac:dyDescent="0.3">
      <c r="FK93" s="20"/>
      <c r="FL93" s="20"/>
    </row>
    <row r="94" spans="167:168" x14ac:dyDescent="0.3">
      <c r="FK94" s="20"/>
      <c r="FL94" s="20"/>
    </row>
    <row r="95" spans="167:168" x14ac:dyDescent="0.3">
      <c r="FK95" s="20"/>
      <c r="FL95" s="20"/>
    </row>
    <row r="96" spans="167:168" x14ac:dyDescent="0.3">
      <c r="FK96" s="20"/>
      <c r="FL96" s="20"/>
    </row>
    <row r="97" spans="167:168" x14ac:dyDescent="0.3">
      <c r="FK97" s="20"/>
      <c r="FL97" s="20"/>
    </row>
    <row r="98" spans="167:168" x14ac:dyDescent="0.3">
      <c r="FK98" s="20"/>
      <c r="FL98" s="20"/>
    </row>
    <row r="99" spans="167:168" x14ac:dyDescent="0.3">
      <c r="FK99" s="20"/>
      <c r="FL99" s="20"/>
    </row>
    <row r="100" spans="167:168" x14ac:dyDescent="0.3">
      <c r="FK100" s="20"/>
      <c r="FL100" s="20"/>
    </row>
    <row r="101" spans="167:168" x14ac:dyDescent="0.3">
      <c r="FK101" s="20"/>
      <c r="FL101" s="20"/>
    </row>
    <row r="102" spans="167:168" x14ac:dyDescent="0.3">
      <c r="FK102" s="20"/>
      <c r="FL102" s="20"/>
    </row>
    <row r="103" spans="167:168" x14ac:dyDescent="0.3">
      <c r="FK103" s="20"/>
      <c r="FL103" s="20"/>
    </row>
    <row r="104" spans="167:168" x14ac:dyDescent="0.3">
      <c r="FK104" s="20"/>
      <c r="FL104" s="20"/>
    </row>
    <row r="105" spans="167:168" x14ac:dyDescent="0.3">
      <c r="FK105" s="20"/>
      <c r="FL105" s="20"/>
    </row>
    <row r="106" spans="167:168" x14ac:dyDescent="0.3">
      <c r="FK106" s="20"/>
      <c r="FL106" s="20"/>
    </row>
    <row r="107" spans="167:168" x14ac:dyDescent="0.3">
      <c r="FK107" s="20"/>
      <c r="FL107" s="20"/>
    </row>
    <row r="108" spans="167:168" x14ac:dyDescent="0.3">
      <c r="FK108" s="20"/>
      <c r="FL108" s="20"/>
    </row>
    <row r="109" spans="167:168" x14ac:dyDescent="0.3">
      <c r="FK109" s="20"/>
      <c r="FL109" s="20"/>
    </row>
    <row r="110" spans="167:168" x14ac:dyDescent="0.3">
      <c r="FK110" s="20"/>
      <c r="FL110" s="20"/>
    </row>
    <row r="111" spans="167:168" x14ac:dyDescent="0.3">
      <c r="FK111" s="20"/>
      <c r="FL111" s="20"/>
    </row>
    <row r="112" spans="167:168" x14ac:dyDescent="0.3">
      <c r="FK112" s="20"/>
      <c r="FL112" s="20"/>
    </row>
    <row r="113" spans="167:168" x14ac:dyDescent="0.3">
      <c r="FK113" s="20"/>
      <c r="FL113" s="20"/>
    </row>
    <row r="114" spans="167:168" x14ac:dyDescent="0.3">
      <c r="FK114" s="20"/>
      <c r="FL114" s="20"/>
    </row>
    <row r="115" spans="167:168" x14ac:dyDescent="0.3">
      <c r="FK115" s="20"/>
      <c r="FL115" s="20"/>
    </row>
    <row r="116" spans="167:168" x14ac:dyDescent="0.3">
      <c r="FK116" s="20"/>
      <c r="FL116" s="20"/>
    </row>
    <row r="117" spans="167:168" x14ac:dyDescent="0.3">
      <c r="FK117" s="20"/>
      <c r="FL117" s="20"/>
    </row>
    <row r="118" spans="167:168" x14ac:dyDescent="0.3">
      <c r="FK118" s="20"/>
      <c r="FL118" s="20"/>
    </row>
    <row r="119" spans="167:168" x14ac:dyDescent="0.3">
      <c r="FK119" s="20"/>
      <c r="FL119" s="20"/>
    </row>
  </sheetData>
  <conditionalFormatting sqref="EB2:EI2">
    <cfRule type="containsText" dxfId="21" priority="1" operator="containsText" text="Sell">
      <formula>NOT(ISERROR(SEARCH("Sell",EB2)))</formula>
    </cfRule>
    <cfRule type="containsText" dxfId="20" priority="2" operator="containsText" text="Buy">
      <formula>NOT(ISERROR(SEARCH("Buy",EB2)))</formula>
    </cfRule>
    <cfRule type="expression" dxfId="19" priority="3">
      <formula>"EC2=""Buy"""</formula>
    </cfRule>
  </conditionalFormatting>
  <conditionalFormatting sqref="EW2:EW9">
    <cfRule type="top10" dxfId="18" priority="11" bottom="1" rank="2"/>
    <cfRule type="top10" dxfId="17" priority="12" rank="2"/>
  </conditionalFormatting>
  <conditionalFormatting sqref="EW13:EW20">
    <cfRule type="top10" dxfId="16" priority="9" bottom="1" rank="2"/>
    <cfRule type="top10" dxfId="15" priority="10" rank="2"/>
  </conditionalFormatting>
  <conditionalFormatting sqref="EW23:EW30">
    <cfRule type="top10" dxfId="14" priority="7" bottom="1" rank="2"/>
    <cfRule type="top10" dxfId="13" priority="8" rank="2"/>
  </conditionalFormatting>
  <dataValidations count="1">
    <dataValidation type="list" allowBlank="1" showInputMessage="1" showErrorMessage="1" sqref="EB2:EI2" xr:uid="{0959CFDB-F9F5-4FDB-B4E7-74457E06451A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DF971-0D09-4D7E-93AB-20C4BFEB4518}">
  <dimension ref="A1:FN119"/>
  <sheetViews>
    <sheetView topLeftCell="DS1" zoomScale="55" zoomScaleNormal="55" workbookViewId="0">
      <selection activeCell="EW22" sqref="EW22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91" width="14.6640625" bestFit="1" customWidth="1"/>
    <col min="92" max="92" width="13.88671875" bestFit="1" customWidth="1"/>
    <col min="93" max="93" width="14.6640625" bestFit="1" customWidth="1"/>
    <col min="94" max="94" width="14.6640625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8.6640625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27.21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32" t="s">
        <v>1</v>
      </c>
      <c r="D1" s="32" t="s">
        <v>2</v>
      </c>
      <c r="E1" s="33" t="s">
        <v>3</v>
      </c>
      <c r="F1" s="33" t="s">
        <v>4</v>
      </c>
      <c r="G1" s="33" t="s">
        <v>5</v>
      </c>
      <c r="H1" s="33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3" t="s">
        <v>13</v>
      </c>
      <c r="P1" s="33" t="s">
        <v>14</v>
      </c>
      <c r="Q1" s="33" t="s">
        <v>15</v>
      </c>
      <c r="R1" s="33" t="s">
        <v>16</v>
      </c>
      <c r="S1" s="33" t="s">
        <v>17</v>
      </c>
      <c r="T1" s="33" t="s">
        <v>18</v>
      </c>
      <c r="U1" s="33" t="s">
        <v>19</v>
      </c>
      <c r="V1" s="33" t="s">
        <v>20</v>
      </c>
      <c r="W1" s="33" t="s">
        <v>21</v>
      </c>
      <c r="X1" s="33" t="s">
        <v>22</v>
      </c>
      <c r="Y1" s="33" t="s">
        <v>23</v>
      </c>
      <c r="Z1" s="33" t="s">
        <v>24</v>
      </c>
      <c r="AA1" s="33" t="s">
        <v>25</v>
      </c>
      <c r="AB1" s="33" t="s">
        <v>26</v>
      </c>
      <c r="AC1" s="33" t="s">
        <v>27</v>
      </c>
      <c r="AD1" s="33" t="s">
        <v>28</v>
      </c>
      <c r="AH1" s="3" t="s">
        <v>29</v>
      </c>
      <c r="AI1" s="4" t="s">
        <v>1</v>
      </c>
      <c r="AJ1" s="4" t="s">
        <v>2</v>
      </c>
      <c r="AK1" s="5" t="s">
        <v>3</v>
      </c>
      <c r="AL1" s="5" t="s">
        <v>4</v>
      </c>
      <c r="AM1" s="5" t="s">
        <v>5</v>
      </c>
      <c r="AN1" s="5" t="s">
        <v>6</v>
      </c>
      <c r="AO1" s="5" t="s">
        <v>7</v>
      </c>
      <c r="AP1" s="5" t="s">
        <v>8</v>
      </c>
      <c r="AQ1" s="5" t="s">
        <v>9</v>
      </c>
      <c r="AR1" s="5" t="s">
        <v>10</v>
      </c>
      <c r="AS1" s="5" t="s">
        <v>11</v>
      </c>
      <c r="AT1" s="5" t="s">
        <v>12</v>
      </c>
      <c r="AU1" s="5" t="s">
        <v>13</v>
      </c>
      <c r="AV1" s="5" t="s">
        <v>14</v>
      </c>
      <c r="AW1" s="5" t="s">
        <v>15</v>
      </c>
      <c r="AX1" s="5" t="s">
        <v>16</v>
      </c>
      <c r="AY1" s="5" t="s">
        <v>17</v>
      </c>
      <c r="AZ1" s="5" t="s">
        <v>18</v>
      </c>
      <c r="BA1" s="5" t="s">
        <v>19</v>
      </c>
      <c r="BB1" s="5" t="s">
        <v>20</v>
      </c>
      <c r="BC1" s="5" t="s">
        <v>21</v>
      </c>
      <c r="BD1" s="5" t="s">
        <v>22</v>
      </c>
      <c r="BE1" s="5" t="s">
        <v>23</v>
      </c>
      <c r="BF1" s="5" t="s">
        <v>24</v>
      </c>
      <c r="BG1" s="5" t="s">
        <v>25</v>
      </c>
      <c r="BH1" s="5" t="s">
        <v>26</v>
      </c>
      <c r="BI1" s="5" t="s">
        <v>27</v>
      </c>
      <c r="BJ1" s="5" t="s">
        <v>28</v>
      </c>
      <c r="BN1" s="6" t="s">
        <v>29</v>
      </c>
      <c r="BO1" s="7" t="s">
        <v>1</v>
      </c>
      <c r="BP1" s="7" t="s">
        <v>2</v>
      </c>
      <c r="BQ1" s="8" t="s">
        <v>3</v>
      </c>
      <c r="BR1" s="8" t="s">
        <v>4</v>
      </c>
      <c r="BS1" s="8" t="s">
        <v>5</v>
      </c>
      <c r="BT1" s="8" t="s">
        <v>6</v>
      </c>
      <c r="BU1" s="8" t="s">
        <v>7</v>
      </c>
      <c r="BV1" s="8" t="s">
        <v>8</v>
      </c>
      <c r="BW1" s="8" t="s">
        <v>9</v>
      </c>
      <c r="BX1" s="8" t="s">
        <v>10</v>
      </c>
      <c r="BY1" s="8" t="s">
        <v>11</v>
      </c>
      <c r="BZ1" s="8" t="s">
        <v>12</v>
      </c>
      <c r="CA1" s="8" t="s">
        <v>13</v>
      </c>
      <c r="CB1" s="8" t="s">
        <v>14</v>
      </c>
      <c r="CC1" s="8" t="s">
        <v>15</v>
      </c>
      <c r="CD1" s="8" t="s">
        <v>16</v>
      </c>
      <c r="CE1" s="8" t="s">
        <v>17</v>
      </c>
      <c r="CF1" s="8" t="s">
        <v>18</v>
      </c>
      <c r="CG1" s="8" t="s">
        <v>19</v>
      </c>
      <c r="CH1" s="8" t="s">
        <v>20</v>
      </c>
      <c r="CI1" s="8" t="s">
        <v>21</v>
      </c>
      <c r="CJ1" s="8" t="s">
        <v>22</v>
      </c>
      <c r="CK1" s="8" t="s">
        <v>23</v>
      </c>
      <c r="CL1" s="8" t="s">
        <v>24</v>
      </c>
      <c r="CM1" s="8" t="s">
        <v>25</v>
      </c>
      <c r="CN1" s="8" t="s">
        <v>26</v>
      </c>
      <c r="CO1" s="8" t="s">
        <v>27</v>
      </c>
      <c r="CP1" s="8" t="s">
        <v>28</v>
      </c>
      <c r="CU1" s="9" t="s">
        <v>29</v>
      </c>
      <c r="CV1" s="9" t="s">
        <v>30</v>
      </c>
      <c r="CW1" s="9" t="s">
        <v>31</v>
      </c>
      <c r="CX1" s="9" t="s">
        <v>32</v>
      </c>
      <c r="CY1" s="9" t="s">
        <v>33</v>
      </c>
      <c r="CZ1" s="9" t="s">
        <v>34</v>
      </c>
      <c r="DA1" s="9" t="s">
        <v>35</v>
      </c>
      <c r="DB1" s="9" t="s">
        <v>36</v>
      </c>
      <c r="DC1" s="9" t="s">
        <v>37</v>
      </c>
      <c r="DF1" s="3" t="s">
        <v>29</v>
      </c>
      <c r="DG1" s="3" t="s">
        <v>26</v>
      </c>
      <c r="DH1" s="3" t="s">
        <v>7</v>
      </c>
      <c r="DI1" s="3" t="s">
        <v>27</v>
      </c>
      <c r="DJ1" s="3" t="s">
        <v>9</v>
      </c>
      <c r="DK1" s="3" t="s">
        <v>38</v>
      </c>
      <c r="DL1" s="3" t="s">
        <v>8</v>
      </c>
      <c r="DM1" s="3" t="s">
        <v>39</v>
      </c>
      <c r="DN1" s="3" t="s">
        <v>11</v>
      </c>
      <c r="DO1" s="3" t="s">
        <v>40</v>
      </c>
      <c r="DP1" s="3" t="s">
        <v>12</v>
      </c>
      <c r="DQ1" s="3" t="s">
        <v>28</v>
      </c>
      <c r="DR1" s="3" t="s">
        <v>10</v>
      </c>
      <c r="DS1" s="43" t="s">
        <v>41</v>
      </c>
      <c r="DT1" s="43" t="s">
        <v>55</v>
      </c>
      <c r="DX1" s="10" t="s">
        <v>29</v>
      </c>
      <c r="DY1" s="10" t="s">
        <v>43</v>
      </c>
      <c r="DZ1" s="10"/>
      <c r="EA1" s="10" t="s">
        <v>44</v>
      </c>
      <c r="EB1" s="10" t="s">
        <v>30</v>
      </c>
      <c r="EC1" s="10" t="s">
        <v>31</v>
      </c>
      <c r="ED1" s="10" t="s">
        <v>32</v>
      </c>
      <c r="EE1" s="10" t="s">
        <v>33</v>
      </c>
      <c r="EF1" s="10" t="s">
        <v>45</v>
      </c>
      <c r="EG1" s="10" t="s">
        <v>35</v>
      </c>
      <c r="EH1" s="10" t="s">
        <v>36</v>
      </c>
      <c r="EI1" s="10" t="s">
        <v>37</v>
      </c>
      <c r="EJ1" s="2" t="s">
        <v>46</v>
      </c>
      <c r="EM1" s="9" t="s">
        <v>29</v>
      </c>
      <c r="EN1" s="9" t="s">
        <v>30</v>
      </c>
      <c r="EO1" s="9" t="s">
        <v>31</v>
      </c>
      <c r="EP1" s="9" t="s">
        <v>32</v>
      </c>
      <c r="EQ1" s="9" t="s">
        <v>33</v>
      </c>
      <c r="ER1" s="9" t="s">
        <v>34</v>
      </c>
      <c r="ES1" s="9" t="s">
        <v>35</v>
      </c>
      <c r="ET1" s="9" t="s">
        <v>36</v>
      </c>
      <c r="EU1" s="9" t="s">
        <v>37</v>
      </c>
      <c r="EW1" s="11" t="s">
        <v>47</v>
      </c>
      <c r="FB1" s="9" t="s">
        <v>29</v>
      </c>
      <c r="FC1" s="9" t="s">
        <v>30</v>
      </c>
      <c r="FD1" s="9" t="s">
        <v>31</v>
      </c>
      <c r="FE1" s="9" t="s">
        <v>32</v>
      </c>
      <c r="FF1" s="9" t="s">
        <v>33</v>
      </c>
      <c r="FG1" s="9" t="s">
        <v>34</v>
      </c>
      <c r="FH1" s="9" t="s">
        <v>35</v>
      </c>
      <c r="FI1" s="9" t="s">
        <v>36</v>
      </c>
      <c r="FJ1" s="9" t="s">
        <v>37</v>
      </c>
    </row>
    <row r="2" spans="1:170" ht="14.4" thickBot="1" x14ac:dyDescent="0.35">
      <c r="A2" s="12">
        <f ca="1">NOW()</f>
        <v>45526.807172569446</v>
      </c>
      <c r="B2" s="12" t="s">
        <v>50</v>
      </c>
      <c r="C2" s="34">
        <f>RTD("fxbluelabs.excelrtd", , "21422436","@bh,AUDUSD,h4,close,0")</f>
        <v>0.67267999999999994</v>
      </c>
      <c r="D2" s="34">
        <f>RTD("fxbluelabs.excelrtd", , "21422436","@bh,AUDNZD,h4,close,0")</f>
        <v>1.09422</v>
      </c>
      <c r="E2" s="35">
        <f>RTD("fxbluelabs.excelrtd", , "21422436","@bh,AUDJPY,h4,close,0")</f>
        <v>98.289000000000001</v>
      </c>
      <c r="F2" s="34">
        <f>RTD("fxbluelabs.excelrtd", , "21422436","@bh,AUDCHF,h4,close,0")</f>
        <v>0.57330999999999999</v>
      </c>
      <c r="G2" s="34">
        <f>RTD("fxbluelabs.excelrtd", , "21422436","@bh,AUDCAD,h4,close,0")</f>
        <v>0.91422999999999999</v>
      </c>
      <c r="H2" s="34">
        <f>RTD("fxbluelabs.excelrtd", , "21422436","@bh,EURUSD,h4,close,0")</f>
        <v>1.1132200000000001</v>
      </c>
      <c r="I2" s="34">
        <f>RTD("fxbluelabs.excelrtd", , "21422436","@bh,EURCAD,h4,close,0")</f>
        <v>1.5129600000000001</v>
      </c>
      <c r="J2" s="34">
        <f>RTD("fxbluelabs.excelrtd", , "21422436","@bh,EURGBP,h4,close,0")</f>
        <v>0.84967000000000004</v>
      </c>
      <c r="K2" s="34">
        <f>RTD("fxbluelabs.excelrtd", , "21422436","@bh,EURCHF,h4,close,0")</f>
        <v>0.94874999999999998</v>
      </c>
      <c r="L2" s="35">
        <f>RTD("fxbluelabs.excelrtd", , "21422436","@bh,EURJPY,h4,close,0")</f>
        <v>162.654</v>
      </c>
      <c r="M2" s="34">
        <f>RTD("fxbluelabs.excelrtd", , "21422436","@bh,EURAUD,h4,close,0")</f>
        <v>1.65486</v>
      </c>
      <c r="N2" s="34">
        <f>RTD("fxbluelabs.excelrtd", , "21422436","@bh,EURNZD,h4,close,0")</f>
        <v>1.8108200000000001</v>
      </c>
      <c r="O2" s="34">
        <f>RTD("fxbluelabs.excelrtd", , "21422436","@bh,GBPUSD,h4,close,0")</f>
        <v>1.31026</v>
      </c>
      <c r="P2" s="34">
        <f>RTD("fxbluelabs.excelrtd", , "21422436","@bh,GBPAUD,h4,close,0")</f>
        <v>1.94763</v>
      </c>
      <c r="Q2" s="34">
        <f>RTD("fxbluelabs.excelrtd", , "21422436","@bh,GBPNZD,h4,close,0")</f>
        <v>2.1310600000000002</v>
      </c>
      <c r="R2" s="34">
        <f>RTD("fxbluelabs.excelrtd", , "21422436","@bh,GBPCAD,h4,close,0")</f>
        <v>1.7806200000000001</v>
      </c>
      <c r="S2" s="34">
        <f>RTD("fxbluelabs.excelrtd", , "21422436","@bh,GBPCHF,h4,close,0")</f>
        <v>1.1165400000000001</v>
      </c>
      <c r="T2" s="35">
        <f>RTD("fxbluelabs.excelrtd", , "21422436","@bh,GBPJPY,h4,close,0")</f>
        <v>191.417</v>
      </c>
      <c r="U2" s="35">
        <f>RTD("fxbluelabs.excelrtd", , "21422436","@bh,NZDJPY,h4,close,0")</f>
        <v>89.816000000000003</v>
      </c>
      <c r="V2" s="34">
        <f>RTD("fxbluelabs.excelrtd", , "21422436","@bh,NZDCHF,h4,close,0")</f>
        <v>0.52388999999999997</v>
      </c>
      <c r="W2" s="34">
        <f>RTD("fxbluelabs.excelrtd", , "21422436","@bh,NZDUSD,h4,close,0")</f>
        <v>0.61473</v>
      </c>
      <c r="X2" s="34">
        <f>RTD("fxbluelabs.excelrtd", , "21422436","@bh,NZDCAD,h4,close,0")</f>
        <v>0.83543000000000001</v>
      </c>
      <c r="Y2" s="35">
        <f>RTD("fxbluelabs.excelrtd", , "21422436","@bh,CADJPY,h4,close,0")</f>
        <v>107.508</v>
      </c>
      <c r="Z2" s="34">
        <f>RTD("fxbluelabs.excelrtd", , "21422436","@bh,CADCHF,h4,close,0")</f>
        <v>0.62709000000000004</v>
      </c>
      <c r="AA2" s="35">
        <f>RTD("fxbluelabs.excelrtd", , "21422436","@bh,CHFJPY,h4,close,0")</f>
        <v>171.43299999999999</v>
      </c>
      <c r="AB2" s="34">
        <f>RTD("fxbluelabs.excelrtd", , "21422436","@bh,USDCAD,h4,close,0")</f>
        <v>1.35917</v>
      </c>
      <c r="AC2" s="34">
        <f>RTD("fxbluelabs.excelrtd", , "21422436","@bh,USDCHF,h4,close,0")</f>
        <v>0.85228000000000004</v>
      </c>
      <c r="AD2" s="35">
        <f>RTD("fxbluelabs.excelrtd", , "21422436","@bh,USDJPY,h4,close,0")</f>
        <v>146.113</v>
      </c>
      <c r="AH2" s="13">
        <v>1</v>
      </c>
      <c r="AI2" s="14">
        <f>IF(C2=0,0,(C2-C3)*100/C3)</f>
        <v>-0.28461310406167106</v>
      </c>
      <c r="AJ2" s="14">
        <f t="shared" ref="AJ2:BJ17" si="0">IF(D2=0,0,(D2-D3)*100/D3)</f>
        <v>-6.3931611441924802E-2</v>
      </c>
      <c r="AK2" s="14">
        <f t="shared" si="0"/>
        <v>4.2749396928152099E-2</v>
      </c>
      <c r="AL2" s="14">
        <f t="shared" si="0"/>
        <v>-0.16195319030370339</v>
      </c>
      <c r="AM2" s="14">
        <f t="shared" si="0"/>
        <v>-0.18015460540682626</v>
      </c>
      <c r="AN2" s="14">
        <f>IF(H2=0,0,(H2-H3)*100/H3)</f>
        <v>-9.3335487229186179E-2</v>
      </c>
      <c r="AO2" s="14">
        <f t="shared" si="0"/>
        <v>1.1237514790552785E-2</v>
      </c>
      <c r="AP2" s="14">
        <f t="shared" si="0"/>
        <v>-5.8842912959556669E-3</v>
      </c>
      <c r="AQ2" s="14">
        <f t="shared" si="0"/>
        <v>2.8466599190282608E-2</v>
      </c>
      <c r="AR2" s="14">
        <f t="shared" si="0"/>
        <v>0.23293647859201969</v>
      </c>
      <c r="AS2" s="14">
        <f t="shared" si="0"/>
        <v>0.19010486038795441</v>
      </c>
      <c r="AT2" s="14">
        <f t="shared" si="0"/>
        <v>0.12772945684569253</v>
      </c>
      <c r="AU2" s="14">
        <f t="shared" si="0"/>
        <v>-8.6168111698280092E-2</v>
      </c>
      <c r="AV2" s="14">
        <f t="shared" si="0"/>
        <v>0.19342857289839266</v>
      </c>
      <c r="AW2" s="14">
        <f t="shared" si="0"/>
        <v>0.12403566965166535</v>
      </c>
      <c r="AX2" s="14">
        <f t="shared" si="0"/>
        <v>1.4603787997941372E-2</v>
      </c>
      <c r="AY2" s="14">
        <f t="shared" si="0"/>
        <v>3.4941540115585944E-2</v>
      </c>
      <c r="AZ2" s="14">
        <f t="shared" si="0"/>
        <v>0.2403669916945104</v>
      </c>
      <c r="BA2" s="14">
        <f t="shared" si="0"/>
        <v>9.8074179743232973E-2</v>
      </c>
      <c r="BB2" s="14">
        <f t="shared" si="0"/>
        <v>-0.10677852988845551</v>
      </c>
      <c r="BC2" s="14">
        <f t="shared" si="0"/>
        <v>-0.2223664989449736</v>
      </c>
      <c r="BD2" s="14">
        <f t="shared" si="0"/>
        <v>-0.12194392970291361</v>
      </c>
      <c r="BE2" s="14">
        <f t="shared" si="0"/>
        <v>0.22187004754358119</v>
      </c>
      <c r="BF2" s="14">
        <f t="shared" si="0"/>
        <v>1.7544419279730532E-2</v>
      </c>
      <c r="BG2" s="14">
        <f t="shared" si="0"/>
        <v>0.2045790639631023</v>
      </c>
      <c r="BH2" s="14">
        <f t="shared" si="0"/>
        <v>0.10163574632306445</v>
      </c>
      <c r="BI2" s="14">
        <f t="shared" si="0"/>
        <v>0.12217470983506895</v>
      </c>
      <c r="BJ2" s="14">
        <f t="shared" si="0"/>
        <v>0.32615114187230965</v>
      </c>
      <c r="BN2">
        <v>1</v>
      </c>
      <c r="BO2" s="15">
        <f>AI2+SUM(AI3:AI37)</f>
        <v>1.6964325428008038</v>
      </c>
      <c r="BP2" s="15">
        <f t="shared" ref="BP2:BP28" si="1">AJ2+SUM(AJ3:AJ37)</f>
        <v>-0.92281316809638869</v>
      </c>
      <c r="BQ2" s="15">
        <f t="shared" ref="BQ2:BQ28" si="2">AK2+SUM(AK3:AK37)</f>
        <v>-0.21149029698326016</v>
      </c>
      <c r="BR2" s="15">
        <f t="shared" ref="BR2:BR28" si="3">AL2+SUM(AL3:AL37)</f>
        <v>-0.55950757875291224</v>
      </c>
      <c r="BS2" s="15">
        <f t="shared" ref="BS2:BS28" si="4">AM2+SUM(AM3:AM37)</f>
        <v>0.66779205187526258</v>
      </c>
      <c r="BT2" s="15">
        <f t="shared" ref="BT2:BT28" si="5">AN2+SUM(AN3:AN37)</f>
        <v>1.4128663024897152</v>
      </c>
      <c r="BU2" s="15">
        <f t="shared" ref="BU2:BU28" si="6">AO2+SUM(AO3:AO37)</f>
        <v>0.38590601436898658</v>
      </c>
      <c r="BV2" s="15">
        <f t="shared" ref="BV2:BV28" si="7">AP2+SUM(AP3:AP37)</f>
        <v>-0.42146539789416321</v>
      </c>
      <c r="BW2" s="15">
        <f t="shared" ref="BW2:BW28" si="8">AQ2+SUM(AQ3:AQ37)</f>
        <v>-0.84476574127081283</v>
      </c>
      <c r="BX2" s="15">
        <f t="shared" ref="BX2:BX28" si="9">AR2+SUM(AR3:AR37)</f>
        <v>-0.50105843205439582</v>
      </c>
      <c r="BY2" s="15">
        <f t="shared" ref="BY2:BY28" si="10">AS2+SUM(AS3:AS37)</f>
        <v>-0.28080968726705824</v>
      </c>
      <c r="BZ2" s="15">
        <f t="shared" ref="BZ2:BZ28" si="11">AT2+SUM(AT3:AT37)</f>
        <v>-1.2050749754424641</v>
      </c>
      <c r="CA2" s="15">
        <f t="shared" ref="CA2:CA28" si="12">AU2+SUM(AU3:AU37)</f>
        <v>1.8458873533274507</v>
      </c>
      <c r="CB2" s="15">
        <f t="shared" ref="CB2:CB28" si="13">AV2+SUM(AV3:AV37)</f>
        <v>0.14316477700836672</v>
      </c>
      <c r="CC2" s="15">
        <f t="shared" ref="CC2:CC28" si="14">AW2+SUM(AW3:AW37)</f>
        <v>-0.78609052685304581</v>
      </c>
      <c r="CD2" s="15">
        <f t="shared" ref="CD2:CD28" si="15">AX2+SUM(AX3:AX37)</f>
        <v>0.81021236550396192</v>
      </c>
      <c r="CE2" s="15">
        <f t="shared" ref="CE2:CE28" si="16">AY2+SUM(AY3:AY37)</f>
        <v>-0.42775189884635473</v>
      </c>
      <c r="CF2" s="15">
        <f t="shared" ref="CF2:CF28" si="17">AZ2+SUM(AZ3:AZ37)</f>
        <v>-8.2244814670909022E-2</v>
      </c>
      <c r="CG2" s="15">
        <f t="shared" ref="CG2:CG28" si="18">BA2+SUM(BA3:BA37)</f>
        <v>0.71125964408147135</v>
      </c>
      <c r="CH2" s="15">
        <f t="shared" ref="CH2:CH28" si="19">BB2+SUM(BB3:BB37)</f>
        <v>0.36561602252379655</v>
      </c>
      <c r="CI2" s="15">
        <f t="shared" ref="CI2:CI28" si="20">BC2+SUM(BC3:BC37)</f>
        <v>2.6328854359750467</v>
      </c>
      <c r="CJ2" s="15">
        <f t="shared" ref="CJ2:CJ28" si="21">BD2+SUM(BD3:BD37)</f>
        <v>1.5995348594354999</v>
      </c>
      <c r="CK2" s="15">
        <f t="shared" ref="CK2:CK28" si="22">BE2+SUM(BE3:BE37)</f>
        <v>-0.88099538926819709</v>
      </c>
      <c r="CL2" s="15">
        <f t="shared" ref="CL2:CL28" si="23">BF2+SUM(BF3:BF37)</f>
        <v>-1.2274285516871299</v>
      </c>
      <c r="CM2" s="15">
        <f t="shared" ref="CM2:CM28" si="24">BG2+SUM(BG3:BG37)</f>
        <v>0.34055937784486923</v>
      </c>
      <c r="CN2" s="15">
        <f t="shared" ref="CN2:CN28" si="25">BH2+SUM(BH3:BH37)</f>
        <v>-1.0238395818281536</v>
      </c>
      <c r="CO2" s="15">
        <f t="shared" ref="CO2:CO28" si="26">BI2+SUM(BI3:BI37)</f>
        <v>-2.2555966882565555</v>
      </c>
      <c r="CP2" s="15">
        <f t="shared" ref="CP2:CP28" si="27">BJ2+SUM(BJ3:BJ37)</f>
        <v>-1.9109827520707068</v>
      </c>
      <c r="CU2" s="13">
        <v>1</v>
      </c>
      <c r="CV2" s="16">
        <f>BT2+BU2+BV2+BW2+BX2+BY2+BZ2</f>
        <v>-1.4544019170701925</v>
      </c>
      <c r="CW2" s="16">
        <f>CN2+CO2+CP2-CI2-CA2-BT2-BO2</f>
        <v>-12.778490656748431</v>
      </c>
      <c r="CX2" s="16">
        <f>CK2+CL2-CN2-CJ2-CD2-BU2-BS2</f>
        <v>-4.5480296503108848</v>
      </c>
      <c r="CY2" s="16">
        <f>CM2-CO2-CH2-CE2-BW2-BR2</f>
        <v>4.0625652624477082</v>
      </c>
      <c r="CZ2" s="16">
        <f>CA2+CB2+CC2+CD2+CE2+CF2-BV2</f>
        <v>1.9246426533636332</v>
      </c>
      <c r="DA2" s="16">
        <f>BO2+BP2+BQ2+BR2+BS2-BY2-CB2</f>
        <v>0.80805846110219681</v>
      </c>
      <c r="DB2" s="16">
        <f>CG2+CH2+CI2+CJ2-CC2-BZ2-BP2</f>
        <v>8.2232746324077119</v>
      </c>
      <c r="DC2" s="16">
        <f>-BQ2-BX2-CF2-CG2-CK2-CM2-CP2</f>
        <v>2.5349526631211283</v>
      </c>
      <c r="DF2" s="17">
        <v>1</v>
      </c>
      <c r="DG2" s="18">
        <f>CN2</f>
        <v>-1.0238395818281536</v>
      </c>
      <c r="DH2" s="18">
        <f>BU2</f>
        <v>0.38590601436898658</v>
      </c>
      <c r="DI2" s="18">
        <f>CO2</f>
        <v>-2.2555966882565555</v>
      </c>
      <c r="DJ2" s="18">
        <f>BW2</f>
        <v>-0.84476574127081283</v>
      </c>
      <c r="DK2" s="18">
        <f>-(CA2)</f>
        <v>-1.8458873533274507</v>
      </c>
      <c r="DL2" s="18">
        <f>BV2</f>
        <v>-0.42146539789416321</v>
      </c>
      <c r="DM2" s="18">
        <f>-(BO2)</f>
        <v>-1.6964325428008038</v>
      </c>
      <c r="DN2" s="18">
        <f>BY2</f>
        <v>-0.28080968726705824</v>
      </c>
      <c r="DO2" s="18">
        <f>-(CI2)</f>
        <v>-2.6328854359750467</v>
      </c>
      <c r="DP2" s="18">
        <f>BZ2</f>
        <v>-1.2050749754424641</v>
      </c>
      <c r="DQ2" s="18">
        <f>CP2</f>
        <v>-1.9109827520707068</v>
      </c>
      <c r="DR2" s="18">
        <f>BX2</f>
        <v>-0.50105843205439582</v>
      </c>
      <c r="DS2" s="45">
        <f>-(BT2)</f>
        <v>-1.4128663024897152</v>
      </c>
      <c r="DT2" s="45">
        <f>BT2</f>
        <v>1.4128663024897152</v>
      </c>
      <c r="DX2">
        <v>1</v>
      </c>
      <c r="DY2" s="19">
        <f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11.324088739678238</v>
      </c>
      <c r="EB2" t="s">
        <v>48</v>
      </c>
      <c r="EC2" t="s">
        <v>49</v>
      </c>
      <c r="ED2" t="s">
        <v>57</v>
      </c>
      <c r="EJ2" t="s">
        <v>48</v>
      </c>
      <c r="EM2" s="13">
        <v>1</v>
      </c>
      <c r="EN2" s="16">
        <f>BT2+BU2+BV2+BW2+BX2+BY2+BZ2</f>
        <v>-1.4544019170701925</v>
      </c>
      <c r="EO2" s="16">
        <f t="shared" ref="EO2:EO28" si="28">CN2+CO2+CP2-CI2-CA2-BT2-BO2</f>
        <v>-12.778490656748431</v>
      </c>
      <c r="EP2" s="16">
        <f>CK2+CL2-CN2-CJ2-CD2-BU2-BS2</f>
        <v>-4.5480296503108848</v>
      </c>
      <c r="EQ2" s="16">
        <f>CM2-CO2-CH2-CE2-BW2-BR2</f>
        <v>4.0625652624477082</v>
      </c>
      <c r="ER2" s="16">
        <f>CA2+CB2+CC2+CD2+CE2+CF2-BV2</f>
        <v>1.9246426533636332</v>
      </c>
      <c r="ES2" s="16">
        <f>BO2+BP2+BQ2+BR2+BS2-BY2-CB2</f>
        <v>0.80805846110219681</v>
      </c>
      <c r="ET2" s="16">
        <f>CG2+CH2+CI2+CJ2-CC2-BZ2-BP2</f>
        <v>8.2232746324077119</v>
      </c>
      <c r="EU2" s="16">
        <f>-BQ2-BX2-CF2-CG2-CK2-CM2-CP2</f>
        <v>2.5349526631211283</v>
      </c>
      <c r="EW2" s="20">
        <f>LARGE($EN$2:$EU$2,1)</f>
        <v>8.2232746324077119</v>
      </c>
      <c r="EX2" s="39" t="str">
        <f>INDEX(EN1:EU1,MATCH(EW2,EN2:EU2,0))</f>
        <v>NZD</v>
      </c>
      <c r="FK2" s="20"/>
      <c r="FL2" s="20"/>
    </row>
    <row r="3" spans="1:170" ht="14.4" thickBot="1" x14ac:dyDescent="0.35">
      <c r="A3" s="37" t="s">
        <v>51</v>
      </c>
      <c r="B3" s="38">
        <v>1</v>
      </c>
      <c r="C3" s="34">
        <f>RTD("fxbluelabs.excelrtd", , "21422436","@bh,AUDUSD,h4,close,1")</f>
        <v>0.67459999999999998</v>
      </c>
      <c r="D3" s="34">
        <f>RTD("fxbluelabs.excelrtd", , "21422436","@bh,AUDNZD,h4,close,1")</f>
        <v>1.0949199999999999</v>
      </c>
      <c r="E3" s="35">
        <f>RTD("fxbluelabs.excelrtd", , "21422436","@bh,AUDJPY,h4,close,1")</f>
        <v>98.247</v>
      </c>
      <c r="F3" s="34">
        <f>RTD("fxbluelabs.excelrtd", , "21422436","@bh,AUDCHF,h4,close,1")</f>
        <v>0.57423999999999997</v>
      </c>
      <c r="G3" s="34">
        <f>RTD("fxbluelabs.excelrtd", , "21422436","@bh,AUDCAD,h4,close,1")</f>
        <v>0.91588000000000003</v>
      </c>
      <c r="H3" s="34">
        <f>RTD("fxbluelabs.excelrtd", , "21422436","@bh,EURUSD,h4,close,1")</f>
        <v>1.11426</v>
      </c>
      <c r="I3" s="34">
        <f>RTD("fxbluelabs.excelrtd", , "21422436","@bh,EURCAD,h4,close,1")</f>
        <v>1.5127900000000001</v>
      </c>
      <c r="J3" s="34">
        <f>RTD("fxbluelabs.excelrtd", , "21422436","@bh,EURGBP,h4,close,1")</f>
        <v>0.84972000000000003</v>
      </c>
      <c r="K3" s="34">
        <f>RTD("fxbluelabs.excelrtd", , "21422436","@bh,EURCHF,h4,close,1")</f>
        <v>0.94847999999999999</v>
      </c>
      <c r="L3" s="35">
        <f>RTD("fxbluelabs.excelrtd", , "21422436","@bh,EURJPY,h4,close,1")</f>
        <v>162.27600000000001</v>
      </c>
      <c r="M3" s="34">
        <f>RTD("fxbluelabs.excelrtd", , "21422436","@bh,EURAUD,h4,close,1")</f>
        <v>1.6517200000000001</v>
      </c>
      <c r="N3" s="34">
        <f>RTD("fxbluelabs.excelrtd", , "21422436","@bh,EURNZD,h4,close,1")</f>
        <v>1.8085100000000001</v>
      </c>
      <c r="O3" s="34">
        <f>RTD("fxbluelabs.excelrtd", , "21422436","@bh,GBPUSD,h4,close,1")</f>
        <v>1.3113900000000001</v>
      </c>
      <c r="P3" s="34">
        <f>RTD("fxbluelabs.excelrtd", , "21422436","@bh,GBPAUD,h4,close,1")</f>
        <v>1.94387</v>
      </c>
      <c r="Q3" s="34">
        <f>RTD("fxbluelabs.excelrtd", , "21422436","@bh,GBPNZD,h4,close,1")</f>
        <v>2.1284200000000002</v>
      </c>
      <c r="R3" s="34">
        <f>RTD("fxbluelabs.excelrtd", , "21422436","@bh,GBPCAD,h4,close,1")</f>
        <v>1.7803599999999999</v>
      </c>
      <c r="S3" s="34">
        <f>RTD("fxbluelabs.excelrtd", , "21422436","@bh,GBPCHF,h4,close,1")</f>
        <v>1.11615</v>
      </c>
      <c r="T3" s="35">
        <f>RTD("fxbluelabs.excelrtd", , "21422436","@bh,GBPJPY,h4,close,1")</f>
        <v>190.958</v>
      </c>
      <c r="U3" s="35">
        <f>RTD("fxbluelabs.excelrtd", , "21422436","@bh,NZDJPY,h4,close,1")</f>
        <v>89.727999999999994</v>
      </c>
      <c r="V3" s="34">
        <f>RTD("fxbluelabs.excelrtd", , "21422436","@bh,NZDCHF,h4,close,1")</f>
        <v>0.52444999999999997</v>
      </c>
      <c r="W3" s="34">
        <f>RTD("fxbluelabs.excelrtd", , "21422436","@bh,NZDUSD,h4,close,1")</f>
        <v>0.61609999999999998</v>
      </c>
      <c r="X3" s="34">
        <f>RTD("fxbluelabs.excelrtd", , "21422436","@bh,NZDCAD,h4,close,1")</f>
        <v>0.83645000000000003</v>
      </c>
      <c r="Y3" s="35">
        <f>RTD("fxbluelabs.excelrtd", , "21422436","@bh,CADJPY,h4,close,1")</f>
        <v>107.27</v>
      </c>
      <c r="Z3" s="34">
        <f>RTD("fxbluelabs.excelrtd", , "21422436","@bh,CADCHF,h4,close,1")</f>
        <v>0.62697999999999998</v>
      </c>
      <c r="AA3" s="35">
        <f>RTD("fxbluelabs.excelrtd", , "21422436","@bh,CHFJPY,h4,close,1")</f>
        <v>171.083</v>
      </c>
      <c r="AB3" s="34">
        <f>RTD("fxbluelabs.excelrtd", , "21422436","@bh,USDCAD,h4,close,1")</f>
        <v>1.3577900000000001</v>
      </c>
      <c r="AC3" s="34">
        <f>RTD("fxbluelabs.excelrtd", , "21422436","@bh,USDCHF,h4,close,1")</f>
        <v>0.85124</v>
      </c>
      <c r="AD3" s="35">
        <f>RTD("fxbluelabs.excelrtd", , "21422436","@bh,USDJPY,h4,close,1")</f>
        <v>145.63800000000001</v>
      </c>
      <c r="AH3" s="21">
        <v>2</v>
      </c>
      <c r="AI3" s="22">
        <f>IF(C3=0,0,(C3-C4)*100/C4)</f>
        <v>0.15886449007468345</v>
      </c>
      <c r="AJ3" s="22">
        <f t="shared" ref="AI3:AX18" si="29">IF(D3=0,0,(D3-D4)*100/D4)</f>
        <v>-9.1330039363845292E-4</v>
      </c>
      <c r="AK3" s="22">
        <f t="shared" si="29"/>
        <v>0.50535533436313951</v>
      </c>
      <c r="AL3" s="22">
        <f t="shared" si="29"/>
        <v>0.1377626645740618</v>
      </c>
      <c r="AM3" s="22">
        <f t="shared" si="29"/>
        <v>8.5236586165446715E-2</v>
      </c>
      <c r="AN3" s="22">
        <f>IF(H3=0,0,(H3-H4)*100/H4)</f>
        <v>-7.1791374266453687E-3</v>
      </c>
      <c r="AO3" s="22">
        <f t="shared" si="29"/>
        <v>-7.7940778218852341E-2</v>
      </c>
      <c r="AP3" s="22">
        <f t="shared" si="29"/>
        <v>-0.23481895458601437</v>
      </c>
      <c r="AQ3" s="22">
        <f t="shared" si="29"/>
        <v>-2.8458498023714623E-2</v>
      </c>
      <c r="AR3" s="22">
        <f t="shared" si="29"/>
        <v>0.33822010894768223</v>
      </c>
      <c r="AS3" s="22">
        <f t="shared" si="29"/>
        <v>-0.16440608302506188</v>
      </c>
      <c r="AT3" s="22">
        <f t="shared" si="29"/>
        <v>-0.16560769744577131</v>
      </c>
      <c r="AU3" s="22">
        <f t="shared" si="29"/>
        <v>0.22928943205008551</v>
      </c>
      <c r="AV3" s="22">
        <f t="shared" si="29"/>
        <v>7.0527670527675335E-2</v>
      </c>
      <c r="AW3" s="22">
        <f t="shared" si="29"/>
        <v>6.9113049201923155E-2</v>
      </c>
      <c r="AX3" s="22">
        <f t="shared" si="29"/>
        <v>0.15695584421428399</v>
      </c>
      <c r="AY3" s="22">
        <f t="shared" si="0"/>
        <v>0.20739064856712225</v>
      </c>
      <c r="AZ3" s="22">
        <f t="shared" si="0"/>
        <v>0.57673164334283078</v>
      </c>
      <c r="BA3" s="22">
        <f t="shared" si="0"/>
        <v>0.50742089050684813</v>
      </c>
      <c r="BB3" s="22">
        <f t="shared" si="0"/>
        <v>0.13938745894753082</v>
      </c>
      <c r="BC3" s="22">
        <f t="shared" si="0"/>
        <v>0.15931850695798883</v>
      </c>
      <c r="BD3" s="22">
        <f t="shared" si="0"/>
        <v>8.7349830086632899E-2</v>
      </c>
      <c r="BE3" s="22">
        <f t="shared" si="0"/>
        <v>0.42126942520127586</v>
      </c>
      <c r="BF3" s="22">
        <f t="shared" si="0"/>
        <v>5.425762798417065E-2</v>
      </c>
      <c r="BG3" s="22">
        <f t="shared" si="0"/>
        <v>0.36430406776877505</v>
      </c>
      <c r="BH3" s="22">
        <f t="shared" si="0"/>
        <v>-7.2124053371798086E-2</v>
      </c>
      <c r="BI3" s="22">
        <f t="shared" si="0"/>
        <v>-1.996687847218185E-2</v>
      </c>
      <c r="BJ3" s="22">
        <f t="shared" si="0"/>
        <v>0.3465738794915178</v>
      </c>
      <c r="BN3">
        <v>2</v>
      </c>
      <c r="BO3" s="23">
        <f t="shared" ref="BO3:BO28" si="30">AI3+SUM(AI4:AI38)</f>
        <v>1.9810456468624749</v>
      </c>
      <c r="BP3" s="23">
        <f t="shared" si="1"/>
        <v>-0.85888155665446397</v>
      </c>
      <c r="BQ3" s="23">
        <f t="shared" si="2"/>
        <v>-0.25423969391141232</v>
      </c>
      <c r="BR3" s="23">
        <f t="shared" si="3"/>
        <v>-0.39755438844920898</v>
      </c>
      <c r="BS3" s="23">
        <f t="shared" si="4"/>
        <v>0.84794665728208884</v>
      </c>
      <c r="BT3" s="23">
        <f t="shared" si="5"/>
        <v>1.5062017897189013</v>
      </c>
      <c r="BU3" s="23">
        <f t="shared" si="6"/>
        <v>0.37466849957843373</v>
      </c>
      <c r="BV3" s="23">
        <f t="shared" si="7"/>
        <v>-0.41558110659820746</v>
      </c>
      <c r="BW3" s="23">
        <f t="shared" si="8"/>
        <v>-0.87323234046109544</v>
      </c>
      <c r="BX3" s="23">
        <f t="shared" si="9"/>
        <v>-0.73399491064641542</v>
      </c>
      <c r="BY3" s="23">
        <f t="shared" si="10"/>
        <v>-0.47091454765501262</v>
      </c>
      <c r="BZ3" s="23">
        <f t="shared" si="11"/>
        <v>-1.3328044322881567</v>
      </c>
      <c r="CA3" s="23">
        <f t="shared" si="12"/>
        <v>1.9320554650257304</v>
      </c>
      <c r="CB3" s="23">
        <f t="shared" si="13"/>
        <v>-5.0263795890025997E-2</v>
      </c>
      <c r="CC3" s="23">
        <f t="shared" si="14"/>
        <v>-0.91012619650471116</v>
      </c>
      <c r="CD3" s="23">
        <f t="shared" si="15"/>
        <v>0.79560857750602054</v>
      </c>
      <c r="CE3" s="23">
        <f t="shared" si="16"/>
        <v>-0.46269343896194054</v>
      </c>
      <c r="CF3" s="23">
        <f t="shared" si="17"/>
        <v>-0.3226118063654192</v>
      </c>
      <c r="CG3" s="23">
        <f t="shared" si="18"/>
        <v>0.61318546433823851</v>
      </c>
      <c r="CH3" s="23">
        <f t="shared" si="19"/>
        <v>0.47239455241225203</v>
      </c>
      <c r="CI3" s="23">
        <f t="shared" si="20"/>
        <v>2.8552519349200201</v>
      </c>
      <c r="CJ3" s="23">
        <f t="shared" si="21"/>
        <v>1.7214787891384136</v>
      </c>
      <c r="CK3" s="23">
        <f t="shared" si="22"/>
        <v>-1.1028654368117785</v>
      </c>
      <c r="CL3" s="23">
        <f t="shared" si="23"/>
        <v>-1.24497297096686</v>
      </c>
      <c r="CM3" s="23">
        <f t="shared" si="24"/>
        <v>0.13598031388176718</v>
      </c>
      <c r="CN3" s="23">
        <f t="shared" si="25"/>
        <v>-1.1254753281512182</v>
      </c>
      <c r="CO3" s="23">
        <f t="shared" si="26"/>
        <v>-2.3777713980916242</v>
      </c>
      <c r="CP3" s="23">
        <f t="shared" si="27"/>
        <v>-2.2371338939430165</v>
      </c>
      <c r="CU3" s="21">
        <v>2</v>
      </c>
      <c r="CV3" s="24">
        <f t="shared" ref="CV3:CV28" si="31">BT3+BU3+BV3+BW3+BX3+BY3+BZ3</f>
        <v>-1.9456570483515525</v>
      </c>
      <c r="CW3" s="24">
        <f t="shared" ref="CW3:CW28" si="32">CN3+CO3+CP3-CI3-CA3-BT3-BO3</f>
        <v>-14.014935456712985</v>
      </c>
      <c r="CX3" s="24">
        <f t="shared" ref="CX3:CX28" si="33">CK3+CL3-CN3-CJ3-CD3-BU3-BS3</f>
        <v>-4.9620656031323769</v>
      </c>
      <c r="CY3" s="24">
        <f t="shared" ref="CY3:CY28" si="34">CM3-CO3-CH3-CE3-BW3-BR3</f>
        <v>3.7748373274333842</v>
      </c>
      <c r="CZ3" s="24">
        <f t="shared" ref="CZ3:CZ28" si="35">CA3+CB3+CC3+CD3+CE3+CF3-BV3</f>
        <v>1.3975499114078613</v>
      </c>
      <c r="DA3" s="24">
        <f t="shared" ref="DA3:DA28" si="36">BO3+BP3+BQ3+BR3+BS3-BY3-CB3</f>
        <v>1.839495008674517</v>
      </c>
      <c r="DB3" s="24">
        <f t="shared" ref="DB3:DB28" si="37">CG3+CH3+CI3+CJ3-CC3-BZ3-BP3</f>
        <v>8.7641229262562561</v>
      </c>
      <c r="DC3" s="24">
        <f t="shared" ref="DC3:DC28" si="38">-BQ3-BX3-CF3-CG3-CK3-CM3-CP3</f>
        <v>3.9016799634580361</v>
      </c>
      <c r="DF3" s="25">
        <v>2</v>
      </c>
      <c r="DG3" s="26">
        <f>CN3</f>
        <v>-1.1254753281512182</v>
      </c>
      <c r="DH3" s="26">
        <f t="shared" ref="DH3:DH28" si="39">BU3</f>
        <v>0.37466849957843373</v>
      </c>
      <c r="DI3" s="26">
        <f t="shared" ref="DI3:DI28" si="40">CO3</f>
        <v>-2.3777713980916242</v>
      </c>
      <c r="DJ3" s="26">
        <f t="shared" ref="DJ3:DJ28" si="41">BW3</f>
        <v>-0.87323234046109544</v>
      </c>
      <c r="DK3" s="26">
        <f t="shared" ref="DK3:DK28" si="42">-(CA3)</f>
        <v>-1.9320554650257304</v>
      </c>
      <c r="DL3" s="26">
        <f t="shared" ref="DL3:DL28" si="43">BV3</f>
        <v>-0.41558110659820746</v>
      </c>
      <c r="DM3" s="26">
        <f t="shared" ref="DM3:DM28" si="44">-(BO3)</f>
        <v>-1.9810456468624749</v>
      </c>
      <c r="DN3" s="26">
        <f t="shared" ref="DN3:DN28" si="45">BY3</f>
        <v>-0.47091454765501262</v>
      </c>
      <c r="DO3" s="26">
        <f t="shared" ref="DO3:DO28" si="46">-(CI3)</f>
        <v>-2.8552519349200201</v>
      </c>
      <c r="DP3" s="26">
        <f t="shared" ref="DP3:DP28" si="47">BZ3</f>
        <v>-1.3328044322881567</v>
      </c>
      <c r="DQ3" s="26">
        <f t="shared" ref="DQ3:DQ28" si="48">CP3</f>
        <v>-2.2371338939430165</v>
      </c>
      <c r="DR3" s="26">
        <f t="shared" ref="DR3:DR28" si="49">BX3</f>
        <v>-0.73399491064641542</v>
      </c>
      <c r="DS3" s="47">
        <f t="shared" ref="DS3:DS28" si="50">-(BT3)</f>
        <v>-1.5062017897189013</v>
      </c>
      <c r="DT3" s="47">
        <f t="shared" ref="DT3:DT28" si="51">BT3</f>
        <v>1.5062017897189013</v>
      </c>
      <c r="DX3">
        <v>2</v>
      </c>
      <c r="DY3" s="19">
        <f t="shared" ref="DY3:DY28" si="52">SUM(IF($EB$2="Buy", EN3, IF($EB$2="Sell", -EN3, 0)),
     IF($EC$2="Buy", EO3, IF($EC$2="Sell", -EO3, 0)),
     IF($ED$2="Buy", EP3, IF($ED$2="Sell", -EP3, 0)),
     IF($EE$2="Buy", EQ3, IF($EE$2="Sell", -EQ3, 0)),
     IF($EF$2="Buy", ER3, IF($EF$2="Sell", -ER3, 0)),
     IF($EG$2="Buy", ES3, IF($EG$2="Sell", -ES3, 0)),
     IF($EH$2="Buy", ET3, IF($EH$2="Sell", -ET3, 0)),
     IF($EI$2="Buy", EU3, IF($EI$2="Sell", -EU3, 0)))</f>
        <v>12.069278408361432</v>
      </c>
      <c r="EJ3" t="s">
        <v>49</v>
      </c>
      <c r="EM3" s="21">
        <v>2</v>
      </c>
      <c r="EN3" s="16">
        <f t="shared" ref="EN3:EN28" si="53">BT3+BU3+BV3+BW3+BX3+BY3+BZ3</f>
        <v>-1.9456570483515525</v>
      </c>
      <c r="EO3" s="16">
        <f t="shared" si="28"/>
        <v>-14.014935456712985</v>
      </c>
      <c r="EP3" s="16">
        <f t="shared" ref="EP3:EP28" si="54">CK3+CL3-CN3-CJ3-CD3-BU3-BS3</f>
        <v>-4.9620656031323769</v>
      </c>
      <c r="EQ3" s="16">
        <f t="shared" ref="EQ3:EQ28" si="55">CM3-CO3-CH3-CE3-BW3-BR3</f>
        <v>3.7748373274333842</v>
      </c>
      <c r="ER3" s="16">
        <f t="shared" ref="ER3:ER28" si="56">CA3+CB3+CC3+CD3+CE3+CF3-BV3</f>
        <v>1.3975499114078613</v>
      </c>
      <c r="ES3" s="16">
        <f t="shared" ref="ES3:ES28" si="57">BO3+BP3+BQ3+BR3+BS3-BY3-CB3</f>
        <v>1.839495008674517</v>
      </c>
      <c r="ET3" s="16">
        <f t="shared" ref="ET3:ET28" si="58">CG3+CH3+CI3+CJ3-CC3-BZ3-BP3</f>
        <v>8.7641229262562561</v>
      </c>
      <c r="EU3" s="16">
        <f t="shared" ref="EU3:EU28" si="59">-BQ3-BX3-CF3-CG3-CK3-CM3-CP3</f>
        <v>3.9016799634580361</v>
      </c>
      <c r="EW3" s="20">
        <f>LARGE($EN$2:$EU$2,2)</f>
        <v>4.0625652624477082</v>
      </c>
      <c r="EX3" s="39" t="str">
        <f>INDEX(EN1:EU1,MATCH(EW3,EN2:EU2,0))</f>
        <v>CHF</v>
      </c>
      <c r="FK3" s="20"/>
      <c r="FL3" s="20"/>
    </row>
    <row r="4" spans="1:170" ht="14.4" thickBot="1" x14ac:dyDescent="0.35">
      <c r="A4" s="37" t="s">
        <v>51</v>
      </c>
      <c r="B4" s="38">
        <v>2</v>
      </c>
      <c r="C4" s="34">
        <f>RTD("fxbluelabs.excelrtd", , "21422436","@bh,AUDUSD,h4,close,2")</f>
        <v>0.67352999999999996</v>
      </c>
      <c r="D4" s="34">
        <f>RTD("fxbluelabs.excelrtd", , "21422436","@bh,AUDNZD,h4,close,2")</f>
        <v>1.09493</v>
      </c>
      <c r="E4" s="35">
        <f>RTD("fxbluelabs.excelrtd", , "21422436","@bh,AUDJPY,h4,close,2")</f>
        <v>97.753</v>
      </c>
      <c r="F4" s="34">
        <f>RTD("fxbluelabs.excelrtd", , "21422436","@bh,AUDCHF,h4,close,2")</f>
        <v>0.57345000000000002</v>
      </c>
      <c r="G4" s="34">
        <f>RTD("fxbluelabs.excelrtd", , "21422436","@bh,AUDCAD,h4,close,2")</f>
        <v>0.91510000000000002</v>
      </c>
      <c r="H4" s="34">
        <f>RTD("fxbluelabs.excelrtd", , "21422436","@bh,EURUSD,h4,close,2")</f>
        <v>1.1143400000000001</v>
      </c>
      <c r="I4" s="34">
        <f>RTD("fxbluelabs.excelrtd", , "21422436","@bh,EURCAD,h4,close,2")</f>
        <v>1.51397</v>
      </c>
      <c r="J4" s="34">
        <f>RTD("fxbluelabs.excelrtd", , "21422436","@bh,EURGBP,h4,close,2")</f>
        <v>0.85172000000000003</v>
      </c>
      <c r="K4" s="34">
        <f>RTD("fxbluelabs.excelrtd", , "21422436","@bh,EURCHF,h4,close,2")</f>
        <v>0.94874999999999998</v>
      </c>
      <c r="L4" s="35">
        <f>RTD("fxbluelabs.excelrtd", , "21422436","@bh,EURJPY,h4,close,2")</f>
        <v>161.72900000000001</v>
      </c>
      <c r="M4" s="34">
        <f>RTD("fxbluelabs.excelrtd", , "21422436","@bh,EURAUD,h4,close,2")</f>
        <v>1.6544399999999999</v>
      </c>
      <c r="N4" s="34">
        <f>RTD("fxbluelabs.excelrtd", , "21422436","@bh,EURNZD,h4,close,2")</f>
        <v>1.81151</v>
      </c>
      <c r="O4" s="34">
        <f>RTD("fxbluelabs.excelrtd", , "21422436","@bh,GBPUSD,h4,close,2")</f>
        <v>1.3083899999999999</v>
      </c>
      <c r="P4" s="34">
        <f>RTD("fxbluelabs.excelrtd", , "21422436","@bh,GBPAUD,h4,close,2")</f>
        <v>1.9424999999999999</v>
      </c>
      <c r="Q4" s="34">
        <f>RTD("fxbluelabs.excelrtd", , "21422436","@bh,GBPNZD,h4,close,2")</f>
        <v>2.1269499999999999</v>
      </c>
      <c r="R4" s="34">
        <f>RTD("fxbluelabs.excelrtd", , "21422436","@bh,GBPCAD,h4,close,2")</f>
        <v>1.7775700000000001</v>
      </c>
      <c r="S4" s="34">
        <f>RTD("fxbluelabs.excelrtd", , "21422436","@bh,GBPCHF,h4,close,2")</f>
        <v>1.1138399999999999</v>
      </c>
      <c r="T4" s="35">
        <f>RTD("fxbluelabs.excelrtd", , "21422436","@bh,GBPJPY,h4,close,2")</f>
        <v>189.863</v>
      </c>
      <c r="U4" s="35">
        <f>RTD("fxbluelabs.excelrtd", , "21422436","@bh,NZDJPY,h4,close,2")</f>
        <v>89.275000000000006</v>
      </c>
      <c r="V4" s="34">
        <f>RTD("fxbluelabs.excelrtd", , "21422436","@bh,NZDCHF,h4,close,2")</f>
        <v>0.52371999999999996</v>
      </c>
      <c r="W4" s="34">
        <f>RTD("fxbluelabs.excelrtd", , "21422436","@bh,NZDUSD,h4,close,2")</f>
        <v>0.61512</v>
      </c>
      <c r="X4" s="34">
        <f>RTD("fxbluelabs.excelrtd", , "21422436","@bh,NZDCAD,h4,close,2")</f>
        <v>0.83572000000000002</v>
      </c>
      <c r="Y4" s="35">
        <f>RTD("fxbluelabs.excelrtd", , "21422436","@bh,CADJPY,h4,close,2")</f>
        <v>106.82</v>
      </c>
      <c r="Z4" s="34">
        <f>RTD("fxbluelabs.excelrtd", , "21422436","@bh,CADCHF,h4,close,2")</f>
        <v>0.62663999999999997</v>
      </c>
      <c r="AA4" s="35">
        <f>RTD("fxbluelabs.excelrtd", , "21422436","@bh,CHFJPY,h4,close,2")</f>
        <v>170.46199999999999</v>
      </c>
      <c r="AB4" s="34">
        <f>RTD("fxbluelabs.excelrtd", , "21422436","@bh,USDCAD,h4,close,2")</f>
        <v>1.35877</v>
      </c>
      <c r="AC4" s="34">
        <f>RTD("fxbluelabs.excelrtd", , "21422436","@bh,USDCHF,h4,close,2")</f>
        <v>0.85141</v>
      </c>
      <c r="AD4" s="35">
        <f>RTD("fxbluelabs.excelrtd", , "21422436","@bh,USDJPY,h4,close,2")</f>
        <v>145.13499999999999</v>
      </c>
      <c r="AH4" s="21">
        <v>3</v>
      </c>
      <c r="AI4" s="27">
        <f t="shared" si="29"/>
        <v>-0.12159857640691672</v>
      </c>
      <c r="AJ4" s="27">
        <f t="shared" si="29"/>
        <v>-6.9362684700973259E-2</v>
      </c>
      <c r="AK4" s="27">
        <f t="shared" si="29"/>
        <v>-0.25814746035956992</v>
      </c>
      <c r="AL4" s="27">
        <f t="shared" si="29"/>
        <v>-0.16538997214484791</v>
      </c>
      <c r="AM4" s="27">
        <f t="shared" si="29"/>
        <v>-0.1167905519717973</v>
      </c>
      <c r="AN4" s="27">
        <f>IF(H4=0,0,(H4-H5)*100/H5)</f>
        <v>-3.8572979179555461E-2</v>
      </c>
      <c r="AO4" s="27">
        <f t="shared" si="29"/>
        <v>-3.5655096367801134E-2</v>
      </c>
      <c r="AP4" s="27">
        <f t="shared" si="29"/>
        <v>1.0567969658188943E-2</v>
      </c>
      <c r="AQ4" s="27">
        <f t="shared" si="29"/>
        <v>-8.3198180171458636E-2</v>
      </c>
      <c r="AR4" s="27">
        <f t="shared" si="29"/>
        <v>-0.17344608357507407</v>
      </c>
      <c r="AS4" s="27">
        <f t="shared" si="29"/>
        <v>8.1665245086472146E-2</v>
      </c>
      <c r="AT4" s="27">
        <f t="shared" si="29"/>
        <v>1.2698202376217507E-2</v>
      </c>
      <c r="AU4" s="27">
        <f t="shared" si="29"/>
        <v>-4.7364038471827179E-2</v>
      </c>
      <c r="AV4" s="27">
        <f t="shared" si="29"/>
        <v>7.6764158865744711E-2</v>
      </c>
      <c r="AW4" s="27">
        <f t="shared" si="29"/>
        <v>7.9933044320419332E-3</v>
      </c>
      <c r="AX4" s="27">
        <f t="shared" si="29"/>
        <v>-4.0488334298670742E-2</v>
      </c>
      <c r="AY4" s="27">
        <f t="shared" si="0"/>
        <v>-8.7906567876426769E-2</v>
      </c>
      <c r="AZ4" s="27">
        <f t="shared" si="0"/>
        <v>-0.18190516747367561</v>
      </c>
      <c r="BA4" s="27">
        <f t="shared" si="0"/>
        <v>-0.1900609312985494</v>
      </c>
      <c r="BB4" s="27">
        <f t="shared" si="0"/>
        <v>-9.5379802373060152E-2</v>
      </c>
      <c r="BC4" s="27">
        <f t="shared" si="0"/>
        <v>-5.199532042115998E-2</v>
      </c>
      <c r="BD4" s="27">
        <f t="shared" si="0"/>
        <v>-4.7840022963205754E-2</v>
      </c>
      <c r="BE4" s="27">
        <f t="shared" si="0"/>
        <v>-0.14302674506651752</v>
      </c>
      <c r="BF4" s="27">
        <f t="shared" si="0"/>
        <v>-5.1039938752071419E-2</v>
      </c>
      <c r="BG4" s="27">
        <f t="shared" si="0"/>
        <v>-9.0261171285239819E-2</v>
      </c>
      <c r="BH4" s="27">
        <f t="shared" si="0"/>
        <v>4.4159533675286839E-3</v>
      </c>
      <c r="BI4" s="27">
        <f t="shared" si="0"/>
        <v>-4.4611934866580605E-2</v>
      </c>
      <c r="BJ4" s="27">
        <f t="shared" si="0"/>
        <v>-0.13692597740378182</v>
      </c>
      <c r="BN4">
        <v>3</v>
      </c>
      <c r="BO4" s="28">
        <f t="shared" si="30"/>
        <v>1.8221811567877915</v>
      </c>
      <c r="BP4" s="28">
        <f t="shared" si="1"/>
        <v>-0.85796825626082562</v>
      </c>
      <c r="BQ4" s="28">
        <f t="shared" si="2"/>
        <v>-0.75959502827455183</v>
      </c>
      <c r="BR4" s="28">
        <f t="shared" si="3"/>
        <v>-0.53531705302327071</v>
      </c>
      <c r="BS4" s="28">
        <f t="shared" si="4"/>
        <v>0.76271007111664191</v>
      </c>
      <c r="BT4" s="28">
        <f t="shared" si="5"/>
        <v>1.5133809271455467</v>
      </c>
      <c r="BU4" s="28">
        <f t="shared" si="6"/>
        <v>0.4526092777972861</v>
      </c>
      <c r="BV4" s="28">
        <f t="shared" si="7"/>
        <v>-0.18076215201219312</v>
      </c>
      <c r="BW4" s="28">
        <f t="shared" si="8"/>
        <v>-0.84477384243738096</v>
      </c>
      <c r="BX4" s="28">
        <f t="shared" si="9"/>
        <v>-1.0722150195940978</v>
      </c>
      <c r="BY4" s="28">
        <f t="shared" si="10"/>
        <v>-0.30650846462995074</v>
      </c>
      <c r="BZ4" s="28">
        <f t="shared" si="11"/>
        <v>-1.1671967348423853</v>
      </c>
      <c r="CA4" s="28">
        <f t="shared" si="12"/>
        <v>1.7027660329756449</v>
      </c>
      <c r="CB4" s="28">
        <f t="shared" si="13"/>
        <v>-0.12079146641770132</v>
      </c>
      <c r="CC4" s="28">
        <f t="shared" si="14"/>
        <v>-0.97923924570663434</v>
      </c>
      <c r="CD4" s="28">
        <f t="shared" si="15"/>
        <v>0.63865273329173655</v>
      </c>
      <c r="CE4" s="28">
        <f t="shared" si="16"/>
        <v>-0.67008408752906279</v>
      </c>
      <c r="CF4" s="28">
        <f t="shared" si="17"/>
        <v>-0.89934344970825009</v>
      </c>
      <c r="CG4" s="28">
        <f t="shared" si="18"/>
        <v>0.10576457383139015</v>
      </c>
      <c r="CH4" s="28">
        <f t="shared" si="19"/>
        <v>0.33300709346472118</v>
      </c>
      <c r="CI4" s="28">
        <f t="shared" si="20"/>
        <v>2.6959334279620313</v>
      </c>
      <c r="CJ4" s="28">
        <f t="shared" si="21"/>
        <v>1.6341289590517809</v>
      </c>
      <c r="CK4" s="28">
        <f t="shared" si="22"/>
        <v>-1.5241348620130541</v>
      </c>
      <c r="CL4" s="28">
        <f t="shared" si="23"/>
        <v>-1.2992305989510311</v>
      </c>
      <c r="CM4" s="28">
        <f t="shared" si="24"/>
        <v>-0.22832375388700799</v>
      </c>
      <c r="CN4" s="28">
        <f t="shared" si="25"/>
        <v>-1.05335127477942</v>
      </c>
      <c r="CO4" s="28">
        <f t="shared" si="26"/>
        <v>-2.3578045196194428</v>
      </c>
      <c r="CP4" s="28">
        <f t="shared" si="27"/>
        <v>-2.5837077734345342</v>
      </c>
      <c r="CU4" s="21">
        <v>3</v>
      </c>
      <c r="CV4" s="29">
        <f t="shared" si="31"/>
        <v>-1.6054660085731751</v>
      </c>
      <c r="CW4" s="29">
        <f t="shared" si="32"/>
        <v>-13.729125112704413</v>
      </c>
      <c r="CX4" s="29">
        <f t="shared" si="33"/>
        <v>-5.2581152274421106</v>
      </c>
      <c r="CY4" s="29">
        <f t="shared" si="34"/>
        <v>3.8466486552574284</v>
      </c>
      <c r="CZ4" s="29">
        <f t="shared" si="35"/>
        <v>-0.147277331082074</v>
      </c>
      <c r="DA4" s="29">
        <f t="shared" si="36"/>
        <v>0.85931082139343729</v>
      </c>
      <c r="DB4" s="29">
        <f t="shared" si="37"/>
        <v>7.7732382911197693</v>
      </c>
      <c r="DC4" s="29">
        <f t="shared" si="38"/>
        <v>6.9615553130801064</v>
      </c>
      <c r="DF4" s="30">
        <v>3</v>
      </c>
      <c r="DG4" s="31">
        <f t="shared" ref="DG4:DG28" si="60">CN4</f>
        <v>-1.05335127477942</v>
      </c>
      <c r="DH4" s="31">
        <f t="shared" si="39"/>
        <v>0.4526092777972861</v>
      </c>
      <c r="DI4" s="31">
        <f t="shared" si="40"/>
        <v>-2.3578045196194428</v>
      </c>
      <c r="DJ4" s="31">
        <f t="shared" si="41"/>
        <v>-0.84477384243738096</v>
      </c>
      <c r="DK4" s="31">
        <f t="shared" si="42"/>
        <v>-1.7027660329756449</v>
      </c>
      <c r="DL4" s="31">
        <f t="shared" si="43"/>
        <v>-0.18076215201219312</v>
      </c>
      <c r="DM4" s="31">
        <f t="shared" si="44"/>
        <v>-1.8221811567877915</v>
      </c>
      <c r="DN4" s="31">
        <f t="shared" si="45"/>
        <v>-0.30650846462995074</v>
      </c>
      <c r="DO4" s="31">
        <f t="shared" si="46"/>
        <v>-2.6959334279620313</v>
      </c>
      <c r="DP4" s="31">
        <f t="shared" si="47"/>
        <v>-1.1671967348423853</v>
      </c>
      <c r="DQ4" s="31">
        <f t="shared" si="48"/>
        <v>-2.5837077734345342</v>
      </c>
      <c r="DR4" s="31">
        <f t="shared" si="49"/>
        <v>-1.0722150195940978</v>
      </c>
      <c r="DS4" s="49">
        <f t="shared" si="50"/>
        <v>-1.5133809271455467</v>
      </c>
      <c r="DT4" s="49">
        <f t="shared" si="51"/>
        <v>1.5133809271455467</v>
      </c>
      <c r="DX4">
        <v>3</v>
      </c>
      <c r="DY4" s="19">
        <f t="shared" si="52"/>
        <v>12.123659104131237</v>
      </c>
      <c r="EJ4" t="str">
        <f>"-"</f>
        <v>-</v>
      </c>
      <c r="EM4" s="21">
        <v>3</v>
      </c>
      <c r="EN4" s="16">
        <f t="shared" si="53"/>
        <v>-1.6054660085731751</v>
      </c>
      <c r="EO4" s="16">
        <f t="shared" si="28"/>
        <v>-13.729125112704413</v>
      </c>
      <c r="EP4" s="16">
        <f t="shared" si="54"/>
        <v>-5.2581152274421106</v>
      </c>
      <c r="EQ4" s="16">
        <f t="shared" si="55"/>
        <v>3.8466486552574284</v>
      </c>
      <c r="ER4" s="16">
        <f t="shared" si="56"/>
        <v>-0.147277331082074</v>
      </c>
      <c r="ES4" s="16">
        <f t="shared" si="57"/>
        <v>0.85931082139343729</v>
      </c>
      <c r="ET4" s="16">
        <f t="shared" si="58"/>
        <v>7.7732382911197693</v>
      </c>
      <c r="EU4" s="16">
        <f t="shared" si="59"/>
        <v>6.9615553130801064</v>
      </c>
      <c r="EW4" s="20">
        <f>LARGE($EN$2:$EU$2,3)</f>
        <v>2.5349526631211283</v>
      </c>
      <c r="EX4" s="39" t="str">
        <f>INDEX(EN1:EU1,MATCH(EW4,EN2:EU2,0))</f>
        <v>JPY</v>
      </c>
      <c r="FK4" s="20"/>
      <c r="FL4" s="20"/>
    </row>
    <row r="5" spans="1:170" ht="14.4" thickBot="1" x14ac:dyDescent="0.35">
      <c r="A5" s="37" t="s">
        <v>51</v>
      </c>
      <c r="B5" s="38">
        <v>3</v>
      </c>
      <c r="C5" s="34">
        <f>RTD("fxbluelabs.excelrtd", , "21422436","@bh,AUDUSD,h4,close,3")</f>
        <v>0.67435</v>
      </c>
      <c r="D5" s="34">
        <f>RTD("fxbluelabs.excelrtd", , "21422436","@bh,AUDNZD,h4,close,3")</f>
        <v>1.0956900000000001</v>
      </c>
      <c r="E5" s="35">
        <f>RTD("fxbluelabs.excelrtd", , "21422436","@bh,AUDJPY,h4,close,3")</f>
        <v>98.006</v>
      </c>
      <c r="F5" s="34">
        <f>RTD("fxbluelabs.excelrtd", , "21422436","@bh,AUDCHF,h4,close,3")</f>
        <v>0.57440000000000002</v>
      </c>
      <c r="G5" s="34">
        <f>RTD("fxbluelabs.excelrtd", , "21422436","@bh,AUDCAD,h4,close,3")</f>
        <v>0.91617000000000004</v>
      </c>
      <c r="H5" s="34">
        <f>RTD("fxbluelabs.excelrtd", , "21422436","@bh,EURUSD,h4,close,3")</f>
        <v>1.11477</v>
      </c>
      <c r="I5" s="34">
        <f>RTD("fxbluelabs.excelrtd", , "21422436","@bh,EURCAD,h4,close,3")</f>
        <v>1.51451</v>
      </c>
      <c r="J5" s="34">
        <f>RTD("fxbluelabs.excelrtd", , "21422436","@bh,EURGBP,h4,close,3")</f>
        <v>0.85163</v>
      </c>
      <c r="K5" s="34">
        <f>RTD("fxbluelabs.excelrtd", , "21422436","@bh,EURCHF,h4,close,3")</f>
        <v>0.94954000000000005</v>
      </c>
      <c r="L5" s="35">
        <f>RTD("fxbluelabs.excelrtd", , "21422436","@bh,EURJPY,h4,close,3")</f>
        <v>162.01</v>
      </c>
      <c r="M5" s="34">
        <f>RTD("fxbluelabs.excelrtd", , "21422436","@bh,EURAUD,h4,close,3")</f>
        <v>1.6530899999999999</v>
      </c>
      <c r="N5" s="34">
        <f>RTD("fxbluelabs.excelrtd", , "21422436","@bh,EURNZD,h4,close,3")</f>
        <v>1.81128</v>
      </c>
      <c r="O5" s="34">
        <f>RTD("fxbluelabs.excelrtd", , "21422436","@bh,GBPUSD,h4,close,3")</f>
        <v>1.30901</v>
      </c>
      <c r="P5" s="34">
        <f>RTD("fxbluelabs.excelrtd", , "21422436","@bh,GBPAUD,h4,close,3")</f>
        <v>1.9410099999999999</v>
      </c>
      <c r="Q5" s="34">
        <f>RTD("fxbluelabs.excelrtd", , "21422436","@bh,GBPNZD,h4,close,3")</f>
        <v>2.1267800000000001</v>
      </c>
      <c r="R5" s="34">
        <f>RTD("fxbluelabs.excelrtd", , "21422436","@bh,GBPCAD,h4,close,3")</f>
        <v>1.7782899999999999</v>
      </c>
      <c r="S5" s="34">
        <f>RTD("fxbluelabs.excelrtd", , "21422436","@bh,GBPCHF,h4,close,3")</f>
        <v>1.1148199999999999</v>
      </c>
      <c r="T5" s="35">
        <f>RTD("fxbluelabs.excelrtd", , "21422436","@bh,GBPJPY,h4,close,3")</f>
        <v>190.209</v>
      </c>
      <c r="U5" s="35">
        <f>RTD("fxbluelabs.excelrtd", , "21422436","@bh,NZDJPY,h4,close,3")</f>
        <v>89.444999999999993</v>
      </c>
      <c r="V5" s="34">
        <f>RTD("fxbluelabs.excelrtd", , "21422436","@bh,NZDCHF,h4,close,3")</f>
        <v>0.52422000000000002</v>
      </c>
      <c r="W5" s="34">
        <f>RTD("fxbluelabs.excelrtd", , "21422436","@bh,NZDUSD,h4,close,3")</f>
        <v>0.61543999999999999</v>
      </c>
      <c r="X5" s="34">
        <f>RTD("fxbluelabs.excelrtd", , "21422436","@bh,NZDCAD,h4,close,3")</f>
        <v>0.83611999999999997</v>
      </c>
      <c r="Y5" s="35">
        <f>RTD("fxbluelabs.excelrtd", , "21422436","@bh,CADJPY,h4,close,3")</f>
        <v>106.973</v>
      </c>
      <c r="Z5" s="34">
        <f>RTD("fxbluelabs.excelrtd", , "21422436","@bh,CADCHF,h4,close,3")</f>
        <v>0.62695999999999996</v>
      </c>
      <c r="AA5" s="35">
        <f>RTD("fxbluelabs.excelrtd", , "21422436","@bh,CHFJPY,h4,close,3")</f>
        <v>170.61600000000001</v>
      </c>
      <c r="AB5" s="34">
        <f>RTD("fxbluelabs.excelrtd", , "21422436","@bh,USDCAD,h4,close,3")</f>
        <v>1.3587100000000001</v>
      </c>
      <c r="AC5" s="34">
        <f>RTD("fxbluelabs.excelrtd", , "21422436","@bh,USDCHF,h4,close,3")</f>
        <v>0.85179000000000005</v>
      </c>
      <c r="AD5" s="35">
        <f>RTD("fxbluelabs.excelrtd", , "21422436","@bh,USDJPY,h4,close,3")</f>
        <v>145.334</v>
      </c>
      <c r="AH5" s="21">
        <v>4</v>
      </c>
      <c r="AI5" s="22">
        <f t="shared" si="29"/>
        <v>-8.8966652333074825E-3</v>
      </c>
      <c r="AJ5" s="22">
        <f t="shared" si="29"/>
        <v>3.0127081507464536E-2</v>
      </c>
      <c r="AK5" s="22">
        <f t="shared" si="29"/>
        <v>3.3682749328898011E-2</v>
      </c>
      <c r="AL5" s="22">
        <f t="shared" si="29"/>
        <v>8.7054931661869062E-3</v>
      </c>
      <c r="AM5" s="22">
        <f t="shared" si="29"/>
        <v>-5.8906306247339391E-2</v>
      </c>
      <c r="AN5" s="22">
        <f t="shared" si="29"/>
        <v>-1.9731118664731252E-2</v>
      </c>
      <c r="AO5" s="22">
        <f t="shared" si="29"/>
        <v>-7.1918712061232209E-2</v>
      </c>
      <c r="AP5" s="22">
        <f t="shared" si="29"/>
        <v>-1.4088641033168064E-2</v>
      </c>
      <c r="AQ5" s="22">
        <f t="shared" si="29"/>
        <v>-7.3714472256930187E-3</v>
      </c>
      <c r="AR5" s="22">
        <f t="shared" si="29"/>
        <v>1.7903334341679802E-2</v>
      </c>
      <c r="AS5" s="22">
        <f t="shared" si="29"/>
        <v>-7.2586059847278934E-3</v>
      </c>
      <c r="AT5" s="22">
        <f t="shared" si="29"/>
        <v>1.2699815024430714E-2</v>
      </c>
      <c r="AU5" s="22">
        <f t="shared" si="29"/>
        <v>-6.1111153549473296E-3</v>
      </c>
      <c r="AV5" s="22">
        <f t="shared" si="29"/>
        <v>5.1519835135721104E-4</v>
      </c>
      <c r="AW5" s="22">
        <f t="shared" si="29"/>
        <v>3.1512950882125024E-2</v>
      </c>
      <c r="AX5" s="22">
        <f t="shared" si="29"/>
        <v>-6.4627073686102612E-2</v>
      </c>
      <c r="AY5" s="22">
        <f t="shared" si="0"/>
        <v>-5.3817451205664304E-3</v>
      </c>
      <c r="AZ5" s="22">
        <f t="shared" si="0"/>
        <v>1.8930132037671681E-2</v>
      </c>
      <c r="BA5" s="22">
        <f t="shared" si="0"/>
        <v>4.3621233474249226E-2</v>
      </c>
      <c r="BB5" s="22">
        <f t="shared" si="0"/>
        <v>9.538890054752178E-3</v>
      </c>
      <c r="BC5" s="22">
        <f t="shared" si="0"/>
        <v>-4.2228357966548315E-2</v>
      </c>
      <c r="BD5" s="22">
        <f t="shared" si="0"/>
        <v>-8.6037952296741785E-2</v>
      </c>
      <c r="BE5" s="22">
        <f t="shared" si="0"/>
        <v>0.10012539067617326</v>
      </c>
      <c r="BF5" s="22">
        <f t="shared" si="0"/>
        <v>7.5021149579397983E-2</v>
      </c>
      <c r="BG5" s="22">
        <f t="shared" si="0"/>
        <v>3.0487089890024226E-2</v>
      </c>
      <c r="BH5" s="22">
        <f t="shared" si="0"/>
        <v>-4.6346020863059161E-2</v>
      </c>
      <c r="BI5" s="22">
        <f t="shared" si="0"/>
        <v>1.4089964422840887E-2</v>
      </c>
      <c r="BJ5" s="22">
        <f t="shared" si="0"/>
        <v>4.2678561594809615E-2</v>
      </c>
      <c r="BN5">
        <v>4</v>
      </c>
      <c r="BO5" s="23">
        <f t="shared" si="30"/>
        <v>1.9437797331947082</v>
      </c>
      <c r="BP5" s="23">
        <f t="shared" si="1"/>
        <v>-0.78860557155985234</v>
      </c>
      <c r="BQ5" s="23">
        <f t="shared" si="2"/>
        <v>-0.50144756791498191</v>
      </c>
      <c r="BR5" s="23">
        <f t="shared" si="3"/>
        <v>-0.3699270808784228</v>
      </c>
      <c r="BS5" s="23">
        <f t="shared" si="4"/>
        <v>0.87950062308843924</v>
      </c>
      <c r="BT5" s="23">
        <f t="shared" si="5"/>
        <v>1.5519539063251022</v>
      </c>
      <c r="BU5" s="23">
        <f t="shared" si="6"/>
        <v>0.48826437416508728</v>
      </c>
      <c r="BV5" s="23">
        <f t="shared" si="7"/>
        <v>-0.19133012167038202</v>
      </c>
      <c r="BW5" s="23">
        <f t="shared" si="8"/>
        <v>-0.76157566226592244</v>
      </c>
      <c r="BX5" s="23">
        <f t="shared" si="9"/>
        <v>-0.89876893601902363</v>
      </c>
      <c r="BY5" s="23">
        <f t="shared" si="10"/>
        <v>-0.38817370971642284</v>
      </c>
      <c r="BZ5" s="23">
        <f t="shared" si="11"/>
        <v>-1.1798949372186027</v>
      </c>
      <c r="CA5" s="23">
        <f t="shared" si="12"/>
        <v>1.7501300714474721</v>
      </c>
      <c r="CB5" s="23">
        <f t="shared" si="13"/>
        <v>-0.19755562528344608</v>
      </c>
      <c r="CC5" s="23">
        <f t="shared" si="14"/>
        <v>-0.98723255013867628</v>
      </c>
      <c r="CD5" s="23">
        <f t="shared" si="15"/>
        <v>0.67914106759040727</v>
      </c>
      <c r="CE5" s="23">
        <f t="shared" si="16"/>
        <v>-0.58217751965263598</v>
      </c>
      <c r="CF5" s="23">
        <f t="shared" si="17"/>
        <v>-0.71743828223457451</v>
      </c>
      <c r="CG5" s="23">
        <f t="shared" si="18"/>
        <v>0.2958255051299396</v>
      </c>
      <c r="CH5" s="23">
        <f t="shared" si="19"/>
        <v>0.42838689583778133</v>
      </c>
      <c r="CI5" s="23">
        <f t="shared" si="20"/>
        <v>2.7479287483831913</v>
      </c>
      <c r="CJ5" s="23">
        <f t="shared" si="21"/>
        <v>1.6819689820149866</v>
      </c>
      <c r="CK5" s="23">
        <f t="shared" si="22"/>
        <v>-1.3811081169465369</v>
      </c>
      <c r="CL5" s="23">
        <f t="shared" si="23"/>
        <v>-1.2481906601989594</v>
      </c>
      <c r="CM5" s="23">
        <f t="shared" si="24"/>
        <v>-0.13806258260176821</v>
      </c>
      <c r="CN5" s="23">
        <f t="shared" si="25"/>
        <v>-1.0577672281469488</v>
      </c>
      <c r="CO5" s="23">
        <f t="shared" si="26"/>
        <v>-2.313192584752862</v>
      </c>
      <c r="CP5" s="23">
        <f t="shared" si="27"/>
        <v>-2.4467817960307521</v>
      </c>
      <c r="CU5" s="21">
        <v>4</v>
      </c>
      <c r="CV5" s="24">
        <f t="shared" si="31"/>
        <v>-1.379525086400164</v>
      </c>
      <c r="CW5" s="24">
        <f t="shared" si="32"/>
        <v>-13.811534068281036</v>
      </c>
      <c r="CX5" s="24">
        <f t="shared" si="33"/>
        <v>-5.3004065958574689</v>
      </c>
      <c r="CY5" s="24">
        <f t="shared" si="34"/>
        <v>3.4604233691102939</v>
      </c>
      <c r="CZ5" s="24">
        <f t="shared" si="35"/>
        <v>0.13619728339892859</v>
      </c>
      <c r="DA5" s="24">
        <f t="shared" si="36"/>
        <v>1.7490294709297594</v>
      </c>
      <c r="DB5" s="24">
        <f t="shared" si="37"/>
        <v>8.1098431902830299</v>
      </c>
      <c r="DC5" s="24">
        <f t="shared" si="38"/>
        <v>5.7877817766176971</v>
      </c>
      <c r="DF5" s="25">
        <v>4</v>
      </c>
      <c r="DG5" s="26">
        <f t="shared" si="60"/>
        <v>-1.0577672281469488</v>
      </c>
      <c r="DH5" s="26">
        <f t="shared" si="39"/>
        <v>0.48826437416508728</v>
      </c>
      <c r="DI5" s="26">
        <f t="shared" si="40"/>
        <v>-2.313192584752862</v>
      </c>
      <c r="DJ5" s="26">
        <f t="shared" si="41"/>
        <v>-0.76157566226592244</v>
      </c>
      <c r="DK5" s="26">
        <f t="shared" si="42"/>
        <v>-1.7501300714474721</v>
      </c>
      <c r="DL5" s="26">
        <f t="shared" si="43"/>
        <v>-0.19133012167038202</v>
      </c>
      <c r="DM5" s="26">
        <f t="shared" si="44"/>
        <v>-1.9437797331947082</v>
      </c>
      <c r="DN5" s="26">
        <f t="shared" si="45"/>
        <v>-0.38817370971642284</v>
      </c>
      <c r="DO5" s="26">
        <f t="shared" si="46"/>
        <v>-2.7479287483831913</v>
      </c>
      <c r="DP5" s="26">
        <f t="shared" si="47"/>
        <v>-1.1798949372186027</v>
      </c>
      <c r="DQ5" s="26">
        <f t="shared" si="48"/>
        <v>-2.4467817960307521</v>
      </c>
      <c r="DR5" s="26">
        <f t="shared" si="49"/>
        <v>-0.89876893601902363</v>
      </c>
      <c r="DS5" s="47">
        <f t="shared" si="50"/>
        <v>-1.5519539063251022</v>
      </c>
      <c r="DT5" s="47">
        <f t="shared" si="51"/>
        <v>1.5519539063251022</v>
      </c>
      <c r="DX5">
        <v>4</v>
      </c>
      <c r="DY5" s="19">
        <f t="shared" si="52"/>
        <v>12.432008981880871</v>
      </c>
      <c r="EM5" s="21">
        <v>4</v>
      </c>
      <c r="EN5" s="16">
        <f t="shared" si="53"/>
        <v>-1.379525086400164</v>
      </c>
      <c r="EO5" s="16">
        <f t="shared" si="28"/>
        <v>-13.811534068281036</v>
      </c>
      <c r="EP5" s="16">
        <f t="shared" si="54"/>
        <v>-5.3004065958574689</v>
      </c>
      <c r="EQ5" s="16">
        <f t="shared" si="55"/>
        <v>3.4604233691102939</v>
      </c>
      <c r="ER5" s="16">
        <f t="shared" si="56"/>
        <v>0.13619728339892859</v>
      </c>
      <c r="ES5" s="16">
        <f t="shared" si="57"/>
        <v>1.7490294709297594</v>
      </c>
      <c r="ET5" s="16">
        <f t="shared" si="58"/>
        <v>8.1098431902830299</v>
      </c>
      <c r="EU5" s="16">
        <f t="shared" si="59"/>
        <v>5.7877817766176971</v>
      </c>
      <c r="EW5" s="20">
        <f>LARGE($EN$2:$EU$2,4)</f>
        <v>1.9246426533636332</v>
      </c>
      <c r="EX5" s="39" t="str">
        <f>INDEX(EN1:EU1,MATCH(EW5,EN2:EU2,0))</f>
        <v>GBP</v>
      </c>
      <c r="FK5" s="20"/>
      <c r="FL5" s="20"/>
    </row>
    <row r="6" spans="1:170" ht="14.4" thickBot="1" x14ac:dyDescent="0.35">
      <c r="A6" s="37" t="s">
        <v>51</v>
      </c>
      <c r="B6" s="38">
        <v>4</v>
      </c>
      <c r="C6" s="34">
        <f>RTD("fxbluelabs.excelrtd", , "21422436","@bh,AUDUSD,h4,close,4")</f>
        <v>0.67440999999999995</v>
      </c>
      <c r="D6" s="34">
        <f>RTD("fxbluelabs.excelrtd", , "21422436","@bh,AUDNZD,h4,close,4")</f>
        <v>1.0953599999999999</v>
      </c>
      <c r="E6" s="35">
        <f>RTD("fxbluelabs.excelrtd", , "21422436","@bh,AUDJPY,h4,close,4")</f>
        <v>97.972999999999999</v>
      </c>
      <c r="F6" s="34">
        <f>RTD("fxbluelabs.excelrtd", , "21422436","@bh,AUDCHF,h4,close,4")</f>
        <v>0.57435000000000003</v>
      </c>
      <c r="G6" s="34">
        <f>RTD("fxbluelabs.excelrtd", , "21422436","@bh,AUDCAD,h4,close,4")</f>
        <v>0.91671000000000002</v>
      </c>
      <c r="H6" s="34">
        <f>RTD("fxbluelabs.excelrtd", , "21422436","@bh,EURUSD,h4,close,4")</f>
        <v>1.1149899999999999</v>
      </c>
      <c r="I6" s="34">
        <f>RTD("fxbluelabs.excelrtd", , "21422436","@bh,EURCAD,h4,close,4")</f>
        <v>1.5156000000000001</v>
      </c>
      <c r="J6" s="34">
        <f>RTD("fxbluelabs.excelrtd", , "21422436","@bh,EURGBP,h4,close,4")</f>
        <v>0.85175000000000001</v>
      </c>
      <c r="K6" s="34">
        <f>RTD("fxbluelabs.excelrtd", , "21422436","@bh,EURCHF,h4,close,4")</f>
        <v>0.94960999999999995</v>
      </c>
      <c r="L6" s="35">
        <f>RTD("fxbluelabs.excelrtd", , "21422436","@bh,EURJPY,h4,close,4")</f>
        <v>161.98099999999999</v>
      </c>
      <c r="M6" s="34">
        <f>RTD("fxbluelabs.excelrtd", , "21422436","@bh,EURAUD,h4,close,4")</f>
        <v>1.6532100000000001</v>
      </c>
      <c r="N6" s="34">
        <f>RTD("fxbluelabs.excelrtd", , "21422436","@bh,EURNZD,h4,close,4")</f>
        <v>1.81105</v>
      </c>
      <c r="O6" s="34">
        <f>RTD("fxbluelabs.excelrtd", , "21422436","@bh,GBPUSD,h4,close,4")</f>
        <v>1.3090900000000001</v>
      </c>
      <c r="P6" s="34">
        <f>RTD("fxbluelabs.excelrtd", , "21422436","@bh,GBPAUD,h4,close,4")</f>
        <v>1.9410000000000001</v>
      </c>
      <c r="Q6" s="34">
        <f>RTD("fxbluelabs.excelrtd", , "21422436","@bh,GBPNZD,h4,close,4")</f>
        <v>2.1261100000000002</v>
      </c>
      <c r="R6" s="34">
        <f>RTD("fxbluelabs.excelrtd", , "21422436","@bh,GBPCAD,h4,close,4")</f>
        <v>1.7794399999999999</v>
      </c>
      <c r="S6" s="34">
        <f>RTD("fxbluelabs.excelrtd", , "21422436","@bh,GBPCHF,h4,close,4")</f>
        <v>1.1148800000000001</v>
      </c>
      <c r="T6" s="35">
        <f>RTD("fxbluelabs.excelrtd", , "21422436","@bh,GBPJPY,h4,close,4")</f>
        <v>190.173</v>
      </c>
      <c r="U6" s="35">
        <f>RTD("fxbluelabs.excelrtd", , "21422436","@bh,NZDJPY,h4,close,4")</f>
        <v>89.406000000000006</v>
      </c>
      <c r="V6" s="34">
        <f>RTD("fxbluelabs.excelrtd", , "21422436","@bh,NZDCHF,h4,close,4")</f>
        <v>0.52417000000000002</v>
      </c>
      <c r="W6" s="34">
        <f>RTD("fxbluelabs.excelrtd", , "21422436","@bh,NZDUSD,h4,close,4")</f>
        <v>0.61570000000000003</v>
      </c>
      <c r="X6" s="34">
        <f>RTD("fxbluelabs.excelrtd", , "21422436","@bh,NZDCAD,h4,close,4")</f>
        <v>0.83684000000000003</v>
      </c>
      <c r="Y6" s="35">
        <f>RTD("fxbluelabs.excelrtd", , "21422436","@bh,CADJPY,h4,close,4")</f>
        <v>106.866</v>
      </c>
      <c r="Z6" s="34">
        <f>RTD("fxbluelabs.excelrtd", , "21422436","@bh,CADCHF,h4,close,4")</f>
        <v>0.62648999999999999</v>
      </c>
      <c r="AA6" s="35">
        <f>RTD("fxbluelabs.excelrtd", , "21422436","@bh,CHFJPY,h4,close,4")</f>
        <v>170.56399999999999</v>
      </c>
      <c r="AB6" s="34">
        <f>RTD("fxbluelabs.excelrtd", , "21422436","@bh,USDCAD,h4,close,4")</f>
        <v>1.35934</v>
      </c>
      <c r="AC6" s="34">
        <f>RTD("fxbluelabs.excelrtd", , "21422436","@bh,USDCHF,h4,close,4")</f>
        <v>0.85167000000000004</v>
      </c>
      <c r="AD6" s="35">
        <f>RTD("fxbluelabs.excelrtd", , "21422436","@bh,USDJPY,h4,close,4")</f>
        <v>145.27199999999999</v>
      </c>
      <c r="AH6" s="13">
        <v>5</v>
      </c>
      <c r="AI6" s="27">
        <f t="shared" si="29"/>
        <v>3.8567084476737665E-2</v>
      </c>
      <c r="AJ6" s="27">
        <f t="shared" si="29"/>
        <v>2.648232533079177E-2</v>
      </c>
      <c r="AK6" s="27">
        <f t="shared" si="29"/>
        <v>9.2969085225060755E-2</v>
      </c>
      <c r="AL6" s="27">
        <f t="shared" si="29"/>
        <v>7.4923334262622224E-2</v>
      </c>
      <c r="AM6" s="27">
        <f t="shared" si="29"/>
        <v>6.1125361567429454E-2</v>
      </c>
      <c r="AN6" s="27">
        <f t="shared" si="29"/>
        <v>3.050284842775822E-2</v>
      </c>
      <c r="AO6" s="27">
        <f t="shared" si="29"/>
        <v>5.5454329398713448E-2</v>
      </c>
      <c r="AP6" s="27">
        <f t="shared" si="29"/>
        <v>2.1137428514386131E-2</v>
      </c>
      <c r="AQ6" s="27">
        <f t="shared" si="29"/>
        <v>7.3768850575915826E-2</v>
      </c>
      <c r="AR6" s="27">
        <f t="shared" si="29"/>
        <v>8.9596875849614302E-2</v>
      </c>
      <c r="AS6" s="27">
        <f t="shared" si="29"/>
        <v>-1.0281967847681929E-2</v>
      </c>
      <c r="AT6" s="27">
        <f t="shared" si="29"/>
        <v>2.5958532624903094E-2</v>
      </c>
      <c r="AU6" s="27">
        <f t="shared" si="29"/>
        <v>1.2223724721731492E-2</v>
      </c>
      <c r="AV6" s="27">
        <f t="shared" si="29"/>
        <v>-2.9872578003482985E-2</v>
      </c>
      <c r="AW6" s="27">
        <f t="shared" si="29"/>
        <v>-2.8219756651607811E-3</v>
      </c>
      <c r="AX6" s="27">
        <f t="shared" si="29"/>
        <v>3.6541694072926956E-2</v>
      </c>
      <c r="AY6" s="27">
        <f t="shared" si="0"/>
        <v>5.0254863952914418E-2</v>
      </c>
      <c r="AZ6" s="27">
        <f t="shared" si="0"/>
        <v>6.5772857383397873E-2</v>
      </c>
      <c r="BA6" s="27">
        <f t="shared" si="0"/>
        <v>3.2446826364736538E-2</v>
      </c>
      <c r="BB6" s="27">
        <f t="shared" si="0"/>
        <v>2.2898578379927294E-2</v>
      </c>
      <c r="BC6" s="27">
        <f t="shared" si="0"/>
        <v>2.11186380103115E-2</v>
      </c>
      <c r="BD6" s="27">
        <f t="shared" si="0"/>
        <v>3.4666188512343848E-2</v>
      </c>
      <c r="BE6" s="27">
        <f t="shared" si="0"/>
        <v>2.5271670457418193E-2</v>
      </c>
      <c r="BF6" s="27">
        <f t="shared" si="0"/>
        <v>7.9816103697073135E-3</v>
      </c>
      <c r="BG6" s="27">
        <f t="shared" si="0"/>
        <v>1.0554337246256542E-2</v>
      </c>
      <c r="BH6" s="27">
        <f t="shared" si="0"/>
        <v>2.3546379008410327E-2</v>
      </c>
      <c r="BI6" s="27">
        <f t="shared" si="0"/>
        <v>3.8762421594198848E-2</v>
      </c>
      <c r="BJ6" s="27">
        <f t="shared" si="0"/>
        <v>5.4410336586460301E-2</v>
      </c>
      <c r="BN6">
        <v>5</v>
      </c>
      <c r="BO6" s="28">
        <f t="shared" si="30"/>
        <v>1.9526763984280155</v>
      </c>
      <c r="BP6" s="28">
        <f t="shared" si="1"/>
        <v>-0.81873265306731668</v>
      </c>
      <c r="BQ6" s="28">
        <f t="shared" si="2"/>
        <v>-0.53513031724387983</v>
      </c>
      <c r="BR6" s="28">
        <f t="shared" si="3"/>
        <v>-0.3786325740446097</v>
      </c>
      <c r="BS6" s="28">
        <f t="shared" si="4"/>
        <v>0.93840692933577863</v>
      </c>
      <c r="BT6" s="28">
        <f t="shared" si="5"/>
        <v>1.5716850249898335</v>
      </c>
      <c r="BU6" s="28">
        <f t="shared" si="6"/>
        <v>0.56018308622631952</v>
      </c>
      <c r="BV6" s="28">
        <f t="shared" si="7"/>
        <v>-0.17724148063721398</v>
      </c>
      <c r="BW6" s="28">
        <f t="shared" si="8"/>
        <v>-0.75420421504022928</v>
      </c>
      <c r="BX6" s="28">
        <f t="shared" si="9"/>
        <v>-0.91667227036070342</v>
      </c>
      <c r="BY6" s="28">
        <f t="shared" si="10"/>
        <v>-0.38091510373169507</v>
      </c>
      <c r="BZ6" s="28">
        <f t="shared" si="11"/>
        <v>-1.1925947522430338</v>
      </c>
      <c r="CA6" s="28">
        <f t="shared" si="12"/>
        <v>1.7562411868024193</v>
      </c>
      <c r="CB6" s="28">
        <f t="shared" si="13"/>
        <v>-0.1980708236348033</v>
      </c>
      <c r="CC6" s="28">
        <f t="shared" si="14"/>
        <v>-1.0187455010208013</v>
      </c>
      <c r="CD6" s="28">
        <f t="shared" si="15"/>
        <v>0.74376814127650992</v>
      </c>
      <c r="CE6" s="28">
        <f t="shared" si="16"/>
        <v>-0.57679577453206965</v>
      </c>
      <c r="CF6" s="28">
        <f t="shared" si="17"/>
        <v>-0.7363684142722462</v>
      </c>
      <c r="CG6" s="28">
        <f t="shared" si="18"/>
        <v>0.25220427165569037</v>
      </c>
      <c r="CH6" s="28">
        <f t="shared" si="19"/>
        <v>0.41884800578302922</v>
      </c>
      <c r="CI6" s="28">
        <f t="shared" si="20"/>
        <v>2.7901571063497399</v>
      </c>
      <c r="CJ6" s="28">
        <f t="shared" si="21"/>
        <v>1.7680069343117284</v>
      </c>
      <c r="CK6" s="28">
        <f t="shared" si="22"/>
        <v>-1.4812335076227099</v>
      </c>
      <c r="CL6" s="28">
        <f t="shared" si="23"/>
        <v>-1.3232118097783574</v>
      </c>
      <c r="CM6" s="28">
        <f t="shared" si="24"/>
        <v>-0.16854967249179231</v>
      </c>
      <c r="CN6" s="28">
        <f t="shared" si="25"/>
        <v>-1.0114212072838897</v>
      </c>
      <c r="CO6" s="28">
        <f t="shared" si="26"/>
        <v>-2.327282549175703</v>
      </c>
      <c r="CP6" s="28">
        <f t="shared" si="27"/>
        <v>-2.4894603576255623</v>
      </c>
      <c r="CU6" s="21">
        <v>5</v>
      </c>
      <c r="CV6" s="29">
        <f t="shared" si="31"/>
        <v>-1.2897597107967225</v>
      </c>
      <c r="CW6" s="29">
        <f t="shared" si="32"/>
        <v>-13.898923830655164</v>
      </c>
      <c r="CX6" s="29">
        <f t="shared" si="33"/>
        <v>-5.8033892012675148</v>
      </c>
      <c r="CY6" s="29">
        <f t="shared" si="34"/>
        <v>3.4495174345177904</v>
      </c>
      <c r="CZ6" s="29">
        <f t="shared" si="35"/>
        <v>0.14727029525622268</v>
      </c>
      <c r="DA6" s="29">
        <f t="shared" si="36"/>
        <v>1.7375737107744864</v>
      </c>
      <c r="DB6" s="29">
        <f t="shared" si="37"/>
        <v>8.2592892244313401</v>
      </c>
      <c r="DC6" s="29">
        <f t="shared" si="38"/>
        <v>6.0752102679612037</v>
      </c>
      <c r="DF6" s="30">
        <v>5</v>
      </c>
      <c r="DG6" s="31">
        <f t="shared" si="60"/>
        <v>-1.0114212072838897</v>
      </c>
      <c r="DH6" s="31">
        <f t="shared" si="39"/>
        <v>0.56018308622631952</v>
      </c>
      <c r="DI6" s="31">
        <f t="shared" si="40"/>
        <v>-2.327282549175703</v>
      </c>
      <c r="DJ6" s="31">
        <f t="shared" si="41"/>
        <v>-0.75420421504022928</v>
      </c>
      <c r="DK6" s="31">
        <f t="shared" si="42"/>
        <v>-1.7562411868024193</v>
      </c>
      <c r="DL6" s="31">
        <f t="shared" si="43"/>
        <v>-0.17724148063721398</v>
      </c>
      <c r="DM6" s="31">
        <f t="shared" si="44"/>
        <v>-1.9526763984280155</v>
      </c>
      <c r="DN6" s="31">
        <f t="shared" si="45"/>
        <v>-0.38091510373169507</v>
      </c>
      <c r="DO6" s="31">
        <f t="shared" si="46"/>
        <v>-2.7901571063497399</v>
      </c>
      <c r="DP6" s="31">
        <f t="shared" si="47"/>
        <v>-1.1925947522430338</v>
      </c>
      <c r="DQ6" s="31">
        <f t="shared" si="48"/>
        <v>-2.4894603576255623</v>
      </c>
      <c r="DR6" s="31">
        <f t="shared" si="49"/>
        <v>-0.91667227036070342</v>
      </c>
      <c r="DS6" s="49">
        <f t="shared" si="50"/>
        <v>-1.5716850249898335</v>
      </c>
      <c r="DT6" s="49">
        <f t="shared" si="51"/>
        <v>1.5716850249898335</v>
      </c>
      <c r="DX6">
        <v>5</v>
      </c>
      <c r="DY6" s="19">
        <f t="shared" si="52"/>
        <v>12.609164119858441</v>
      </c>
      <c r="EM6" s="21">
        <v>5</v>
      </c>
      <c r="EN6" s="16">
        <f t="shared" si="53"/>
        <v>-1.2897597107967225</v>
      </c>
      <c r="EO6" s="16">
        <f t="shared" si="28"/>
        <v>-13.898923830655164</v>
      </c>
      <c r="EP6" s="16">
        <f t="shared" si="54"/>
        <v>-5.8033892012675148</v>
      </c>
      <c r="EQ6" s="16">
        <f t="shared" si="55"/>
        <v>3.4495174345177904</v>
      </c>
      <c r="ER6" s="16">
        <f t="shared" si="56"/>
        <v>0.14727029525622268</v>
      </c>
      <c r="ES6" s="16">
        <f t="shared" si="57"/>
        <v>1.7375737107744864</v>
      </c>
      <c r="ET6" s="16">
        <f t="shared" si="58"/>
        <v>8.2592892244313401</v>
      </c>
      <c r="EU6" s="16">
        <f t="shared" si="59"/>
        <v>6.0752102679612037</v>
      </c>
      <c r="EW6" s="20">
        <f>LARGE($EN$2:$EU$2,5)</f>
        <v>0.80805846110219681</v>
      </c>
      <c r="EX6" s="39" t="str">
        <f>INDEX(EN1:EU1,MATCH(EW6,EN2:EU2,0))</f>
        <v>AUD</v>
      </c>
      <c r="FK6" s="20"/>
    </row>
    <row r="7" spans="1:170" ht="14.4" thickBot="1" x14ac:dyDescent="0.35">
      <c r="A7" s="37" t="s">
        <v>51</v>
      </c>
      <c r="B7" s="38">
        <v>5</v>
      </c>
      <c r="C7" s="34">
        <f>RTD("fxbluelabs.excelrtd", , "21422436","@bh,AUDUSD,h4,close,5")</f>
        <v>0.67415000000000003</v>
      </c>
      <c r="D7" s="34">
        <f>RTD("fxbluelabs.excelrtd", , "21422436","@bh,AUDNZD,h4,close,5")</f>
        <v>1.09507</v>
      </c>
      <c r="E7" s="35">
        <f>RTD("fxbluelabs.excelrtd", , "21422436","@bh,AUDJPY,h4,close,5")</f>
        <v>97.882000000000005</v>
      </c>
      <c r="F7" s="34">
        <f>RTD("fxbluelabs.excelrtd", , "21422436","@bh,AUDCHF,h4,close,5")</f>
        <v>0.57391999999999999</v>
      </c>
      <c r="G7" s="34">
        <f>RTD("fxbluelabs.excelrtd", , "21422436","@bh,AUDCAD,h4,close,5")</f>
        <v>0.91615000000000002</v>
      </c>
      <c r="H7" s="34">
        <f>RTD("fxbluelabs.excelrtd", , "21422436","@bh,EURUSD,h4,close,5")</f>
        <v>1.1146499999999999</v>
      </c>
      <c r="I7" s="34">
        <f>RTD("fxbluelabs.excelrtd", , "21422436","@bh,EURCAD,h4,close,5")</f>
        <v>1.5147600000000001</v>
      </c>
      <c r="J7" s="34">
        <f>RTD("fxbluelabs.excelrtd", , "21422436","@bh,EURGBP,h4,close,5")</f>
        <v>0.85157000000000005</v>
      </c>
      <c r="K7" s="34">
        <f>RTD("fxbluelabs.excelrtd", , "21422436","@bh,EURCHF,h4,close,5")</f>
        <v>0.94891000000000003</v>
      </c>
      <c r="L7" s="35">
        <f>RTD("fxbluelabs.excelrtd", , "21422436","@bh,EURJPY,h4,close,5")</f>
        <v>161.83600000000001</v>
      </c>
      <c r="M7" s="34">
        <f>RTD("fxbluelabs.excelrtd", , "21422436","@bh,EURAUD,h4,close,5")</f>
        <v>1.6533800000000001</v>
      </c>
      <c r="N7" s="34">
        <f>RTD("fxbluelabs.excelrtd", , "21422436","@bh,EURNZD,h4,close,5")</f>
        <v>1.8105800000000001</v>
      </c>
      <c r="O7" s="34">
        <f>RTD("fxbluelabs.excelrtd", , "21422436","@bh,GBPUSD,h4,close,5")</f>
        <v>1.3089299999999999</v>
      </c>
      <c r="P7" s="34">
        <f>RTD("fxbluelabs.excelrtd", , "21422436","@bh,GBPAUD,h4,close,5")</f>
        <v>1.9415800000000001</v>
      </c>
      <c r="Q7" s="34">
        <f>RTD("fxbluelabs.excelrtd", , "21422436","@bh,GBPNZD,h4,close,5")</f>
        <v>2.1261700000000001</v>
      </c>
      <c r="R7" s="34">
        <f>RTD("fxbluelabs.excelrtd", , "21422436","@bh,GBPCAD,h4,close,5")</f>
        <v>1.7787900000000001</v>
      </c>
      <c r="S7" s="34">
        <f>RTD("fxbluelabs.excelrtd", , "21422436","@bh,GBPCHF,h4,close,5")</f>
        <v>1.11432</v>
      </c>
      <c r="T7" s="35">
        <f>RTD("fxbluelabs.excelrtd", , "21422436","@bh,GBPJPY,h4,close,5")</f>
        <v>190.048</v>
      </c>
      <c r="U7" s="35">
        <f>RTD("fxbluelabs.excelrtd", , "21422436","@bh,NZDJPY,h4,close,5")</f>
        <v>89.376999999999995</v>
      </c>
      <c r="V7" s="34">
        <f>RTD("fxbluelabs.excelrtd", , "21422436","@bh,NZDCHF,h4,close,5")</f>
        <v>0.52405000000000002</v>
      </c>
      <c r="W7" s="34">
        <f>RTD("fxbluelabs.excelrtd", , "21422436","@bh,NZDUSD,h4,close,5")</f>
        <v>0.61556999999999995</v>
      </c>
      <c r="X7" s="34">
        <f>RTD("fxbluelabs.excelrtd", , "21422436","@bh,NZDCAD,h4,close,5")</f>
        <v>0.83655000000000002</v>
      </c>
      <c r="Y7" s="35">
        <f>RTD("fxbluelabs.excelrtd", , "21422436","@bh,CADJPY,h4,close,5")</f>
        <v>106.839</v>
      </c>
      <c r="Z7" s="34">
        <f>RTD("fxbluelabs.excelrtd", , "21422436","@bh,CADCHF,h4,close,5")</f>
        <v>0.62644</v>
      </c>
      <c r="AA7" s="35">
        <f>RTD("fxbluelabs.excelrtd", , "21422436","@bh,CHFJPY,h4,close,5")</f>
        <v>170.54599999999999</v>
      </c>
      <c r="AB7" s="34">
        <f>RTD("fxbluelabs.excelrtd", , "21422436","@bh,USDCAD,h4,close,5")</f>
        <v>1.3590199999999999</v>
      </c>
      <c r="AC7" s="34">
        <f>RTD("fxbluelabs.excelrtd", , "21422436","@bh,USDCHF,h4,close,5")</f>
        <v>0.85133999999999999</v>
      </c>
      <c r="AD7" s="35">
        <f>RTD("fxbluelabs.excelrtd", , "21422436","@bh,USDJPY,h4,close,5")</f>
        <v>145.19300000000001</v>
      </c>
      <c r="AH7" s="21">
        <v>6</v>
      </c>
      <c r="AI7" s="22">
        <f t="shared" si="29"/>
        <v>-2.3727958950621818E-2</v>
      </c>
      <c r="AJ7" s="22">
        <f t="shared" si="29"/>
        <v>-0.1886723663342888</v>
      </c>
      <c r="AK7" s="22">
        <f t="shared" si="29"/>
        <v>-0.42320291358928647</v>
      </c>
      <c r="AL7" s="22">
        <f t="shared" si="29"/>
        <v>-0.33515672484153641</v>
      </c>
      <c r="AM7" s="22">
        <f t="shared" si="29"/>
        <v>-8.397679186842226E-2</v>
      </c>
      <c r="AN7" s="22">
        <f t="shared" si="29"/>
        <v>0.19325842696628082</v>
      </c>
      <c r="AO7" s="22">
        <f t="shared" si="29"/>
        <v>0.13088486098441893</v>
      </c>
      <c r="AP7" s="22">
        <f t="shared" si="29"/>
        <v>-0.14305983888178786</v>
      </c>
      <c r="AQ7" s="22">
        <f t="shared" si="29"/>
        <v>-0.12209626659087634</v>
      </c>
      <c r="AR7" s="22">
        <f t="shared" si="29"/>
        <v>-0.20841811881065636</v>
      </c>
      <c r="AS7" s="22">
        <f t="shared" si="29"/>
        <v>0.21456626097076678</v>
      </c>
      <c r="AT7" s="22">
        <f t="shared" si="29"/>
        <v>2.5965272828721481E-2</v>
      </c>
      <c r="AU7" s="22">
        <f t="shared" si="29"/>
        <v>0.33882453948224761</v>
      </c>
      <c r="AV7" s="22">
        <f t="shared" si="29"/>
        <v>0.36235442501435372</v>
      </c>
      <c r="AW7" s="22">
        <f t="shared" si="29"/>
        <v>0.17290930506478502</v>
      </c>
      <c r="AX7" s="22">
        <f t="shared" si="29"/>
        <v>0.27792497716844061</v>
      </c>
      <c r="AY7" s="22">
        <f t="shared" si="0"/>
        <v>2.6031614947523984E-2</v>
      </c>
      <c r="AZ7" s="22">
        <f t="shared" si="0"/>
        <v>-6.1525517313906465E-2</v>
      </c>
      <c r="BA7" s="22">
        <f t="shared" si="0"/>
        <v>-0.23997678364140038</v>
      </c>
      <c r="BB7" s="22">
        <f t="shared" si="0"/>
        <v>-0.15242450223873924</v>
      </c>
      <c r="BC7" s="22">
        <f t="shared" si="0"/>
        <v>0.16108561944741701</v>
      </c>
      <c r="BD7" s="22">
        <f t="shared" si="0"/>
        <v>0.10051333596583301</v>
      </c>
      <c r="BE7" s="22">
        <f t="shared" si="0"/>
        <v>-0.33954273667714924</v>
      </c>
      <c r="BF7" s="22">
        <f t="shared" si="0"/>
        <v>-0.25158434444763317</v>
      </c>
      <c r="BG7" s="22">
        <f t="shared" si="0"/>
        <v>-8.3192725909258955E-2</v>
      </c>
      <c r="BH7" s="22">
        <f t="shared" si="0"/>
        <v>-6.1771064668434537E-2</v>
      </c>
      <c r="BI7" s="22">
        <f t="shared" si="0"/>
        <v>-0.31264270910177411</v>
      </c>
      <c r="BJ7" s="22">
        <f t="shared" si="0"/>
        <v>-0.40129511997693723</v>
      </c>
      <c r="BN7">
        <v>6</v>
      </c>
      <c r="BO7" s="23">
        <f t="shared" si="30"/>
        <v>1.9141093139512779</v>
      </c>
      <c r="BP7" s="23">
        <f t="shared" si="1"/>
        <v>-0.84521497839810866</v>
      </c>
      <c r="BQ7" s="23">
        <f t="shared" si="2"/>
        <v>-0.62809940246894069</v>
      </c>
      <c r="BR7" s="23">
        <f t="shared" si="3"/>
        <v>-0.4535559083072318</v>
      </c>
      <c r="BS7" s="23">
        <f t="shared" si="4"/>
        <v>0.8772815677683492</v>
      </c>
      <c r="BT7" s="23">
        <f t="shared" si="5"/>
        <v>1.5411821765620752</v>
      </c>
      <c r="BU7" s="23">
        <f t="shared" si="6"/>
        <v>0.50472875682760598</v>
      </c>
      <c r="BV7" s="23">
        <f t="shared" si="7"/>
        <v>-0.19837890915160006</v>
      </c>
      <c r="BW7" s="23">
        <f t="shared" si="8"/>
        <v>-0.82797306561614525</v>
      </c>
      <c r="BX7" s="23">
        <f t="shared" si="9"/>
        <v>-1.0062691462103177</v>
      </c>
      <c r="BY7" s="23">
        <f t="shared" si="10"/>
        <v>-0.37063313588401314</v>
      </c>
      <c r="BZ7" s="23">
        <f t="shared" si="11"/>
        <v>-1.2185532848679366</v>
      </c>
      <c r="CA7" s="23">
        <f t="shared" si="12"/>
        <v>1.7440174620806879</v>
      </c>
      <c r="CB7" s="23">
        <f t="shared" si="13"/>
        <v>-0.1681982456313203</v>
      </c>
      <c r="CC7" s="23">
        <f t="shared" si="14"/>
        <v>-1.0159235253556407</v>
      </c>
      <c r="CD7" s="23">
        <f t="shared" si="15"/>
        <v>0.70722644720358296</v>
      </c>
      <c r="CE7" s="23">
        <f t="shared" si="16"/>
        <v>-0.6270506384849841</v>
      </c>
      <c r="CF7" s="23">
        <f t="shared" si="17"/>
        <v>-0.80214127165564397</v>
      </c>
      <c r="CG7" s="23">
        <f t="shared" si="18"/>
        <v>0.2197574452909539</v>
      </c>
      <c r="CH7" s="23">
        <f t="shared" si="19"/>
        <v>0.39594942740310179</v>
      </c>
      <c r="CI7" s="23">
        <f t="shared" si="20"/>
        <v>2.7690384683394278</v>
      </c>
      <c r="CJ7" s="23">
        <f t="shared" si="21"/>
        <v>1.7333407457993844</v>
      </c>
      <c r="CK7" s="23">
        <f t="shared" si="22"/>
        <v>-1.5065051780801282</v>
      </c>
      <c r="CL7" s="23">
        <f t="shared" si="23"/>
        <v>-1.3311934201480649</v>
      </c>
      <c r="CM7" s="23">
        <f t="shared" si="24"/>
        <v>-0.17910400973804896</v>
      </c>
      <c r="CN7" s="23">
        <f t="shared" si="25"/>
        <v>-1.0349675862923002</v>
      </c>
      <c r="CO7" s="23">
        <f t="shared" si="26"/>
        <v>-2.3660449707699018</v>
      </c>
      <c r="CP7" s="23">
        <f t="shared" si="27"/>
        <v>-2.5438706942120222</v>
      </c>
      <c r="CU7" s="13">
        <v>6</v>
      </c>
      <c r="CV7" s="24">
        <f t="shared" si="31"/>
        <v>-1.5758966083403316</v>
      </c>
      <c r="CW7" s="24">
        <f t="shared" si="32"/>
        <v>-13.913230672207691</v>
      </c>
      <c r="CX7" s="24">
        <f t="shared" si="33"/>
        <v>-5.6253085295348146</v>
      </c>
      <c r="CY7" s="24">
        <f t="shared" si="34"/>
        <v>3.6995711460371128</v>
      </c>
      <c r="CZ7" s="24">
        <f t="shared" si="35"/>
        <v>3.6309137308281891E-2</v>
      </c>
      <c r="DA7" s="24">
        <f t="shared" si="36"/>
        <v>1.4033519740606792</v>
      </c>
      <c r="DB7" s="24">
        <f t="shared" si="37"/>
        <v>8.1977778754545536</v>
      </c>
      <c r="DC7" s="24">
        <f t="shared" si="38"/>
        <v>6.4462322570741479</v>
      </c>
      <c r="DF7" s="25">
        <v>6</v>
      </c>
      <c r="DG7" s="26">
        <f t="shared" si="60"/>
        <v>-1.0349675862923002</v>
      </c>
      <c r="DH7" s="26">
        <f t="shared" si="39"/>
        <v>0.50472875682760598</v>
      </c>
      <c r="DI7" s="26">
        <f t="shared" si="40"/>
        <v>-2.3660449707699018</v>
      </c>
      <c r="DJ7" s="26">
        <f t="shared" si="41"/>
        <v>-0.82797306561614525</v>
      </c>
      <c r="DK7" s="26">
        <f t="shared" si="42"/>
        <v>-1.7440174620806879</v>
      </c>
      <c r="DL7" s="26">
        <f t="shared" si="43"/>
        <v>-0.19837890915160006</v>
      </c>
      <c r="DM7" s="26">
        <f t="shared" si="44"/>
        <v>-1.9141093139512779</v>
      </c>
      <c r="DN7" s="26">
        <f t="shared" si="45"/>
        <v>-0.37063313588401314</v>
      </c>
      <c r="DO7" s="26">
        <f t="shared" si="46"/>
        <v>-2.7690384683394278</v>
      </c>
      <c r="DP7" s="26">
        <f t="shared" si="47"/>
        <v>-1.2185532848679366</v>
      </c>
      <c r="DQ7" s="26">
        <f t="shared" si="48"/>
        <v>-2.5438706942120222</v>
      </c>
      <c r="DR7" s="26">
        <f t="shared" si="49"/>
        <v>-1.0062691462103177</v>
      </c>
      <c r="DS7" s="47">
        <f t="shared" si="50"/>
        <v>-1.5411821765620752</v>
      </c>
      <c r="DT7" s="47">
        <f t="shared" si="51"/>
        <v>1.5411821765620752</v>
      </c>
      <c r="DX7">
        <v>6</v>
      </c>
      <c r="DY7" s="19">
        <f t="shared" si="52"/>
        <v>12.33733406386736</v>
      </c>
      <c r="EM7" s="13">
        <v>6</v>
      </c>
      <c r="EN7" s="16">
        <f t="shared" si="53"/>
        <v>-1.5758966083403316</v>
      </c>
      <c r="EO7" s="16">
        <f t="shared" si="28"/>
        <v>-13.913230672207691</v>
      </c>
      <c r="EP7" s="16">
        <f t="shared" si="54"/>
        <v>-5.6253085295348146</v>
      </c>
      <c r="EQ7" s="16">
        <f t="shared" si="55"/>
        <v>3.6995711460371128</v>
      </c>
      <c r="ER7" s="16">
        <f t="shared" si="56"/>
        <v>3.6309137308281891E-2</v>
      </c>
      <c r="ES7" s="16">
        <f t="shared" si="57"/>
        <v>1.4033519740606792</v>
      </c>
      <c r="ET7" s="16">
        <f t="shared" si="58"/>
        <v>8.1977778754545536</v>
      </c>
      <c r="EU7" s="16">
        <f t="shared" si="59"/>
        <v>6.4462322570741479</v>
      </c>
      <c r="EW7" s="20">
        <f>LARGE($EN$2:$EU$2,6)</f>
        <v>-1.4544019170701925</v>
      </c>
      <c r="EX7" s="39" t="str">
        <f>INDEX(EN1:EU1,MATCH(EW7,EN2:EU2,0))</f>
        <v>EUR</v>
      </c>
      <c r="FK7" s="20"/>
      <c r="FL7" s="20"/>
    </row>
    <row r="8" spans="1:170" ht="14.4" thickBot="1" x14ac:dyDescent="0.35">
      <c r="A8" s="37" t="s">
        <v>51</v>
      </c>
      <c r="B8" s="38">
        <v>6</v>
      </c>
      <c r="C8" s="34">
        <f>RTD("fxbluelabs.excelrtd", , "21422436","@bh,AUDUSD,h4,close,6")</f>
        <v>0.67430999999999996</v>
      </c>
      <c r="D8" s="34">
        <f>RTD("fxbluelabs.excelrtd", , "21422436","@bh,AUDNZD,h4,close,6")</f>
        <v>1.09714</v>
      </c>
      <c r="E8" s="35">
        <f>RTD("fxbluelabs.excelrtd", , "21422436","@bh,AUDJPY,h4,close,6")</f>
        <v>98.298000000000002</v>
      </c>
      <c r="F8" s="34">
        <f>RTD("fxbluelabs.excelrtd", , "21422436","@bh,AUDCHF,h4,close,6")</f>
        <v>0.57584999999999997</v>
      </c>
      <c r="G8" s="34">
        <f>RTD("fxbluelabs.excelrtd", , "21422436","@bh,AUDCAD,h4,close,6")</f>
        <v>0.91691999999999996</v>
      </c>
      <c r="H8" s="34">
        <f>RTD("fxbluelabs.excelrtd", , "21422436","@bh,EURUSD,h4,close,6")</f>
        <v>1.1125</v>
      </c>
      <c r="I8" s="34">
        <f>RTD("fxbluelabs.excelrtd", , "21422436","@bh,EURCAD,h4,close,6")</f>
        <v>1.51278</v>
      </c>
      <c r="J8" s="34">
        <f>RTD("fxbluelabs.excelrtd", , "21422436","@bh,EURGBP,h4,close,6")</f>
        <v>0.85279000000000005</v>
      </c>
      <c r="K8" s="34">
        <f>RTD("fxbluelabs.excelrtd", , "21422436","@bh,EURCHF,h4,close,6")</f>
        <v>0.95006999999999997</v>
      </c>
      <c r="L8" s="35">
        <f>RTD("fxbluelabs.excelrtd", , "21422436","@bh,EURJPY,h4,close,6")</f>
        <v>162.17400000000001</v>
      </c>
      <c r="M8" s="34">
        <f>RTD("fxbluelabs.excelrtd", , "21422436","@bh,EURAUD,h4,close,6")</f>
        <v>1.64984</v>
      </c>
      <c r="N8" s="34">
        <f>RTD("fxbluelabs.excelrtd", , "21422436","@bh,EURNZD,h4,close,6")</f>
        <v>1.8101100000000001</v>
      </c>
      <c r="O8" s="34">
        <f>RTD("fxbluelabs.excelrtd", , "21422436","@bh,GBPUSD,h4,close,6")</f>
        <v>1.3045100000000001</v>
      </c>
      <c r="P8" s="34">
        <f>RTD("fxbluelabs.excelrtd", , "21422436","@bh,GBPAUD,h4,close,6")</f>
        <v>1.9345699999999999</v>
      </c>
      <c r="Q8" s="34">
        <f>RTD("fxbluelabs.excelrtd", , "21422436","@bh,GBPNZD,h4,close,6")</f>
        <v>2.1225000000000001</v>
      </c>
      <c r="R8" s="34">
        <f>RTD("fxbluelabs.excelrtd", , "21422436","@bh,GBPCAD,h4,close,6")</f>
        <v>1.77386</v>
      </c>
      <c r="S8" s="34">
        <f>RTD("fxbluelabs.excelrtd", , "21422436","@bh,GBPCHF,h4,close,6")</f>
        <v>1.1140300000000001</v>
      </c>
      <c r="T8" s="35">
        <f>RTD("fxbluelabs.excelrtd", , "21422436","@bh,GBPJPY,h4,close,6")</f>
        <v>190.16499999999999</v>
      </c>
      <c r="U8" s="35">
        <f>RTD("fxbluelabs.excelrtd", , "21422436","@bh,NZDJPY,h4,close,6")</f>
        <v>89.591999999999999</v>
      </c>
      <c r="V8" s="34">
        <f>RTD("fxbluelabs.excelrtd", , "21422436","@bh,NZDCHF,h4,close,6")</f>
        <v>0.52485000000000004</v>
      </c>
      <c r="W8" s="34">
        <f>RTD("fxbluelabs.excelrtd", , "21422436","@bh,NZDUSD,h4,close,6")</f>
        <v>0.61458000000000002</v>
      </c>
      <c r="X8" s="34">
        <f>RTD("fxbluelabs.excelrtd", , "21422436","@bh,NZDCAD,h4,close,6")</f>
        <v>0.83570999999999995</v>
      </c>
      <c r="Y8" s="35">
        <f>RTD("fxbluelabs.excelrtd", , "21422436","@bh,CADJPY,h4,close,6")</f>
        <v>107.203</v>
      </c>
      <c r="Z8" s="34">
        <f>RTD("fxbluelabs.excelrtd", , "21422436","@bh,CADCHF,h4,close,6")</f>
        <v>0.62802000000000002</v>
      </c>
      <c r="AA8" s="35">
        <f>RTD("fxbluelabs.excelrtd", , "21422436","@bh,CHFJPY,h4,close,6")</f>
        <v>170.68799999999999</v>
      </c>
      <c r="AB8" s="34">
        <f>RTD("fxbluelabs.excelrtd", , "21422436","@bh,USDCAD,h4,close,6")</f>
        <v>1.3598600000000001</v>
      </c>
      <c r="AC8" s="34">
        <f>RTD("fxbluelabs.excelrtd", , "21422436","@bh,USDCHF,h4,close,6")</f>
        <v>0.85401000000000005</v>
      </c>
      <c r="AD8" s="35">
        <f>RTD("fxbluelabs.excelrtd", , "21422436","@bh,USDJPY,h4,close,6")</f>
        <v>145.77799999999999</v>
      </c>
      <c r="AH8" s="21">
        <v>7</v>
      </c>
      <c r="AI8" s="27">
        <f t="shared" si="29"/>
        <v>0.10837613943406997</v>
      </c>
      <c r="AJ8" s="27">
        <f t="shared" si="29"/>
        <v>-1.6403601501847134E-2</v>
      </c>
      <c r="AK8" s="27">
        <f t="shared" si="29"/>
        <v>-6.8113658313417438E-2</v>
      </c>
      <c r="AL8" s="27">
        <f t="shared" si="29"/>
        <v>-3.6454535985842355E-2</v>
      </c>
      <c r="AM8" s="27">
        <f t="shared" si="29"/>
        <v>8.7256227913233477E-3</v>
      </c>
      <c r="AN8" s="27">
        <f t="shared" si="29"/>
        <v>5.7561203748671047E-2</v>
      </c>
      <c r="AO8" s="27">
        <f t="shared" si="29"/>
        <v>-3.9646354517697734E-2</v>
      </c>
      <c r="AP8" s="27">
        <f t="shared" si="29"/>
        <v>-0.18843632958801501</v>
      </c>
      <c r="AQ8" s="27">
        <f t="shared" si="29"/>
        <v>-8.5184250378594298E-2</v>
      </c>
      <c r="AR8" s="27">
        <f t="shared" si="29"/>
        <v>-0.11763619006559449</v>
      </c>
      <c r="AS8" s="27">
        <f t="shared" si="29"/>
        <v>-4.9071577863264618E-2</v>
      </c>
      <c r="AT8" s="27">
        <f t="shared" si="29"/>
        <v>-6.4595203392070435E-2</v>
      </c>
      <c r="AU8" s="27">
        <f t="shared" si="29"/>
        <v>0.2451357083576696</v>
      </c>
      <c r="AV8" s="27">
        <f t="shared" si="29"/>
        <v>0.13924260306022418</v>
      </c>
      <c r="AW8" s="27">
        <f t="shared" si="29"/>
        <v>0.12406421148466226</v>
      </c>
      <c r="AX8" s="27">
        <f t="shared" si="29"/>
        <v>0.14961523478300379</v>
      </c>
      <c r="AY8" s="27">
        <f t="shared" si="0"/>
        <v>0.10243599996407021</v>
      </c>
      <c r="AZ8" s="27">
        <f t="shared" si="0"/>
        <v>7.0514810741398051E-2</v>
      </c>
      <c r="BA8" s="27">
        <f t="shared" si="0"/>
        <v>-5.3547523427043525E-2</v>
      </c>
      <c r="BB8" s="27">
        <f t="shared" si="0"/>
        <v>-2.0953977445889872E-2</v>
      </c>
      <c r="BC8" s="27">
        <f t="shared" si="0"/>
        <v>0.12218366648746859</v>
      </c>
      <c r="BD8" s="27">
        <f t="shared" si="0"/>
        <v>2.6331853164011296E-2</v>
      </c>
      <c r="BE8" s="27">
        <f t="shared" si="0"/>
        <v>-7.6431933634705351E-2</v>
      </c>
      <c r="BF8" s="27">
        <f t="shared" si="0"/>
        <v>-4.4564698392479223E-2</v>
      </c>
      <c r="BG8" s="27">
        <f t="shared" si="0"/>
        <v>-3.5139503830207253E-2</v>
      </c>
      <c r="BH8" s="27">
        <f t="shared" si="0"/>
        <v>-9.7708622602269438E-2</v>
      </c>
      <c r="BI8" s="27">
        <f t="shared" si="0"/>
        <v>-0.14265168434222358</v>
      </c>
      <c r="BJ8" s="27">
        <f t="shared" si="0"/>
        <v>-0.17530164208335061</v>
      </c>
      <c r="BN8">
        <v>7</v>
      </c>
      <c r="BO8" s="28">
        <f t="shared" si="30"/>
        <v>1.9378372729018998</v>
      </c>
      <c r="BP8" s="28">
        <f t="shared" si="1"/>
        <v>-0.65654261206381981</v>
      </c>
      <c r="BQ8" s="28">
        <f t="shared" si="2"/>
        <v>-0.20489648887965412</v>
      </c>
      <c r="BR8" s="28">
        <f t="shared" si="3"/>
        <v>-0.11839918346569542</v>
      </c>
      <c r="BS8" s="28">
        <f t="shared" si="4"/>
        <v>0.96125835963677153</v>
      </c>
      <c r="BT8" s="28">
        <f t="shared" si="5"/>
        <v>1.3479237495957945</v>
      </c>
      <c r="BU8" s="28">
        <f t="shared" si="6"/>
        <v>0.37384389584318717</v>
      </c>
      <c r="BV8" s="28">
        <f t="shared" si="7"/>
        <v>-5.5319070269812254E-2</v>
      </c>
      <c r="BW8" s="28">
        <f t="shared" si="8"/>
        <v>-0.70587679902526879</v>
      </c>
      <c r="BX8" s="28">
        <f t="shared" si="9"/>
        <v>-0.79785102739966129</v>
      </c>
      <c r="BY8" s="28">
        <f t="shared" si="10"/>
        <v>-0.58519939685477995</v>
      </c>
      <c r="BZ8" s="28">
        <f t="shared" si="11"/>
        <v>-1.244518557696658</v>
      </c>
      <c r="CA8" s="28">
        <f t="shared" si="12"/>
        <v>1.4051929225984401</v>
      </c>
      <c r="CB8" s="28">
        <f t="shared" si="13"/>
        <v>-0.53055267064567391</v>
      </c>
      <c r="CC8" s="28">
        <f t="shared" si="14"/>
        <v>-1.1888328304204256</v>
      </c>
      <c r="CD8" s="28">
        <f t="shared" si="15"/>
        <v>0.4293014700351423</v>
      </c>
      <c r="CE8" s="28">
        <f t="shared" si="16"/>
        <v>-0.65308225343250825</v>
      </c>
      <c r="CF8" s="28">
        <f t="shared" si="17"/>
        <v>-0.74061575434173754</v>
      </c>
      <c r="CG8" s="28">
        <f t="shared" si="18"/>
        <v>0.45973422893235427</v>
      </c>
      <c r="CH8" s="28">
        <f t="shared" si="19"/>
        <v>0.54837392964184117</v>
      </c>
      <c r="CI8" s="28">
        <f t="shared" si="20"/>
        <v>2.607952848892011</v>
      </c>
      <c r="CJ8" s="28">
        <f t="shared" si="21"/>
        <v>1.6328274098335516</v>
      </c>
      <c r="CK8" s="28">
        <f t="shared" si="22"/>
        <v>-1.1669624414029793</v>
      </c>
      <c r="CL8" s="28">
        <f t="shared" si="23"/>
        <v>-1.0796090757004317</v>
      </c>
      <c r="CM8" s="28">
        <f t="shared" si="24"/>
        <v>-9.5911283828789898E-2</v>
      </c>
      <c r="CN8" s="28">
        <f t="shared" si="25"/>
        <v>-0.97319652162386572</v>
      </c>
      <c r="CO8" s="28">
        <f t="shared" si="26"/>
        <v>-2.0534022616681273</v>
      </c>
      <c r="CP8" s="28">
        <f t="shared" si="27"/>
        <v>-2.1425755742350847</v>
      </c>
      <c r="CU8" s="21">
        <v>7</v>
      </c>
      <c r="CV8" s="29">
        <f t="shared" si="31"/>
        <v>-1.6669972058071987</v>
      </c>
      <c r="CW8" s="29">
        <f>CN8+CO8+CP8-CI8-CA8-BT8-BO8</f>
        <v>-12.468081151515225</v>
      </c>
      <c r="CX8" s="29">
        <f t="shared" si="33"/>
        <v>-4.6706061308281983</v>
      </c>
      <c r="CY8" s="29">
        <f t="shared" si="34"/>
        <v>2.8864752841209684</v>
      </c>
      <c r="CZ8" s="29">
        <f t="shared" si="35"/>
        <v>-1.2232700459369508</v>
      </c>
      <c r="DA8" s="29">
        <f t="shared" si="36"/>
        <v>3.0350094156299559</v>
      </c>
      <c r="DB8" s="29">
        <f t="shared" si="37"/>
        <v>8.3387824174806617</v>
      </c>
      <c r="DC8" s="29">
        <f t="shared" si="38"/>
        <v>4.6890783411555521</v>
      </c>
      <c r="DF8" s="30">
        <v>7</v>
      </c>
      <c r="DG8" s="31">
        <f t="shared" si="60"/>
        <v>-0.97319652162386572</v>
      </c>
      <c r="DH8" s="31">
        <f t="shared" si="39"/>
        <v>0.37384389584318717</v>
      </c>
      <c r="DI8" s="31">
        <f t="shared" si="40"/>
        <v>-2.0534022616681273</v>
      </c>
      <c r="DJ8" s="31">
        <f t="shared" si="41"/>
        <v>-0.70587679902526879</v>
      </c>
      <c r="DK8" s="31">
        <f t="shared" si="42"/>
        <v>-1.4051929225984401</v>
      </c>
      <c r="DL8" s="31">
        <f t="shared" si="43"/>
        <v>-5.5319070269812254E-2</v>
      </c>
      <c r="DM8" s="31">
        <f t="shared" si="44"/>
        <v>-1.9378372729018998</v>
      </c>
      <c r="DN8" s="31">
        <f t="shared" si="45"/>
        <v>-0.58519939685477995</v>
      </c>
      <c r="DO8" s="31">
        <f t="shared" si="46"/>
        <v>-2.607952848892011</v>
      </c>
      <c r="DP8" s="31">
        <f t="shared" si="47"/>
        <v>-1.244518557696658</v>
      </c>
      <c r="DQ8" s="31">
        <f t="shared" si="48"/>
        <v>-2.1425755742350847</v>
      </c>
      <c r="DR8" s="31">
        <f t="shared" si="49"/>
        <v>-0.79785102739966129</v>
      </c>
      <c r="DS8" s="49">
        <f t="shared" si="50"/>
        <v>-1.3479237495957945</v>
      </c>
      <c r="DT8" s="49">
        <f t="shared" si="51"/>
        <v>1.3479237495957945</v>
      </c>
      <c r="DX8">
        <v>7</v>
      </c>
      <c r="DY8" s="19">
        <f t="shared" si="52"/>
        <v>10.801083945708026</v>
      </c>
      <c r="EM8" s="21">
        <v>7</v>
      </c>
      <c r="EN8" s="16">
        <f t="shared" si="53"/>
        <v>-1.6669972058071987</v>
      </c>
      <c r="EO8" s="16">
        <f t="shared" si="28"/>
        <v>-12.468081151515225</v>
      </c>
      <c r="EP8" s="16">
        <f t="shared" si="54"/>
        <v>-4.6706061308281983</v>
      </c>
      <c r="EQ8" s="16">
        <f t="shared" si="55"/>
        <v>2.8864752841209684</v>
      </c>
      <c r="ER8" s="16">
        <f t="shared" si="56"/>
        <v>-1.2232700459369508</v>
      </c>
      <c r="ES8" s="16">
        <f t="shared" si="57"/>
        <v>3.0350094156299559</v>
      </c>
      <c r="ET8" s="16">
        <f t="shared" si="58"/>
        <v>8.3387824174806617</v>
      </c>
      <c r="EU8" s="16">
        <f t="shared" si="59"/>
        <v>4.6890783411555521</v>
      </c>
      <c r="EW8" s="20">
        <f>LARGE($EN$2:$EU$2,7)</f>
        <v>-4.5480296503108848</v>
      </c>
      <c r="EX8" s="39" t="str">
        <f>INDEX(EN1:EU1,MATCH(EW8,EN2:EU2,0))</f>
        <v>CAD</v>
      </c>
      <c r="FK8" s="20"/>
      <c r="FL8" s="20"/>
    </row>
    <row r="9" spans="1:170" ht="14.4" thickBot="1" x14ac:dyDescent="0.35">
      <c r="A9" s="37" t="s">
        <v>51</v>
      </c>
      <c r="B9" s="38">
        <v>7</v>
      </c>
      <c r="C9" s="34">
        <f>RTD("fxbluelabs.excelrtd", , "21422436","@bh,AUDUSD,h4,close,7")</f>
        <v>0.67357999999999996</v>
      </c>
      <c r="D9" s="34">
        <f>RTD("fxbluelabs.excelrtd", , "21422436","@bh,AUDNZD,h4,close,7")</f>
        <v>1.0973200000000001</v>
      </c>
      <c r="E9" s="35">
        <f>RTD("fxbluelabs.excelrtd", , "21422436","@bh,AUDJPY,h4,close,7")</f>
        <v>98.364999999999995</v>
      </c>
      <c r="F9" s="34">
        <f>RTD("fxbluelabs.excelrtd", , "21422436","@bh,AUDCHF,h4,close,7")</f>
        <v>0.57606000000000002</v>
      </c>
      <c r="G9" s="34">
        <f>RTD("fxbluelabs.excelrtd", , "21422436","@bh,AUDCAD,h4,close,7")</f>
        <v>0.91683999999999999</v>
      </c>
      <c r="H9" s="34">
        <f>RTD("fxbluelabs.excelrtd", , "21422436","@bh,EURUSD,h4,close,7")</f>
        <v>1.1118600000000001</v>
      </c>
      <c r="I9" s="34">
        <f>RTD("fxbluelabs.excelrtd", , "21422436","@bh,EURCAD,h4,close,7")</f>
        <v>1.5133799999999999</v>
      </c>
      <c r="J9" s="34">
        <f>RTD("fxbluelabs.excelrtd", , "21422436","@bh,EURGBP,h4,close,7")</f>
        <v>0.85440000000000005</v>
      </c>
      <c r="K9" s="34">
        <f>RTD("fxbluelabs.excelrtd", , "21422436","@bh,EURCHF,h4,close,7")</f>
        <v>0.95087999999999995</v>
      </c>
      <c r="L9" s="35">
        <f>RTD("fxbluelabs.excelrtd", , "21422436","@bh,EURJPY,h4,close,7")</f>
        <v>162.36500000000001</v>
      </c>
      <c r="M9" s="34">
        <f>RTD("fxbluelabs.excelrtd", , "21422436","@bh,EURAUD,h4,close,7")</f>
        <v>1.65065</v>
      </c>
      <c r="N9" s="34">
        <f>RTD("fxbluelabs.excelrtd", , "21422436","@bh,EURNZD,h4,close,7")</f>
        <v>1.81128</v>
      </c>
      <c r="O9" s="34">
        <f>RTD("fxbluelabs.excelrtd", , "21422436","@bh,GBPUSD,h4,close,7")</f>
        <v>1.30132</v>
      </c>
      <c r="P9" s="34">
        <f>RTD("fxbluelabs.excelrtd", , "21422436","@bh,GBPAUD,h4,close,7")</f>
        <v>1.93188</v>
      </c>
      <c r="Q9" s="34">
        <f>RTD("fxbluelabs.excelrtd", , "21422436","@bh,GBPNZD,h4,close,7")</f>
        <v>2.1198700000000001</v>
      </c>
      <c r="R9" s="34">
        <f>RTD("fxbluelabs.excelrtd", , "21422436","@bh,GBPCAD,h4,close,7")</f>
        <v>1.77121</v>
      </c>
      <c r="S9" s="34">
        <f>RTD("fxbluelabs.excelrtd", , "21422436","@bh,GBPCHF,h4,close,7")</f>
        <v>1.1128899999999999</v>
      </c>
      <c r="T9" s="35">
        <f>RTD("fxbluelabs.excelrtd", , "21422436","@bh,GBPJPY,h4,close,7")</f>
        <v>190.03100000000001</v>
      </c>
      <c r="U9" s="35">
        <f>RTD("fxbluelabs.excelrtd", , "21422436","@bh,NZDJPY,h4,close,7")</f>
        <v>89.64</v>
      </c>
      <c r="V9" s="34">
        <f>RTD("fxbluelabs.excelrtd", , "21422436","@bh,NZDCHF,h4,close,7")</f>
        <v>0.52495999999999998</v>
      </c>
      <c r="W9" s="34">
        <f>RTD("fxbluelabs.excelrtd", , "21422436","@bh,NZDUSD,h4,close,7")</f>
        <v>0.61382999999999999</v>
      </c>
      <c r="X9" s="34">
        <f>RTD("fxbluelabs.excelrtd", , "21422436","@bh,NZDCAD,h4,close,7")</f>
        <v>0.83548999999999995</v>
      </c>
      <c r="Y9" s="35">
        <f>RTD("fxbluelabs.excelrtd", , "21422436","@bh,CADJPY,h4,close,7")</f>
        <v>107.285</v>
      </c>
      <c r="Z9" s="34">
        <f>RTD("fxbluelabs.excelrtd", , "21422436","@bh,CADCHF,h4,close,7")</f>
        <v>0.62829999999999997</v>
      </c>
      <c r="AA9" s="35">
        <f>RTD("fxbluelabs.excelrtd", , "21422436","@bh,CHFJPY,h4,close,7")</f>
        <v>170.74799999999999</v>
      </c>
      <c r="AB9" s="34">
        <f>RTD("fxbluelabs.excelrtd", , "21422436","@bh,USDCAD,h4,close,7")</f>
        <v>1.3611899999999999</v>
      </c>
      <c r="AC9" s="34">
        <f>RTD("fxbluelabs.excelrtd", , "21422436","@bh,USDCHF,h4,close,7")</f>
        <v>0.85523000000000005</v>
      </c>
      <c r="AD9" s="35">
        <f>RTD("fxbluelabs.excelrtd", , "21422436","@bh,USDJPY,h4,close,7")</f>
        <v>146.03399999999999</v>
      </c>
      <c r="AH9" s="21">
        <v>8</v>
      </c>
      <c r="AI9" s="22">
        <f t="shared" si="29"/>
        <v>-0.12751319613310047</v>
      </c>
      <c r="AJ9" s="22">
        <f t="shared" si="29"/>
        <v>-5.7379662097537087E-2</v>
      </c>
      <c r="AK9" s="22">
        <f t="shared" si="29"/>
        <v>0.11704834605597443</v>
      </c>
      <c r="AL9" s="22">
        <f t="shared" si="29"/>
        <v>-8.6788981270928284E-3</v>
      </c>
      <c r="AM9" s="22">
        <f t="shared" si="29"/>
        <v>-0.15029077998737206</v>
      </c>
      <c r="AN9" s="22">
        <f t="shared" si="29"/>
        <v>-5.3960716598270547E-3</v>
      </c>
      <c r="AO9" s="22">
        <f t="shared" si="29"/>
        <v>-2.9065542799011506E-2</v>
      </c>
      <c r="AP9" s="22">
        <f t="shared" si="29"/>
        <v>9.8411359482644803E-2</v>
      </c>
      <c r="AQ9" s="22">
        <f t="shared" si="29"/>
        <v>0.11897867859962773</v>
      </c>
      <c r="AR9" s="22">
        <f t="shared" si="29"/>
        <v>0.24077789782374737</v>
      </c>
      <c r="AS9" s="22">
        <f t="shared" si="29"/>
        <v>0.12191867236023905</v>
      </c>
      <c r="AT9" s="22">
        <f t="shared" si="29"/>
        <v>6.3531348577173158E-2</v>
      </c>
      <c r="AU9" s="22">
        <f t="shared" si="29"/>
        <v>-0.10286644250993328</v>
      </c>
      <c r="AV9" s="22">
        <f t="shared" si="29"/>
        <v>2.4852438645543956E-2</v>
      </c>
      <c r="AW9" s="22">
        <f t="shared" si="29"/>
        <v>-3.348140603041462E-2</v>
      </c>
      <c r="AX9" s="22">
        <f t="shared" si="29"/>
        <v>-0.1268706370597637</v>
      </c>
      <c r="AY9" s="22">
        <f t="shared" si="0"/>
        <v>1.7075581917849598E-2</v>
      </c>
      <c r="AZ9" s="22">
        <f t="shared" si="0"/>
        <v>0.14281197301855766</v>
      </c>
      <c r="BA9" s="22">
        <f t="shared" si="0"/>
        <v>0.17881090746535155</v>
      </c>
      <c r="BB9" s="22">
        <f t="shared" si="0"/>
        <v>5.3365861096277147E-2</v>
      </c>
      <c r="BC9" s="22">
        <f t="shared" si="0"/>
        <v>-6.6749153425374685E-2</v>
      </c>
      <c r="BD9" s="22">
        <f t="shared" si="0"/>
        <v>-9.0881913303449191E-2</v>
      </c>
      <c r="BE9" s="22">
        <f t="shared" si="0"/>
        <v>0.2663551401869127</v>
      </c>
      <c r="BF9" s="22">
        <f t="shared" si="0"/>
        <v>0.14185301477501894</v>
      </c>
      <c r="BG9" s="22">
        <f t="shared" si="0"/>
        <v>0.12255261259887955</v>
      </c>
      <c r="BH9" s="22">
        <f t="shared" si="0"/>
        <v>-2.2034682590411168E-2</v>
      </c>
      <c r="BI9" s="22">
        <f t="shared" si="0"/>
        <v>0.12058066026692653</v>
      </c>
      <c r="BJ9" s="22">
        <f t="shared" si="0"/>
        <v>0.24643899090439705</v>
      </c>
      <c r="BN9">
        <v>8</v>
      </c>
      <c r="BO9" s="23">
        <f t="shared" si="30"/>
        <v>1.8294611334678299</v>
      </c>
      <c r="BP9" s="23">
        <f t="shared" si="1"/>
        <v>-0.64013901056197264</v>
      </c>
      <c r="BQ9" s="23">
        <f t="shared" si="2"/>
        <v>-0.13678283056623675</v>
      </c>
      <c r="BR9" s="23">
        <f>AL9+SUM(AL10:AL44)</f>
        <v>-8.1944647479853222E-2</v>
      </c>
      <c r="BS9" s="23">
        <f t="shared" si="4"/>
        <v>0.95253273684544792</v>
      </c>
      <c r="BT9" s="23">
        <f t="shared" si="5"/>
        <v>1.2903625458471235</v>
      </c>
      <c r="BU9" s="23">
        <f t="shared" si="6"/>
        <v>0.41349025036088477</v>
      </c>
      <c r="BV9" s="23">
        <f t="shared" si="7"/>
        <v>0.13311725931820284</v>
      </c>
      <c r="BW9" s="23">
        <f t="shared" si="8"/>
        <v>-0.62069254864667456</v>
      </c>
      <c r="BX9" s="23">
        <f t="shared" si="9"/>
        <v>-0.68021483733406696</v>
      </c>
      <c r="BY9" s="23">
        <f t="shared" si="10"/>
        <v>-0.53612781899151529</v>
      </c>
      <c r="BZ9" s="23">
        <f t="shared" si="11"/>
        <v>-1.1799233543045875</v>
      </c>
      <c r="CA9" s="23">
        <f t="shared" si="12"/>
        <v>1.1600572142407706</v>
      </c>
      <c r="CB9" s="23">
        <f t="shared" si="13"/>
        <v>-0.66979527370589809</v>
      </c>
      <c r="CC9" s="23">
        <f t="shared" si="14"/>
        <v>-1.3128970419050878</v>
      </c>
      <c r="CD9" s="23">
        <f t="shared" si="15"/>
        <v>0.27968623525213848</v>
      </c>
      <c r="CE9" s="23">
        <f t="shared" si="16"/>
        <v>-0.75551825339657841</v>
      </c>
      <c r="CF9" s="23">
        <f t="shared" si="17"/>
        <v>-0.81113056508313564</v>
      </c>
      <c r="CG9" s="23">
        <f t="shared" si="18"/>
        <v>0.51328175235939777</v>
      </c>
      <c r="CH9" s="23">
        <f t="shared" si="19"/>
        <v>0.56932790708773096</v>
      </c>
      <c r="CI9" s="23">
        <f t="shared" si="20"/>
        <v>2.4857691824045425</v>
      </c>
      <c r="CJ9" s="23">
        <f t="shared" si="21"/>
        <v>1.60649555666954</v>
      </c>
      <c r="CK9" s="23">
        <f t="shared" si="22"/>
        <v>-1.0905305077682739</v>
      </c>
      <c r="CL9" s="23">
        <f t="shared" si="23"/>
        <v>-1.0350443773079523</v>
      </c>
      <c r="CM9" s="23">
        <f t="shared" si="24"/>
        <v>-6.0771779998582701E-2</v>
      </c>
      <c r="CN9" s="23">
        <f t="shared" si="25"/>
        <v>-0.87548789902159629</v>
      </c>
      <c r="CO9" s="23">
        <f t="shared" si="26"/>
        <v>-1.9107505773259039</v>
      </c>
      <c r="CP9" s="23">
        <f t="shared" si="27"/>
        <v>-1.9672739321517345</v>
      </c>
      <c r="CU9" s="21">
        <v>8</v>
      </c>
      <c r="CV9" s="24">
        <f t="shared" si="31"/>
        <v>-1.179988503750633</v>
      </c>
      <c r="CW9" s="24">
        <f t="shared" si="32"/>
        <v>-11.519162484459503</v>
      </c>
      <c r="CX9" s="24">
        <f t="shared" si="33"/>
        <v>-4.5022917651826404</v>
      </c>
      <c r="CY9" s="24">
        <f t="shared" si="34"/>
        <v>2.7388063397626961</v>
      </c>
      <c r="CZ9" s="24">
        <f t="shared" si="35"/>
        <v>-2.2427149439159937</v>
      </c>
      <c r="DA9" s="24">
        <f t="shared" si="36"/>
        <v>3.1290504744026282</v>
      </c>
      <c r="DB9" s="24">
        <f t="shared" si="37"/>
        <v>8.3078338052928586</v>
      </c>
      <c r="DC9" s="24">
        <f t="shared" si="38"/>
        <v>4.2334227005426328</v>
      </c>
      <c r="DF9" s="25">
        <v>8</v>
      </c>
      <c r="DG9" s="26">
        <f t="shared" si="60"/>
        <v>-0.87548789902159629</v>
      </c>
      <c r="DH9" s="26">
        <f t="shared" si="39"/>
        <v>0.41349025036088477</v>
      </c>
      <c r="DI9" s="26">
        <f t="shared" si="40"/>
        <v>-1.9107505773259039</v>
      </c>
      <c r="DJ9" s="26">
        <f t="shared" si="41"/>
        <v>-0.62069254864667456</v>
      </c>
      <c r="DK9" s="26">
        <f t="shared" si="42"/>
        <v>-1.1600572142407706</v>
      </c>
      <c r="DL9" s="26">
        <f t="shared" si="43"/>
        <v>0.13311725931820284</v>
      </c>
      <c r="DM9" s="26">
        <f t="shared" si="44"/>
        <v>-1.8294611334678299</v>
      </c>
      <c r="DN9" s="26">
        <f t="shared" si="45"/>
        <v>-0.53612781899151529</v>
      </c>
      <c r="DO9" s="26">
        <f t="shared" si="46"/>
        <v>-2.4857691824045425</v>
      </c>
      <c r="DP9" s="26">
        <f t="shared" si="47"/>
        <v>-1.1799233543045875</v>
      </c>
      <c r="DQ9" s="26">
        <f t="shared" si="48"/>
        <v>-1.9672739321517345</v>
      </c>
      <c r="DR9" s="26">
        <f t="shared" si="49"/>
        <v>-0.68021483733406696</v>
      </c>
      <c r="DS9" s="47">
        <f t="shared" si="50"/>
        <v>-1.2903625458471235</v>
      </c>
      <c r="DT9" s="47">
        <f t="shared" si="51"/>
        <v>1.2903625458471235</v>
      </c>
      <c r="DX9">
        <v>8</v>
      </c>
      <c r="DY9" s="19">
        <f t="shared" si="52"/>
        <v>10.339173980708871</v>
      </c>
      <c r="EM9" s="21">
        <v>8</v>
      </c>
      <c r="EN9" s="16">
        <f t="shared" si="53"/>
        <v>-1.179988503750633</v>
      </c>
      <c r="EO9" s="16">
        <f t="shared" si="28"/>
        <v>-11.519162484459503</v>
      </c>
      <c r="EP9" s="16">
        <f t="shared" si="54"/>
        <v>-4.5022917651826404</v>
      </c>
      <c r="EQ9" s="16">
        <f t="shared" si="55"/>
        <v>2.7388063397626961</v>
      </c>
      <c r="ER9" s="16">
        <f t="shared" si="56"/>
        <v>-2.2427149439159937</v>
      </c>
      <c r="ES9" s="16">
        <f t="shared" si="57"/>
        <v>3.1290504744026282</v>
      </c>
      <c r="ET9" s="16">
        <f t="shared" si="58"/>
        <v>8.3078338052928586</v>
      </c>
      <c r="EU9" s="16">
        <f t="shared" si="59"/>
        <v>4.2334227005426328</v>
      </c>
      <c r="EW9" s="20">
        <f>LARGE($EN$2:$EU$2,8)</f>
        <v>-12.778490656748431</v>
      </c>
      <c r="EX9" s="39" t="str">
        <f>INDEX(EN1:EU1,MATCH(EW9,EN2:EU2,0))</f>
        <v>USD</v>
      </c>
      <c r="FK9" s="20"/>
      <c r="FL9" s="20"/>
    </row>
    <row r="10" spans="1:170" ht="14.4" thickBot="1" x14ac:dyDescent="0.35">
      <c r="A10" s="37" t="s">
        <v>51</v>
      </c>
      <c r="B10" s="38">
        <v>8</v>
      </c>
      <c r="C10" s="34">
        <f>RTD("fxbluelabs.excelrtd", , "21422436","@bh,AUDUSD,h4,close,8")</f>
        <v>0.67444000000000004</v>
      </c>
      <c r="D10" s="34">
        <f>RTD("fxbluelabs.excelrtd", , "21422436","@bh,AUDNZD,h4,close,8")</f>
        <v>1.09795</v>
      </c>
      <c r="E10" s="35">
        <f>RTD("fxbluelabs.excelrtd", , "21422436","@bh,AUDJPY,h4,close,8")</f>
        <v>98.25</v>
      </c>
      <c r="F10" s="34">
        <f>RTD("fxbluelabs.excelrtd", , "21422436","@bh,AUDCHF,h4,close,8")</f>
        <v>0.57611000000000001</v>
      </c>
      <c r="G10" s="34">
        <f>RTD("fxbluelabs.excelrtd", , "21422436","@bh,AUDCAD,h4,close,8")</f>
        <v>0.91822000000000004</v>
      </c>
      <c r="H10" s="34">
        <f>RTD("fxbluelabs.excelrtd", , "21422436","@bh,EURUSD,h4,close,8")</f>
        <v>1.11192</v>
      </c>
      <c r="I10" s="34">
        <f>RTD("fxbluelabs.excelrtd", , "21422436","@bh,EURCAD,h4,close,8")</f>
        <v>1.5138199999999999</v>
      </c>
      <c r="J10" s="34">
        <f>RTD("fxbluelabs.excelrtd", , "21422436","@bh,EURGBP,h4,close,8")</f>
        <v>0.85355999999999999</v>
      </c>
      <c r="K10" s="34">
        <f>RTD("fxbluelabs.excelrtd", , "21422436","@bh,EURCHF,h4,close,8")</f>
        <v>0.94974999999999998</v>
      </c>
      <c r="L10" s="35">
        <f>RTD("fxbluelabs.excelrtd", , "21422436","@bh,EURJPY,h4,close,8")</f>
        <v>161.97499999999999</v>
      </c>
      <c r="M10" s="34">
        <f>RTD("fxbluelabs.excelrtd", , "21422436","@bh,EURAUD,h4,close,8")</f>
        <v>1.6486400000000001</v>
      </c>
      <c r="N10" s="34">
        <f>RTD("fxbluelabs.excelrtd", , "21422436","@bh,EURNZD,h4,close,8")</f>
        <v>1.81013</v>
      </c>
      <c r="O10" s="34">
        <f>RTD("fxbluelabs.excelrtd", , "21422436","@bh,GBPUSD,h4,close,8")</f>
        <v>1.3026599999999999</v>
      </c>
      <c r="P10" s="34">
        <f>RTD("fxbluelabs.excelrtd", , "21422436","@bh,GBPAUD,h4,close,8")</f>
        <v>1.9314</v>
      </c>
      <c r="Q10" s="34">
        <f>RTD("fxbluelabs.excelrtd", , "21422436","@bh,GBPNZD,h4,close,8")</f>
        <v>2.1205799999999999</v>
      </c>
      <c r="R10" s="34">
        <f>RTD("fxbluelabs.excelrtd", , "21422436","@bh,GBPCAD,h4,close,8")</f>
        <v>1.77346</v>
      </c>
      <c r="S10" s="34">
        <f>RTD("fxbluelabs.excelrtd", , "21422436","@bh,GBPCHF,h4,close,8")</f>
        <v>1.1127</v>
      </c>
      <c r="T10" s="35">
        <f>RTD("fxbluelabs.excelrtd", , "21422436","@bh,GBPJPY,h4,close,8")</f>
        <v>189.76</v>
      </c>
      <c r="U10" s="35">
        <f>RTD("fxbluelabs.excelrtd", , "21422436","@bh,NZDJPY,h4,close,8")</f>
        <v>89.48</v>
      </c>
      <c r="V10" s="34">
        <f>RTD("fxbluelabs.excelrtd", , "21422436","@bh,NZDCHF,h4,close,8")</f>
        <v>0.52468000000000004</v>
      </c>
      <c r="W10" s="34">
        <f>RTD("fxbluelabs.excelrtd", , "21422436","@bh,NZDUSD,h4,close,8")</f>
        <v>0.61424000000000001</v>
      </c>
      <c r="X10" s="34">
        <f>RTD("fxbluelabs.excelrtd", , "21422436","@bh,NZDCAD,h4,close,8")</f>
        <v>0.83625000000000005</v>
      </c>
      <c r="Y10" s="35">
        <f>RTD("fxbluelabs.excelrtd", , "21422436","@bh,CADJPY,h4,close,8")</f>
        <v>107</v>
      </c>
      <c r="Z10" s="34">
        <f>RTD("fxbluelabs.excelrtd", , "21422436","@bh,CADCHF,h4,close,8")</f>
        <v>0.62741000000000002</v>
      </c>
      <c r="AA10" s="35">
        <f>RTD("fxbluelabs.excelrtd", , "21422436","@bh,CHFJPY,h4,close,8")</f>
        <v>170.53899999999999</v>
      </c>
      <c r="AB10" s="34">
        <f>RTD("fxbluelabs.excelrtd", , "21422436","@bh,USDCAD,h4,close,8")</f>
        <v>1.3614900000000001</v>
      </c>
      <c r="AC10" s="34">
        <f>RTD("fxbluelabs.excelrtd", , "21422436","@bh,USDCHF,h4,close,8")</f>
        <v>0.85419999999999996</v>
      </c>
      <c r="AD10" s="35">
        <f>RTD("fxbluelabs.excelrtd", , "21422436","@bh,USDJPY,h4,close,8")</f>
        <v>145.67500000000001</v>
      </c>
      <c r="AH10" s="13">
        <v>9</v>
      </c>
      <c r="AI10" s="27">
        <f t="shared" si="29"/>
        <v>-8.5923380047985831E-2</v>
      </c>
      <c r="AJ10" s="27">
        <f t="shared" si="29"/>
        <v>0.24377328171791232</v>
      </c>
      <c r="AK10" s="27">
        <f t="shared" si="29"/>
        <v>6.9259131001607049E-2</v>
      </c>
      <c r="AL10" s="27">
        <f t="shared" si="29"/>
        <v>-5.2070677265898032E-3</v>
      </c>
      <c r="AM10" s="27">
        <f t="shared" si="29"/>
        <v>-0.10009356572447298</v>
      </c>
      <c r="AN10" s="27">
        <f t="shared" si="29"/>
        <v>-7.8181867198656205E-2</v>
      </c>
      <c r="AO10" s="27">
        <f t="shared" si="29"/>
        <v>-9.1736458972683815E-2</v>
      </c>
      <c r="AP10" s="27">
        <f t="shared" si="29"/>
        <v>-1.5228010167620973E-2</v>
      </c>
      <c r="AQ10" s="27">
        <f t="shared" si="29"/>
        <v>-3.158626208171839E-3</v>
      </c>
      <c r="AR10" s="27">
        <f t="shared" si="29"/>
        <v>7.4758733179273229E-2</v>
      </c>
      <c r="AS10" s="27">
        <f t="shared" si="29"/>
        <v>7.8859090936776559E-3</v>
      </c>
      <c r="AT10" s="27">
        <f t="shared" si="29"/>
        <v>0.25144135711872512</v>
      </c>
      <c r="AU10" s="27">
        <f t="shared" si="29"/>
        <v>-6.1375109324423756E-2</v>
      </c>
      <c r="AV10" s="27">
        <f t="shared" si="29"/>
        <v>2.1750613678033277E-2</v>
      </c>
      <c r="AW10" s="27">
        <f t="shared" si="29"/>
        <v>0.26525198938991534</v>
      </c>
      <c r="AX10" s="27">
        <f t="shared" si="29"/>
        <v>-7.8316477448798619E-2</v>
      </c>
      <c r="AY10" s="27">
        <f t="shared" si="0"/>
        <v>1.4381505384070502E-2</v>
      </c>
      <c r="AZ10" s="27">
        <f t="shared" si="0"/>
        <v>9.0195106256160576E-2</v>
      </c>
      <c r="BA10" s="27">
        <f t="shared" si="0"/>
        <v>-0.17737815013553457</v>
      </c>
      <c r="BB10" s="27">
        <f t="shared" si="0"/>
        <v>-0.25284690405124283</v>
      </c>
      <c r="BC10" s="27">
        <f t="shared" si="0"/>
        <v>-0.33101836827416786</v>
      </c>
      <c r="BD10" s="27">
        <f t="shared" si="0"/>
        <v>-0.34558779717570193</v>
      </c>
      <c r="BE10" s="27">
        <f t="shared" si="0"/>
        <v>0.16944551063012889</v>
      </c>
      <c r="BF10" s="27">
        <f t="shared" si="0"/>
        <v>9.2529074868788183E-2</v>
      </c>
      <c r="BG10" s="27">
        <f t="shared" si="0"/>
        <v>7.5699782876586283E-2</v>
      </c>
      <c r="BH10" s="27">
        <f t="shared" si="0"/>
        <v>-1.4687630811710298E-2</v>
      </c>
      <c r="BI10" s="27">
        <f t="shared" si="0"/>
        <v>7.8497533771507547E-2</v>
      </c>
      <c r="BJ10" s="27">
        <f t="shared" si="0"/>
        <v>0.15400375384151224</v>
      </c>
      <c r="BN10">
        <v>9</v>
      </c>
      <c r="BO10" s="28">
        <f t="shared" si="30"/>
        <v>1.9569743296009308</v>
      </c>
      <c r="BP10" s="28">
        <f t="shared" si="1"/>
        <v>-0.58275934846443556</v>
      </c>
      <c r="BQ10" s="28">
        <f t="shared" si="2"/>
        <v>-0.25383117662221122</v>
      </c>
      <c r="BR10" s="28">
        <f t="shared" si="3"/>
        <v>-7.326574935276034E-2</v>
      </c>
      <c r="BS10" s="28">
        <f t="shared" si="4"/>
        <v>1.10282351683282</v>
      </c>
      <c r="BT10" s="28">
        <f t="shared" si="5"/>
        <v>1.2957586175069506</v>
      </c>
      <c r="BU10" s="28">
        <f t="shared" si="6"/>
        <v>0.44255579315989635</v>
      </c>
      <c r="BV10" s="28">
        <f t="shared" si="7"/>
        <v>3.470589983555801E-2</v>
      </c>
      <c r="BW10" s="28">
        <f t="shared" si="8"/>
        <v>-0.73967122724630219</v>
      </c>
      <c r="BX10" s="28">
        <f t="shared" si="9"/>
        <v>-0.92099273515781421</v>
      </c>
      <c r="BY10" s="28">
        <f t="shared" si="10"/>
        <v>-0.65804649135175419</v>
      </c>
      <c r="BZ10" s="28">
        <f t="shared" si="11"/>
        <v>-1.2434547028817606</v>
      </c>
      <c r="CA10" s="28">
        <f t="shared" si="12"/>
        <v>1.2629236567507041</v>
      </c>
      <c r="CB10" s="28">
        <f t="shared" si="13"/>
        <v>-0.69464771235144196</v>
      </c>
      <c r="CC10" s="28">
        <f t="shared" si="14"/>
        <v>-1.2794156358746731</v>
      </c>
      <c r="CD10" s="28">
        <f t="shared" si="15"/>
        <v>0.40655687231190224</v>
      </c>
      <c r="CE10" s="28">
        <f t="shared" si="16"/>
        <v>-0.77259383531442805</v>
      </c>
      <c r="CF10" s="28">
        <f t="shared" si="17"/>
        <v>-0.95394253810169327</v>
      </c>
      <c r="CG10" s="28">
        <f t="shared" si="18"/>
        <v>0.33447084489404622</v>
      </c>
      <c r="CH10" s="28">
        <f t="shared" si="19"/>
        <v>0.51596204599145379</v>
      </c>
      <c r="CI10" s="28">
        <f t="shared" si="20"/>
        <v>2.5525183358299173</v>
      </c>
      <c r="CJ10" s="28">
        <f t="shared" si="21"/>
        <v>1.6973774699729893</v>
      </c>
      <c r="CK10" s="28">
        <f t="shared" si="22"/>
        <v>-1.3568856479551865</v>
      </c>
      <c r="CL10" s="28">
        <f t="shared" si="23"/>
        <v>-1.1768973920829715</v>
      </c>
      <c r="CM10" s="28">
        <f t="shared" si="24"/>
        <v>-0.18332439259746219</v>
      </c>
      <c r="CN10" s="28">
        <f t="shared" si="25"/>
        <v>-0.85345321643118521</v>
      </c>
      <c r="CO10" s="28">
        <f t="shared" si="26"/>
        <v>-2.0313312375928305</v>
      </c>
      <c r="CP10" s="28">
        <f t="shared" si="27"/>
        <v>-2.2137129230561317</v>
      </c>
      <c r="CU10" s="21">
        <v>9</v>
      </c>
      <c r="CV10" s="29">
        <f t="shared" si="31"/>
        <v>-1.7891448461352262</v>
      </c>
      <c r="CW10" s="29">
        <f t="shared" si="32"/>
        <v>-12.166672316768649</v>
      </c>
      <c r="CX10" s="29">
        <f t="shared" si="33"/>
        <v>-5.3296434758845805</v>
      </c>
      <c r="CY10" s="29">
        <f t="shared" si="34"/>
        <v>2.9175756109174054</v>
      </c>
      <c r="CZ10" s="29">
        <f t="shared" si="35"/>
        <v>-2.0658250924151877</v>
      </c>
      <c r="DA10" s="29">
        <f t="shared" si="36"/>
        <v>3.5026357756975397</v>
      </c>
      <c r="DB10" s="29">
        <f t="shared" si="37"/>
        <v>8.2059583839092767</v>
      </c>
      <c r="DC10" s="29">
        <f t="shared" si="38"/>
        <v>5.5482185685964529</v>
      </c>
      <c r="DF10" s="30">
        <v>9</v>
      </c>
      <c r="DG10" s="31">
        <f t="shared" si="60"/>
        <v>-0.85345321643118521</v>
      </c>
      <c r="DH10" s="31">
        <f t="shared" si="39"/>
        <v>0.44255579315989635</v>
      </c>
      <c r="DI10" s="31">
        <f t="shared" si="40"/>
        <v>-2.0313312375928305</v>
      </c>
      <c r="DJ10" s="31">
        <f t="shared" si="41"/>
        <v>-0.73967122724630219</v>
      </c>
      <c r="DK10" s="31">
        <f t="shared" si="42"/>
        <v>-1.2629236567507041</v>
      </c>
      <c r="DL10" s="31">
        <f t="shared" si="43"/>
        <v>3.470589983555801E-2</v>
      </c>
      <c r="DM10" s="31">
        <f t="shared" si="44"/>
        <v>-1.9569743296009308</v>
      </c>
      <c r="DN10" s="31">
        <f t="shared" si="45"/>
        <v>-0.65804649135175419</v>
      </c>
      <c r="DO10" s="31">
        <f t="shared" si="46"/>
        <v>-2.5525183358299173</v>
      </c>
      <c r="DP10" s="31">
        <f t="shared" si="47"/>
        <v>-1.2434547028817606</v>
      </c>
      <c r="DQ10" s="31">
        <f t="shared" si="48"/>
        <v>-2.2137129230561317</v>
      </c>
      <c r="DR10" s="31">
        <f t="shared" si="49"/>
        <v>-0.92099273515781421</v>
      </c>
      <c r="DS10" s="49">
        <f t="shared" si="50"/>
        <v>-1.2957586175069506</v>
      </c>
      <c r="DT10" s="49">
        <f t="shared" si="51"/>
        <v>1.2957586175069506</v>
      </c>
      <c r="DX10">
        <v>9</v>
      </c>
      <c r="DY10" s="19">
        <f t="shared" si="52"/>
        <v>10.377527470633423</v>
      </c>
      <c r="EM10" s="21">
        <v>9</v>
      </c>
      <c r="EN10" s="16">
        <f t="shared" si="53"/>
        <v>-1.7891448461352262</v>
      </c>
      <c r="EO10" s="16">
        <f t="shared" si="28"/>
        <v>-12.166672316768649</v>
      </c>
      <c r="EP10" s="16">
        <f t="shared" si="54"/>
        <v>-5.3296434758845805</v>
      </c>
      <c r="EQ10" s="16">
        <f t="shared" si="55"/>
        <v>2.9175756109174054</v>
      </c>
      <c r="ER10" s="16">
        <f t="shared" si="56"/>
        <v>-2.0658250924151877</v>
      </c>
      <c r="ES10" s="16">
        <f t="shared" si="57"/>
        <v>3.5026357756975397</v>
      </c>
      <c r="ET10" s="16">
        <f t="shared" si="58"/>
        <v>8.2059583839092767</v>
      </c>
      <c r="EU10" s="16">
        <f t="shared" si="59"/>
        <v>5.5482185685964529</v>
      </c>
      <c r="FK10" s="20"/>
      <c r="FL10" s="20"/>
      <c r="FN10" s="20"/>
    </row>
    <row r="11" spans="1:170" ht="14.4" thickBot="1" x14ac:dyDescent="0.35">
      <c r="A11" s="37" t="s">
        <v>51</v>
      </c>
      <c r="B11" s="38">
        <v>9</v>
      </c>
      <c r="C11" s="34">
        <f>RTD("fxbluelabs.excelrtd", , "21422436","@bh,AUDUSD,h4,close,9")</f>
        <v>0.67501999999999995</v>
      </c>
      <c r="D11" s="34">
        <f>RTD("fxbluelabs.excelrtd", , "21422436","@bh,AUDNZD,h4,close,9")</f>
        <v>1.09528</v>
      </c>
      <c r="E11" s="35">
        <f>RTD("fxbluelabs.excelrtd", , "21422436","@bh,AUDJPY,h4,close,9")</f>
        <v>98.182000000000002</v>
      </c>
      <c r="F11" s="34">
        <f>RTD("fxbluelabs.excelrtd", , "21422436","@bh,AUDCHF,h4,close,9")</f>
        <v>0.57613999999999999</v>
      </c>
      <c r="G11" s="34">
        <f>RTD("fxbluelabs.excelrtd", , "21422436","@bh,AUDCAD,h4,close,9")</f>
        <v>0.91913999999999996</v>
      </c>
      <c r="H11" s="34">
        <f>RTD("fxbluelabs.excelrtd", , "21422436","@bh,EURUSD,h4,close,9")</f>
        <v>1.1127899999999999</v>
      </c>
      <c r="I11" s="34">
        <f>RTD("fxbluelabs.excelrtd", , "21422436","@bh,EURCAD,h4,close,9")</f>
        <v>1.5152099999999999</v>
      </c>
      <c r="J11" s="34">
        <f>RTD("fxbluelabs.excelrtd", , "21422436","@bh,EURGBP,h4,close,9")</f>
        <v>0.85368999999999995</v>
      </c>
      <c r="K11" s="34">
        <f>RTD("fxbluelabs.excelrtd", , "21422436","@bh,EURCHF,h4,close,9")</f>
        <v>0.94977999999999996</v>
      </c>
      <c r="L11" s="35">
        <f>RTD("fxbluelabs.excelrtd", , "21422436","@bh,EURJPY,h4,close,9")</f>
        <v>161.85400000000001</v>
      </c>
      <c r="M11" s="34">
        <f>RTD("fxbluelabs.excelrtd", , "21422436","@bh,EURAUD,h4,close,9")</f>
        <v>1.6485099999999999</v>
      </c>
      <c r="N11" s="34">
        <f>RTD("fxbluelabs.excelrtd", , "21422436","@bh,EURNZD,h4,close,9")</f>
        <v>1.80559</v>
      </c>
      <c r="O11" s="34">
        <f>RTD("fxbluelabs.excelrtd", , "21422436","@bh,GBPUSD,h4,close,9")</f>
        <v>1.3034600000000001</v>
      </c>
      <c r="P11" s="34">
        <f>RTD("fxbluelabs.excelrtd", , "21422436","@bh,GBPAUD,h4,close,9")</f>
        <v>1.9309799999999999</v>
      </c>
      <c r="Q11" s="34">
        <f>RTD("fxbluelabs.excelrtd", , "21422436","@bh,GBPNZD,h4,close,9")</f>
        <v>2.11497</v>
      </c>
      <c r="R11" s="34">
        <f>RTD("fxbluelabs.excelrtd", , "21422436","@bh,GBPCAD,h4,close,9")</f>
        <v>1.77485</v>
      </c>
      <c r="S11" s="34">
        <f>RTD("fxbluelabs.excelrtd", , "21422436","@bh,GBPCHF,h4,close,9")</f>
        <v>1.1125400000000001</v>
      </c>
      <c r="T11" s="35">
        <f>RTD("fxbluelabs.excelrtd", , "21422436","@bh,GBPJPY,h4,close,9")</f>
        <v>189.589</v>
      </c>
      <c r="U11" s="35">
        <f>RTD("fxbluelabs.excelrtd", , "21422436","@bh,NZDJPY,h4,close,9")</f>
        <v>89.638999999999996</v>
      </c>
      <c r="V11" s="34">
        <f>RTD("fxbluelabs.excelrtd", , "21422436","@bh,NZDCHF,h4,close,9")</f>
        <v>0.52600999999999998</v>
      </c>
      <c r="W11" s="34">
        <f>RTD("fxbluelabs.excelrtd", , "21422436","@bh,NZDUSD,h4,close,9")</f>
        <v>0.61628000000000005</v>
      </c>
      <c r="X11" s="34">
        <f>RTD("fxbluelabs.excelrtd", , "21422436","@bh,NZDCAD,h4,close,9")</f>
        <v>0.83914999999999995</v>
      </c>
      <c r="Y11" s="35">
        <f>RTD("fxbluelabs.excelrtd", , "21422436","@bh,CADJPY,h4,close,9")</f>
        <v>106.819</v>
      </c>
      <c r="Z11" s="34">
        <f>RTD("fxbluelabs.excelrtd", , "21422436","@bh,CADCHF,h4,close,9")</f>
        <v>0.62683</v>
      </c>
      <c r="AA11" s="35">
        <f>RTD("fxbluelabs.excelrtd", , "21422436","@bh,CHFJPY,h4,close,9")</f>
        <v>170.41</v>
      </c>
      <c r="AB11" s="34">
        <f>RTD("fxbluelabs.excelrtd", , "21422436","@bh,USDCAD,h4,close,9")</f>
        <v>1.3616900000000001</v>
      </c>
      <c r="AC11" s="34">
        <f>RTD("fxbluelabs.excelrtd", , "21422436","@bh,USDCHF,h4,close,9")</f>
        <v>0.85353000000000001</v>
      </c>
      <c r="AD11" s="35">
        <f>RTD("fxbluelabs.excelrtd", , "21422436","@bh,USDJPY,h4,close,9")</f>
        <v>145.45099999999999</v>
      </c>
      <c r="AH11" s="21">
        <v>10</v>
      </c>
      <c r="AI11" s="22">
        <f t="shared" si="29"/>
        <v>5.1877214045379441E-2</v>
      </c>
      <c r="AJ11" s="22">
        <f t="shared" si="29"/>
        <v>-9.0306220182988339E-2</v>
      </c>
      <c r="AK11" s="22">
        <f t="shared" si="29"/>
        <v>0.18366972102610848</v>
      </c>
      <c r="AL11" s="22">
        <f t="shared" si="29"/>
        <v>-5.2067966051641866E-3</v>
      </c>
      <c r="AM11" s="22">
        <f t="shared" si="29"/>
        <v>2.9383917202650264E-2</v>
      </c>
      <c r="AN11" s="22">
        <f t="shared" si="29"/>
        <v>-1.8867924528305793E-2</v>
      </c>
      <c r="AO11" s="22">
        <f t="shared" si="29"/>
        <v>-4.4858136144444116E-2</v>
      </c>
      <c r="AP11" s="22">
        <f t="shared" si="29"/>
        <v>-3.2788037050488654E-2</v>
      </c>
      <c r="AQ11" s="22">
        <f t="shared" si="29"/>
        <v>-7.7852123048444424E-2</v>
      </c>
      <c r="AR11" s="22">
        <f t="shared" si="29"/>
        <v>0.10947753854909538</v>
      </c>
      <c r="AS11" s="22">
        <f t="shared" si="29"/>
        <v>-6.547081395983062E-2</v>
      </c>
      <c r="AT11" s="22">
        <f t="shared" si="29"/>
        <v>-0.16532307113868605</v>
      </c>
      <c r="AU11" s="22">
        <f t="shared" si="29"/>
        <v>6.9051765807211707E-3</v>
      </c>
      <c r="AV11" s="22">
        <f t="shared" si="29"/>
        <v>-3.9342768695585013E-2</v>
      </c>
      <c r="AW11" s="22">
        <f t="shared" si="29"/>
        <v>-0.13551543081631048</v>
      </c>
      <c r="AX11" s="22">
        <f t="shared" si="29"/>
        <v>-1.8026442537890791E-2</v>
      </c>
      <c r="AY11" s="22">
        <f t="shared" si="0"/>
        <v>-5.0309945198085883E-2</v>
      </c>
      <c r="AZ11" s="22">
        <f t="shared" si="0"/>
        <v>0.13732708671148683</v>
      </c>
      <c r="BA11" s="22">
        <f t="shared" si="0"/>
        <v>0.29538461538461069</v>
      </c>
      <c r="BB11" s="22">
        <f t="shared" si="0"/>
        <v>0.1046701937350016</v>
      </c>
      <c r="BC11" s="22">
        <f t="shared" si="0"/>
        <v>0.14950598023921474</v>
      </c>
      <c r="BD11" s="22">
        <f t="shared" si="0"/>
        <v>0.12767277586864073</v>
      </c>
      <c r="BE11" s="22">
        <f t="shared" si="0"/>
        <v>0.16127973595131323</v>
      </c>
      <c r="BF11" s="22">
        <f t="shared" si="0"/>
        <v>-2.5518748305403433E-2</v>
      </c>
      <c r="BG11" s="22">
        <f t="shared" si="0"/>
        <v>0.19579366992597377</v>
      </c>
      <c r="BH11" s="22">
        <f t="shared" si="0"/>
        <v>-2.4962739440394628E-2</v>
      </c>
      <c r="BI11" s="22">
        <f t="shared" si="0"/>
        <v>-5.854595271828214E-2</v>
      </c>
      <c r="BJ11" s="22">
        <f t="shared" si="0"/>
        <v>0.13010973275873453</v>
      </c>
      <c r="BN11">
        <v>10</v>
      </c>
      <c r="BO11" s="23">
        <f t="shared" si="30"/>
        <v>2.0428977096489165</v>
      </c>
      <c r="BP11" s="23">
        <f t="shared" si="1"/>
        <v>-0.8265326301823479</v>
      </c>
      <c r="BQ11" s="23">
        <f t="shared" si="2"/>
        <v>-0.3230903076238183</v>
      </c>
      <c r="BR11" s="23">
        <f t="shared" si="3"/>
        <v>-6.8058681626170403E-2</v>
      </c>
      <c r="BS11" s="23">
        <f t="shared" si="4"/>
        <v>1.202917082557293</v>
      </c>
      <c r="BT11" s="23">
        <f t="shared" si="5"/>
        <v>1.3739404847056067</v>
      </c>
      <c r="BU11" s="23">
        <f t="shared" si="6"/>
        <v>0.53429225213258003</v>
      </c>
      <c r="BV11" s="23">
        <f t="shared" si="7"/>
        <v>4.9933910003178962E-2</v>
      </c>
      <c r="BW11" s="23">
        <f t="shared" si="8"/>
        <v>-0.73651260103813043</v>
      </c>
      <c r="BX11" s="23">
        <f t="shared" si="9"/>
        <v>-0.99575146833708739</v>
      </c>
      <c r="BY11" s="23">
        <f t="shared" si="10"/>
        <v>-0.66593240044543189</v>
      </c>
      <c r="BZ11" s="23">
        <f t="shared" si="11"/>
        <v>-1.4948960600004857</v>
      </c>
      <c r="CA11" s="23">
        <f t="shared" si="12"/>
        <v>1.3242987660751275</v>
      </c>
      <c r="CB11" s="23">
        <f t="shared" si="13"/>
        <v>-0.7163983260294754</v>
      </c>
      <c r="CC11" s="23">
        <f t="shared" si="14"/>
        <v>-1.5446676252645886</v>
      </c>
      <c r="CD11" s="23">
        <f t="shared" si="15"/>
        <v>0.48487334976070084</v>
      </c>
      <c r="CE11" s="23">
        <f t="shared" si="16"/>
        <v>-0.7869753406984985</v>
      </c>
      <c r="CF11" s="23">
        <f t="shared" si="17"/>
        <v>-1.0441376443578538</v>
      </c>
      <c r="CG11" s="23">
        <f t="shared" si="18"/>
        <v>0.51184899502958081</v>
      </c>
      <c r="CH11" s="23">
        <f t="shared" si="19"/>
        <v>0.76880895004269667</v>
      </c>
      <c r="CI11" s="23">
        <f t="shared" si="20"/>
        <v>2.8835367041040851</v>
      </c>
      <c r="CJ11" s="23">
        <f t="shared" si="21"/>
        <v>2.0429652671486913</v>
      </c>
      <c r="CK11" s="23">
        <f t="shared" si="22"/>
        <v>-1.526331158585315</v>
      </c>
      <c r="CL11" s="23">
        <f t="shared" si="23"/>
        <v>-1.2694264669517596</v>
      </c>
      <c r="CM11" s="23">
        <f t="shared" si="24"/>
        <v>-0.25902417547404866</v>
      </c>
      <c r="CN11" s="23">
        <f t="shared" si="25"/>
        <v>-0.83876558561947478</v>
      </c>
      <c r="CO11" s="23">
        <f t="shared" si="26"/>
        <v>-2.109828771364338</v>
      </c>
      <c r="CP11" s="23">
        <f t="shared" si="27"/>
        <v>-2.3677166768976439</v>
      </c>
      <c r="CU11" s="21">
        <v>10</v>
      </c>
      <c r="CV11" s="24">
        <f t="shared" si="31"/>
        <v>-1.9349258829797695</v>
      </c>
      <c r="CW11" s="24">
        <f t="shared" si="32"/>
        <v>-12.940984698415193</v>
      </c>
      <c r="CX11" s="24">
        <f t="shared" si="33"/>
        <v>-6.2220399915168656</v>
      </c>
      <c r="CY11" s="24">
        <f t="shared" si="34"/>
        <v>2.6735422692103921</v>
      </c>
      <c r="CZ11" s="24">
        <f t="shared" si="35"/>
        <v>-2.332940730517767</v>
      </c>
      <c r="DA11" s="24">
        <f t="shared" si="36"/>
        <v>3.4104638992487804</v>
      </c>
      <c r="DB11" s="24">
        <f t="shared" si="37"/>
        <v>10.073256231772476</v>
      </c>
      <c r="DC11" s="24">
        <f t="shared" si="38"/>
        <v>6.004202436246187</v>
      </c>
      <c r="DF11" s="17">
        <v>10</v>
      </c>
      <c r="DG11" s="26">
        <f t="shared" si="60"/>
        <v>-0.83876558561947478</v>
      </c>
      <c r="DH11" s="26">
        <f t="shared" si="39"/>
        <v>0.53429225213258003</v>
      </c>
      <c r="DI11" s="26">
        <f t="shared" si="40"/>
        <v>-2.109828771364338</v>
      </c>
      <c r="DJ11" s="26">
        <f t="shared" si="41"/>
        <v>-0.73651260103813043</v>
      </c>
      <c r="DK11" s="26">
        <f t="shared" si="42"/>
        <v>-1.3242987660751275</v>
      </c>
      <c r="DL11" s="26">
        <f t="shared" si="43"/>
        <v>4.9933910003178962E-2</v>
      </c>
      <c r="DM11" s="26">
        <f t="shared" si="44"/>
        <v>-2.0428977096489165</v>
      </c>
      <c r="DN11" s="26">
        <f t="shared" si="45"/>
        <v>-0.66593240044543189</v>
      </c>
      <c r="DO11" s="26">
        <f t="shared" si="46"/>
        <v>-2.8835367041040851</v>
      </c>
      <c r="DP11" s="26">
        <f t="shared" si="47"/>
        <v>-1.4948960600004857</v>
      </c>
      <c r="DQ11" s="26">
        <f t="shared" si="48"/>
        <v>-2.3677166768976439</v>
      </c>
      <c r="DR11" s="26">
        <f t="shared" si="49"/>
        <v>-0.99575146833708739</v>
      </c>
      <c r="DS11" s="47">
        <f t="shared" si="50"/>
        <v>-1.3739404847056067</v>
      </c>
      <c r="DT11" s="47">
        <f t="shared" si="51"/>
        <v>1.3739404847056067</v>
      </c>
      <c r="DX11">
        <v>10</v>
      </c>
      <c r="DY11" s="19">
        <f t="shared" si="52"/>
        <v>11.006058815435424</v>
      </c>
      <c r="EM11" s="21">
        <v>10</v>
      </c>
      <c r="EN11" s="16">
        <f t="shared" si="53"/>
        <v>-1.9349258829797695</v>
      </c>
      <c r="EO11" s="16">
        <f t="shared" si="28"/>
        <v>-12.940984698415193</v>
      </c>
      <c r="EP11" s="16">
        <f t="shared" si="54"/>
        <v>-6.2220399915168656</v>
      </c>
      <c r="EQ11" s="16">
        <f t="shared" si="55"/>
        <v>2.6735422692103921</v>
      </c>
      <c r="ER11" s="16">
        <f t="shared" si="56"/>
        <v>-2.332940730517767</v>
      </c>
      <c r="ES11" s="16">
        <f t="shared" si="57"/>
        <v>3.4104638992487804</v>
      </c>
      <c r="ET11" s="16">
        <f t="shared" si="58"/>
        <v>10.073256231772476</v>
      </c>
      <c r="EU11" s="16">
        <f t="shared" si="59"/>
        <v>6.004202436246187</v>
      </c>
      <c r="FK11" s="20"/>
      <c r="FL11" s="20"/>
    </row>
    <row r="12" spans="1:170" ht="14.4" thickBot="1" x14ac:dyDescent="0.35">
      <c r="A12" s="37" t="s">
        <v>51</v>
      </c>
      <c r="B12" s="38">
        <v>10</v>
      </c>
      <c r="C12" s="34">
        <f>RTD("fxbluelabs.excelrtd", , "21422436","@bh,AUDUSD,h4,close,10")</f>
        <v>0.67466999999999999</v>
      </c>
      <c r="D12" s="34">
        <f>RTD("fxbluelabs.excelrtd", , "21422436","@bh,AUDNZD,h4,close,10")</f>
        <v>1.0962700000000001</v>
      </c>
      <c r="E12" s="35">
        <f>RTD("fxbluelabs.excelrtd", , "21422436","@bh,AUDJPY,h4,close,10")</f>
        <v>98.001999999999995</v>
      </c>
      <c r="F12" s="34">
        <f>RTD("fxbluelabs.excelrtd", , "21422436","@bh,AUDCHF,h4,close,10")</f>
        <v>0.57616999999999996</v>
      </c>
      <c r="G12" s="34">
        <f>RTD("fxbluelabs.excelrtd", , "21422436","@bh,AUDCAD,h4,close,10")</f>
        <v>0.91886999999999996</v>
      </c>
      <c r="H12" s="34">
        <f>RTD("fxbluelabs.excelrtd", , "21422436","@bh,EURUSD,h4,close,10")</f>
        <v>1.113</v>
      </c>
      <c r="I12" s="34">
        <f>RTD("fxbluelabs.excelrtd", , "21422436","@bh,EURCAD,h4,close,10")</f>
        <v>1.51589</v>
      </c>
      <c r="J12" s="34">
        <f>RTD("fxbluelabs.excelrtd", , "21422436","@bh,EURGBP,h4,close,10")</f>
        <v>0.85397000000000001</v>
      </c>
      <c r="K12" s="34">
        <f>RTD("fxbluelabs.excelrtd", , "21422436","@bh,EURCHF,h4,close,10")</f>
        <v>0.95052000000000003</v>
      </c>
      <c r="L12" s="35">
        <f>RTD("fxbluelabs.excelrtd", , "21422436","@bh,EURJPY,h4,close,10")</f>
        <v>161.67699999999999</v>
      </c>
      <c r="M12" s="34">
        <f>RTD("fxbluelabs.excelrtd", , "21422436","@bh,EURAUD,h4,close,10")</f>
        <v>1.6495899999999999</v>
      </c>
      <c r="N12" s="34">
        <f>RTD("fxbluelabs.excelrtd", , "21422436","@bh,EURNZD,h4,close,10")</f>
        <v>1.8085800000000001</v>
      </c>
      <c r="O12" s="34">
        <f>RTD("fxbluelabs.excelrtd", , "21422436","@bh,GBPUSD,h4,close,10")</f>
        <v>1.3033699999999999</v>
      </c>
      <c r="P12" s="34">
        <f>RTD("fxbluelabs.excelrtd", , "21422436","@bh,GBPAUD,h4,close,10")</f>
        <v>1.93174</v>
      </c>
      <c r="Q12" s="34">
        <f>RTD("fxbluelabs.excelrtd", , "21422436","@bh,GBPNZD,h4,close,10")</f>
        <v>2.1178400000000002</v>
      </c>
      <c r="R12" s="34">
        <f>RTD("fxbluelabs.excelrtd", , "21422436","@bh,GBPCAD,h4,close,10")</f>
        <v>1.7751699999999999</v>
      </c>
      <c r="S12" s="34">
        <f>RTD("fxbluelabs.excelrtd", , "21422436","@bh,GBPCHF,h4,close,10")</f>
        <v>1.1131</v>
      </c>
      <c r="T12" s="35">
        <f>RTD("fxbluelabs.excelrtd", , "21422436","@bh,GBPJPY,h4,close,10")</f>
        <v>189.32900000000001</v>
      </c>
      <c r="U12" s="35">
        <f>RTD("fxbluelabs.excelrtd", , "21422436","@bh,NZDJPY,h4,close,10")</f>
        <v>89.375</v>
      </c>
      <c r="V12" s="34">
        <f>RTD("fxbluelabs.excelrtd", , "21422436","@bh,NZDCHF,h4,close,10")</f>
        <v>0.52546000000000004</v>
      </c>
      <c r="W12" s="34">
        <f>RTD("fxbluelabs.excelrtd", , "21422436","@bh,NZDUSD,h4,close,10")</f>
        <v>0.61536000000000002</v>
      </c>
      <c r="X12" s="34">
        <f>RTD("fxbluelabs.excelrtd", , "21422436","@bh,NZDCAD,h4,close,10")</f>
        <v>0.83808000000000005</v>
      </c>
      <c r="Y12" s="35">
        <f>RTD("fxbluelabs.excelrtd", , "21422436","@bh,CADJPY,h4,close,10")</f>
        <v>106.64700000000001</v>
      </c>
      <c r="Z12" s="34">
        <f>RTD("fxbluelabs.excelrtd", , "21422436","@bh,CADCHF,h4,close,10")</f>
        <v>0.62699000000000005</v>
      </c>
      <c r="AA12" s="35">
        <f>RTD("fxbluelabs.excelrtd", , "21422436","@bh,CHFJPY,h4,close,10")</f>
        <v>170.077</v>
      </c>
      <c r="AB12" s="34">
        <f>RTD("fxbluelabs.excelrtd", , "21422436","@bh,USDCAD,h4,close,10")</f>
        <v>1.3620300000000001</v>
      </c>
      <c r="AC12" s="34">
        <f>RTD("fxbluelabs.excelrtd", , "21422436","@bh,USDCHF,h4,close,10")</f>
        <v>0.85402999999999996</v>
      </c>
      <c r="AD12" s="35">
        <f>RTD("fxbluelabs.excelrtd", , "21422436","@bh,USDJPY,h4,close,10")</f>
        <v>145.262</v>
      </c>
      <c r="AH12" s="21">
        <v>11</v>
      </c>
      <c r="AI12" s="27">
        <f t="shared" si="29"/>
        <v>0.15290065910575015</v>
      </c>
      <c r="AJ12" s="27">
        <f t="shared" si="29"/>
        <v>7.2980049079155989E-3</v>
      </c>
      <c r="AK12" s="27">
        <f t="shared" si="29"/>
        <v>5.9217512047693294E-2</v>
      </c>
      <c r="AL12" s="27">
        <f t="shared" si="29"/>
        <v>-9.8831362485707674E-2</v>
      </c>
      <c r="AM12" s="27">
        <f t="shared" si="29"/>
        <v>7.187898193223706E-2</v>
      </c>
      <c r="AN12" s="27">
        <f t="shared" si="29"/>
        <v>0.13495276653171903</v>
      </c>
      <c r="AO12" s="27">
        <f t="shared" si="29"/>
        <v>5.874587458746254E-2</v>
      </c>
      <c r="AP12" s="27">
        <f t="shared" si="29"/>
        <v>7.2654830960327405E-2</v>
      </c>
      <c r="AQ12" s="27">
        <f t="shared" si="29"/>
        <v>-0.11559235829427605</v>
      </c>
      <c r="AR12" s="27">
        <f t="shared" si="29"/>
        <v>4.6410316703994155E-2</v>
      </c>
      <c r="AS12" s="27">
        <f t="shared" si="29"/>
        <v>-2.0606934839660286E-2</v>
      </c>
      <c r="AT12" s="27">
        <f t="shared" si="29"/>
        <v>-5.5288940000436217E-3</v>
      </c>
      <c r="AU12" s="27">
        <f t="shared" si="29"/>
        <v>6.5258115038542022E-2</v>
      </c>
      <c r="AV12" s="27">
        <f t="shared" si="29"/>
        <v>-8.9993172931712495E-2</v>
      </c>
      <c r="AW12" s="27">
        <f t="shared" si="29"/>
        <v>-7.8320358575124926E-2</v>
      </c>
      <c r="AX12" s="27">
        <f t="shared" si="29"/>
        <v>-1.1265257382966817E-2</v>
      </c>
      <c r="AY12" s="27">
        <f t="shared" si="0"/>
        <v>-0.18383177151056873</v>
      </c>
      <c r="AZ12" s="27">
        <f t="shared" si="0"/>
        <v>-2.4818350794185665E-2</v>
      </c>
      <c r="BA12" s="27">
        <f t="shared" si="0"/>
        <v>3.9176180882019913E-2</v>
      </c>
      <c r="BB12" s="27">
        <f t="shared" si="0"/>
        <v>-0.11785279805351923</v>
      </c>
      <c r="BC12" s="27">
        <f t="shared" si="0"/>
        <v>0.14484026884958703</v>
      </c>
      <c r="BD12" s="27">
        <f t="shared" si="0"/>
        <v>6.5669289458294089E-2</v>
      </c>
      <c r="BE12" s="27">
        <f t="shared" si="0"/>
        <v>-1.9687253909326879E-2</v>
      </c>
      <c r="BF12" s="27">
        <f t="shared" si="0"/>
        <v>-0.17990192956759288</v>
      </c>
      <c r="BG12" s="27">
        <f t="shared" si="0"/>
        <v>0.15664474032894873</v>
      </c>
      <c r="BH12" s="27">
        <f t="shared" si="0"/>
        <v>-7.7764490972704589E-2</v>
      </c>
      <c r="BI12" s="27">
        <f t="shared" si="0"/>
        <v>-0.2511154196547567</v>
      </c>
      <c r="BJ12" s="27">
        <f t="shared" si="0"/>
        <v>-9.2849233477988485E-2</v>
      </c>
      <c r="BN12">
        <v>11</v>
      </c>
      <c r="BO12" s="28">
        <f t="shared" si="30"/>
        <v>1.9910204956035369</v>
      </c>
      <c r="BP12" s="28">
        <f t="shared" si="1"/>
        <v>-0.73622640999935951</v>
      </c>
      <c r="BQ12" s="28">
        <f t="shared" si="2"/>
        <v>-0.50676002864992664</v>
      </c>
      <c r="BR12" s="28">
        <f t="shared" si="3"/>
        <v>-6.2851885021006221E-2</v>
      </c>
      <c r="BS12" s="28">
        <f t="shared" si="4"/>
        <v>1.1735331653546426</v>
      </c>
      <c r="BT12" s="28">
        <f t="shared" si="5"/>
        <v>1.3928084092339126</v>
      </c>
      <c r="BU12" s="28">
        <f t="shared" si="6"/>
        <v>0.57915038827702425</v>
      </c>
      <c r="BV12" s="28">
        <f t="shared" si="7"/>
        <v>8.2721947053667672E-2</v>
      </c>
      <c r="BW12" s="28">
        <f t="shared" si="8"/>
        <v>-0.65866047798968597</v>
      </c>
      <c r="BX12" s="28">
        <f t="shared" si="9"/>
        <v>-1.1052290068861828</v>
      </c>
      <c r="BY12" s="28">
        <f t="shared" si="10"/>
        <v>-0.60046158648560133</v>
      </c>
      <c r="BZ12" s="28">
        <f t="shared" si="11"/>
        <v>-1.3295729888618</v>
      </c>
      <c r="CA12" s="28">
        <f t="shared" si="12"/>
        <v>1.3173935894944067</v>
      </c>
      <c r="CB12" s="28">
        <f t="shared" si="13"/>
        <v>-0.67705555733389045</v>
      </c>
      <c r="CC12" s="28">
        <f t="shared" si="14"/>
        <v>-1.4091521944482781</v>
      </c>
      <c r="CD12" s="28">
        <f t="shared" si="15"/>
        <v>0.50289979229859161</v>
      </c>
      <c r="CE12" s="28">
        <f t="shared" si="16"/>
        <v>-0.73666539550041243</v>
      </c>
      <c r="CF12" s="28">
        <f t="shared" si="17"/>
        <v>-1.1814647310693407</v>
      </c>
      <c r="CG12" s="28">
        <f t="shared" si="18"/>
        <v>0.21646437964497009</v>
      </c>
      <c r="CH12" s="28">
        <f t="shared" si="19"/>
        <v>0.66413875630769514</v>
      </c>
      <c r="CI12" s="28">
        <f t="shared" si="20"/>
        <v>2.73403072386487</v>
      </c>
      <c r="CJ12" s="28">
        <f t="shared" si="21"/>
        <v>1.9152924912800504</v>
      </c>
      <c r="CK12" s="28">
        <f t="shared" si="22"/>
        <v>-1.6876108945366284</v>
      </c>
      <c r="CL12" s="28">
        <f t="shared" si="23"/>
        <v>-1.2439077186463559</v>
      </c>
      <c r="CM12" s="28">
        <f t="shared" si="24"/>
        <v>-0.45481784540002224</v>
      </c>
      <c r="CN12" s="28">
        <f t="shared" si="25"/>
        <v>-0.81380284617908016</v>
      </c>
      <c r="CO12" s="28">
        <f t="shared" si="26"/>
        <v>-2.0512828186460559</v>
      </c>
      <c r="CP12" s="28">
        <f t="shared" si="27"/>
        <v>-2.4978264096563789</v>
      </c>
      <c r="CU12" s="13">
        <v>11</v>
      </c>
      <c r="CV12" s="29">
        <f t="shared" si="31"/>
        <v>-1.6392433156586654</v>
      </c>
      <c r="CW12" s="29">
        <f t="shared" si="32"/>
        <v>-12.798165292678242</v>
      </c>
      <c r="CX12" s="29">
        <f t="shared" si="33"/>
        <v>-6.2885916042142131</v>
      </c>
      <c r="CY12" s="29">
        <f t="shared" si="34"/>
        <v>2.3905039754494428</v>
      </c>
      <c r="CZ12" s="29">
        <f t="shared" si="35"/>
        <v>-2.2667664436125912</v>
      </c>
      <c r="DA12" s="29">
        <f t="shared" si="36"/>
        <v>3.1362324811073785</v>
      </c>
      <c r="DB12" s="29">
        <f t="shared" si="37"/>
        <v>9.0048779444070242</v>
      </c>
      <c r="DC12" s="29">
        <f t="shared" si="38"/>
        <v>7.2172445365535101</v>
      </c>
      <c r="DF12" s="25">
        <v>11</v>
      </c>
      <c r="DG12" s="31">
        <f t="shared" si="60"/>
        <v>-0.81380284617908016</v>
      </c>
      <c r="DH12" s="31">
        <f t="shared" si="39"/>
        <v>0.57915038827702425</v>
      </c>
      <c r="DI12" s="31">
        <f t="shared" si="40"/>
        <v>-2.0512828186460559</v>
      </c>
      <c r="DJ12" s="31">
        <f t="shared" si="41"/>
        <v>-0.65866047798968597</v>
      </c>
      <c r="DK12" s="31">
        <f t="shared" si="42"/>
        <v>-1.3173935894944067</v>
      </c>
      <c r="DL12" s="31">
        <f t="shared" si="43"/>
        <v>8.2721947053667672E-2</v>
      </c>
      <c r="DM12" s="31">
        <f t="shared" si="44"/>
        <v>-1.9910204956035369</v>
      </c>
      <c r="DN12" s="31">
        <f t="shared" si="45"/>
        <v>-0.60046158648560133</v>
      </c>
      <c r="DO12" s="31">
        <f t="shared" si="46"/>
        <v>-2.73403072386487</v>
      </c>
      <c r="DP12" s="31">
        <f t="shared" si="47"/>
        <v>-1.3295729888618</v>
      </c>
      <c r="DQ12" s="31">
        <f t="shared" si="48"/>
        <v>-2.4978264096563789</v>
      </c>
      <c r="DR12" s="31">
        <f t="shared" si="49"/>
        <v>-1.1052290068861828</v>
      </c>
      <c r="DS12" s="49">
        <f t="shared" si="50"/>
        <v>-1.3928084092339126</v>
      </c>
      <c r="DT12" s="49">
        <f t="shared" si="51"/>
        <v>1.3928084092339126</v>
      </c>
      <c r="DX12">
        <v>11</v>
      </c>
      <c r="DY12" s="19">
        <f t="shared" si="52"/>
        <v>11.158921977019576</v>
      </c>
      <c r="EM12" s="13">
        <v>11</v>
      </c>
      <c r="EN12" s="16">
        <f t="shared" si="53"/>
        <v>-1.6392433156586654</v>
      </c>
      <c r="EO12" s="16">
        <f t="shared" si="28"/>
        <v>-12.798165292678242</v>
      </c>
      <c r="EP12" s="16">
        <f t="shared" si="54"/>
        <v>-6.2885916042142131</v>
      </c>
      <c r="EQ12" s="16">
        <f t="shared" si="55"/>
        <v>2.3905039754494428</v>
      </c>
      <c r="ER12" s="16">
        <f t="shared" si="56"/>
        <v>-2.2667664436125912</v>
      </c>
      <c r="ES12" s="16">
        <f t="shared" si="57"/>
        <v>3.1362324811073785</v>
      </c>
      <c r="ET12" s="16">
        <f t="shared" si="58"/>
        <v>9.0048779444070242</v>
      </c>
      <c r="EU12" s="16">
        <f t="shared" si="59"/>
        <v>7.2172445365535101</v>
      </c>
      <c r="FK12" s="20"/>
      <c r="FL12" s="20"/>
    </row>
    <row r="13" spans="1:170" ht="14.4" thickBot="1" x14ac:dyDescent="0.35">
      <c r="A13" s="37" t="s">
        <v>51</v>
      </c>
      <c r="B13" s="38">
        <v>11</v>
      </c>
      <c r="C13" s="34">
        <f>RTD("fxbluelabs.excelrtd", , "21422436","@bh,AUDUSD,h4,close,11")</f>
        <v>0.67364000000000002</v>
      </c>
      <c r="D13" s="34">
        <f>RTD("fxbluelabs.excelrtd", , "21422436","@bh,AUDNZD,h4,close,11")</f>
        <v>1.09619</v>
      </c>
      <c r="E13" s="35">
        <f>RTD("fxbluelabs.excelrtd", , "21422436","@bh,AUDJPY,h4,close,11")</f>
        <v>97.944000000000003</v>
      </c>
      <c r="F13" s="34">
        <f>RTD("fxbluelabs.excelrtd", , "21422436","@bh,AUDCHF,h4,close,11")</f>
        <v>0.57674000000000003</v>
      </c>
      <c r="G13" s="34">
        <f>RTD("fxbluelabs.excelrtd", , "21422436","@bh,AUDCAD,h4,close,11")</f>
        <v>0.91820999999999997</v>
      </c>
      <c r="H13" s="34">
        <f>RTD("fxbluelabs.excelrtd", , "21422436","@bh,EURUSD,h4,close,11")</f>
        <v>1.1114999999999999</v>
      </c>
      <c r="I13" s="34">
        <f>RTD("fxbluelabs.excelrtd", , "21422436","@bh,EURCAD,h4,close,11")</f>
        <v>1.5149999999999999</v>
      </c>
      <c r="J13" s="34">
        <f>RTD("fxbluelabs.excelrtd", , "21422436","@bh,EURGBP,h4,close,11")</f>
        <v>0.85335000000000005</v>
      </c>
      <c r="K13" s="34">
        <f>RTD("fxbluelabs.excelrtd", , "21422436","@bh,EURCHF,h4,close,11")</f>
        <v>0.95162000000000002</v>
      </c>
      <c r="L13" s="35">
        <f>RTD("fxbluelabs.excelrtd", , "21422436","@bh,EURJPY,h4,close,11")</f>
        <v>161.602</v>
      </c>
      <c r="M13" s="34">
        <f>RTD("fxbluelabs.excelrtd", , "21422436","@bh,EURAUD,h4,close,11")</f>
        <v>1.6499299999999999</v>
      </c>
      <c r="N13" s="34">
        <f>RTD("fxbluelabs.excelrtd", , "21422436","@bh,EURNZD,h4,close,11")</f>
        <v>1.8086800000000001</v>
      </c>
      <c r="O13" s="34">
        <f>RTD("fxbluelabs.excelrtd", , "21422436","@bh,GBPUSD,h4,close,11")</f>
        <v>1.3025199999999999</v>
      </c>
      <c r="P13" s="34">
        <f>RTD("fxbluelabs.excelrtd", , "21422436","@bh,GBPAUD,h4,close,11")</f>
        <v>1.9334800000000001</v>
      </c>
      <c r="Q13" s="34">
        <f>RTD("fxbluelabs.excelrtd", , "21422436","@bh,GBPNZD,h4,close,11")</f>
        <v>2.1194999999999999</v>
      </c>
      <c r="R13" s="34">
        <f>RTD("fxbluelabs.excelrtd", , "21422436","@bh,GBPCAD,h4,close,11")</f>
        <v>1.7753699999999999</v>
      </c>
      <c r="S13" s="34">
        <f>RTD("fxbluelabs.excelrtd", , "21422436","@bh,GBPCHF,h4,close,11")</f>
        <v>1.1151500000000001</v>
      </c>
      <c r="T13" s="35">
        <f>RTD("fxbluelabs.excelrtd", , "21422436","@bh,GBPJPY,h4,close,11")</f>
        <v>189.376</v>
      </c>
      <c r="U13" s="35">
        <f>RTD("fxbluelabs.excelrtd", , "21422436","@bh,NZDJPY,h4,close,11")</f>
        <v>89.34</v>
      </c>
      <c r="V13" s="34">
        <f>RTD("fxbluelabs.excelrtd", , "21422436","@bh,NZDCHF,h4,close,11")</f>
        <v>0.52607999999999999</v>
      </c>
      <c r="W13" s="34">
        <f>RTD("fxbluelabs.excelrtd", , "21422436","@bh,NZDUSD,h4,close,11")</f>
        <v>0.61446999999999996</v>
      </c>
      <c r="X13" s="34">
        <f>RTD("fxbluelabs.excelrtd", , "21422436","@bh,NZDCAD,h4,close,11")</f>
        <v>0.83753</v>
      </c>
      <c r="Y13" s="35">
        <f>RTD("fxbluelabs.excelrtd", , "21422436","@bh,CADJPY,h4,close,11")</f>
        <v>106.66800000000001</v>
      </c>
      <c r="Z13" s="34">
        <f>RTD("fxbluelabs.excelrtd", , "21422436","@bh,CADCHF,h4,close,11")</f>
        <v>0.62812000000000001</v>
      </c>
      <c r="AA13" s="35">
        <f>RTD("fxbluelabs.excelrtd", , "21422436","@bh,CHFJPY,h4,close,11")</f>
        <v>169.81100000000001</v>
      </c>
      <c r="AB13" s="34">
        <f>RTD("fxbluelabs.excelrtd", , "21422436","@bh,USDCAD,h4,close,11")</f>
        <v>1.3630899999999999</v>
      </c>
      <c r="AC13" s="34">
        <f>RTD("fxbluelabs.excelrtd", , "21422436","@bh,USDCHF,h4,close,11")</f>
        <v>0.85618000000000005</v>
      </c>
      <c r="AD13" s="35">
        <f>RTD("fxbluelabs.excelrtd", , "21422436","@bh,USDJPY,h4,close,11")</f>
        <v>145.39699999999999</v>
      </c>
      <c r="AH13" s="21">
        <v>12</v>
      </c>
      <c r="AI13" s="22">
        <f t="shared" si="29"/>
        <v>-7.7133024801228925E-2</v>
      </c>
      <c r="AJ13" s="22">
        <f t="shared" si="29"/>
        <v>-8.6588767158248384E-2</v>
      </c>
      <c r="AK13" s="22">
        <f t="shared" si="29"/>
        <v>-0.60684784152949911</v>
      </c>
      <c r="AL13" s="22">
        <f t="shared" si="29"/>
        <v>-0.41956593055578367</v>
      </c>
      <c r="AM13" s="22">
        <f t="shared" si="29"/>
        <v>-2.1781035252627342E-3</v>
      </c>
      <c r="AN13" s="22">
        <f t="shared" si="29"/>
        <v>0.1495711093490949</v>
      </c>
      <c r="AO13" s="22">
        <f t="shared" si="29"/>
        <v>0.22426419512969645</v>
      </c>
      <c r="AP13" s="22">
        <f t="shared" si="29"/>
        <v>0.16785613672645816</v>
      </c>
      <c r="AQ13" s="22">
        <f t="shared" si="29"/>
        <v>-0.19298135212803399</v>
      </c>
      <c r="AR13" s="22">
        <f t="shared" si="29"/>
        <v>-0.3815782173701307</v>
      </c>
      <c r="AS13" s="22">
        <f t="shared" si="29"/>
        <v>0.22475595755148517</v>
      </c>
      <c r="AT13" s="22">
        <f t="shared" si="29"/>
        <v>0.13952252292156164</v>
      </c>
      <c r="AU13" s="22">
        <f t="shared" si="29"/>
        <v>-1.5352493244918325E-2</v>
      </c>
      <c r="AV13" s="22">
        <f t="shared" si="29"/>
        <v>6.0031464767742911E-2</v>
      </c>
      <c r="AW13" s="22">
        <f t="shared" si="29"/>
        <v>-2.5471217524196947E-2</v>
      </c>
      <c r="AX13" s="22">
        <f t="shared" si="29"/>
        <v>6.0305472580730678E-2</v>
      </c>
      <c r="AY13" s="22">
        <f t="shared" si="0"/>
        <v>-0.35830444261766392</v>
      </c>
      <c r="AZ13" s="22">
        <f t="shared" si="0"/>
        <v>-0.54565029015570587</v>
      </c>
      <c r="BA13" s="22">
        <f t="shared" si="0"/>
        <v>-0.52554224379814973</v>
      </c>
      <c r="BB13" s="22">
        <f t="shared" si="0"/>
        <v>-0.33721062402909935</v>
      </c>
      <c r="BC13" s="22">
        <f t="shared" si="0"/>
        <v>6.5100987907375906E-3</v>
      </c>
      <c r="BD13" s="22">
        <f t="shared" si="0"/>
        <v>8.0061181081656232E-2</v>
      </c>
      <c r="BE13" s="22">
        <f t="shared" si="0"/>
        <v>-0.60475041232981419</v>
      </c>
      <c r="BF13" s="22">
        <f t="shared" si="0"/>
        <v>-0.41538510321209304</v>
      </c>
      <c r="BG13" s="22">
        <f t="shared" si="0"/>
        <v>-0.19102365166689508</v>
      </c>
      <c r="BH13" s="22">
        <f t="shared" si="0"/>
        <v>7.4886019073911098E-2</v>
      </c>
      <c r="BI13" s="22">
        <f t="shared" si="0"/>
        <v>-0.34337061911467381</v>
      </c>
      <c r="BJ13" s="22">
        <f t="shared" si="0"/>
        <v>-0.52951679881782365</v>
      </c>
      <c r="BN13">
        <v>12</v>
      </c>
      <c r="BO13" s="23">
        <f t="shared" si="30"/>
        <v>1.8381198364977864</v>
      </c>
      <c r="BP13" s="23">
        <f t="shared" si="1"/>
        <v>-0.74352441490727506</v>
      </c>
      <c r="BQ13" s="23">
        <f t="shared" si="2"/>
        <v>-0.56597754069761996</v>
      </c>
      <c r="BR13" s="23">
        <f t="shared" si="3"/>
        <v>3.597947746470137E-2</v>
      </c>
      <c r="BS13" s="23">
        <f t="shared" si="4"/>
        <v>1.1016541834224056</v>
      </c>
      <c r="BT13" s="23">
        <f t="shared" si="5"/>
        <v>1.2578556427021934</v>
      </c>
      <c r="BU13" s="23">
        <f t="shared" si="6"/>
        <v>0.52040451368956164</v>
      </c>
      <c r="BV13" s="23">
        <f t="shared" si="7"/>
        <v>1.0067116093340212E-2</v>
      </c>
      <c r="BW13" s="23">
        <f t="shared" si="8"/>
        <v>-0.54306811969540991</v>
      </c>
      <c r="BX13" s="23">
        <f t="shared" si="9"/>
        <v>-1.151639323590177</v>
      </c>
      <c r="BY13" s="23">
        <f t="shared" si="10"/>
        <v>-0.57985465164594119</v>
      </c>
      <c r="BZ13" s="23">
        <f t="shared" si="11"/>
        <v>-1.3240440948617564</v>
      </c>
      <c r="CA13" s="23">
        <f t="shared" si="12"/>
        <v>1.2521354744558646</v>
      </c>
      <c r="CB13" s="23">
        <f t="shared" si="13"/>
        <v>-0.58706238440217795</v>
      </c>
      <c r="CC13" s="23">
        <f t="shared" si="14"/>
        <v>-1.330831835873153</v>
      </c>
      <c r="CD13" s="23">
        <f t="shared" si="15"/>
        <v>0.51416504968155841</v>
      </c>
      <c r="CE13" s="23">
        <f t="shared" si="16"/>
        <v>-0.55283362398984381</v>
      </c>
      <c r="CF13" s="23">
        <f t="shared" si="17"/>
        <v>-1.1566463802751552</v>
      </c>
      <c r="CG13" s="23">
        <f t="shared" si="18"/>
        <v>0.17728819876295021</v>
      </c>
      <c r="CH13" s="23">
        <f t="shared" si="19"/>
        <v>0.78199155436121437</v>
      </c>
      <c r="CI13" s="23">
        <f t="shared" si="20"/>
        <v>2.5891904550152831</v>
      </c>
      <c r="CJ13" s="23">
        <f t="shared" si="21"/>
        <v>1.8496232018217567</v>
      </c>
      <c r="CK13" s="23">
        <f t="shared" si="22"/>
        <v>-1.6679236406273017</v>
      </c>
      <c r="CL13" s="23">
        <f t="shared" si="23"/>
        <v>-1.0640057890787633</v>
      </c>
      <c r="CM13" s="23">
        <f t="shared" si="24"/>
        <v>-0.61146258572897105</v>
      </c>
      <c r="CN13" s="23">
        <f t="shared" si="25"/>
        <v>-0.73603835520637562</v>
      </c>
      <c r="CO13" s="23">
        <f t="shared" si="26"/>
        <v>-1.8001673989912992</v>
      </c>
      <c r="CP13" s="23">
        <f t="shared" si="27"/>
        <v>-2.4049771761783894</v>
      </c>
      <c r="CU13" s="21">
        <v>12</v>
      </c>
      <c r="CV13" s="24">
        <f t="shared" si="31"/>
        <v>-1.8102789173081892</v>
      </c>
      <c r="CW13" s="24">
        <f t="shared" si="32"/>
        <v>-11.878484339047191</v>
      </c>
      <c r="CX13" s="24">
        <f t="shared" si="33"/>
        <v>-5.981738023114973</v>
      </c>
      <c r="CY13" s="24">
        <f t="shared" si="34"/>
        <v>1.4666355251216663</v>
      </c>
      <c r="CZ13" s="24">
        <f t="shared" si="35"/>
        <v>-1.8711408164962471</v>
      </c>
      <c r="DA13" s="24">
        <f t="shared" si="36"/>
        <v>2.8331685778281175</v>
      </c>
      <c r="DB13" s="24">
        <f t="shared" si="37"/>
        <v>8.7964937556033895</v>
      </c>
      <c r="DC13" s="24">
        <f t="shared" si="38"/>
        <v>7.3813384483346649</v>
      </c>
      <c r="DF13" s="30">
        <v>12</v>
      </c>
      <c r="DG13" s="26">
        <f t="shared" si="60"/>
        <v>-0.73603835520637562</v>
      </c>
      <c r="DH13" s="26">
        <f t="shared" si="39"/>
        <v>0.52040451368956164</v>
      </c>
      <c r="DI13" s="26">
        <f t="shared" si="40"/>
        <v>-1.8001673989912992</v>
      </c>
      <c r="DJ13" s="26">
        <f t="shared" si="41"/>
        <v>-0.54306811969540991</v>
      </c>
      <c r="DK13" s="26">
        <f t="shared" si="42"/>
        <v>-1.2521354744558646</v>
      </c>
      <c r="DL13" s="26">
        <f t="shared" si="43"/>
        <v>1.0067116093340212E-2</v>
      </c>
      <c r="DM13" s="26">
        <f t="shared" si="44"/>
        <v>-1.8381198364977864</v>
      </c>
      <c r="DN13" s="26">
        <f t="shared" si="45"/>
        <v>-0.57985465164594119</v>
      </c>
      <c r="DO13" s="26">
        <f t="shared" si="46"/>
        <v>-2.5891904550152831</v>
      </c>
      <c r="DP13" s="26">
        <f t="shared" si="47"/>
        <v>-1.3240440948617564</v>
      </c>
      <c r="DQ13" s="26">
        <f t="shared" si="48"/>
        <v>-2.4049771761783894</v>
      </c>
      <c r="DR13" s="26">
        <f t="shared" si="49"/>
        <v>-1.151639323590177</v>
      </c>
      <c r="DS13" s="47">
        <f t="shared" si="50"/>
        <v>-1.2578556427021934</v>
      </c>
      <c r="DT13" s="47">
        <f t="shared" si="51"/>
        <v>1.2578556427021934</v>
      </c>
      <c r="DX13">
        <v>12</v>
      </c>
      <c r="DY13" s="19">
        <f t="shared" si="52"/>
        <v>10.068205421739002</v>
      </c>
      <c r="EM13" s="21">
        <v>12</v>
      </c>
      <c r="EN13" s="16">
        <f t="shared" si="53"/>
        <v>-1.8102789173081892</v>
      </c>
      <c r="EO13" s="16">
        <f t="shared" si="28"/>
        <v>-11.878484339047191</v>
      </c>
      <c r="EP13" s="16">
        <f t="shared" si="54"/>
        <v>-5.981738023114973</v>
      </c>
      <c r="EQ13" s="16">
        <f t="shared" si="55"/>
        <v>1.4666355251216663</v>
      </c>
      <c r="ER13" s="16">
        <f t="shared" si="56"/>
        <v>-1.8711408164962471</v>
      </c>
      <c r="ES13" s="16">
        <f t="shared" si="57"/>
        <v>2.8331685778281175</v>
      </c>
      <c r="ET13" s="16">
        <f t="shared" si="58"/>
        <v>8.7964937556033895</v>
      </c>
      <c r="EU13" s="16">
        <f t="shared" si="59"/>
        <v>7.3813384483346649</v>
      </c>
      <c r="FK13" s="20"/>
      <c r="FL13" s="20"/>
    </row>
    <row r="14" spans="1:170" ht="14.4" thickBot="1" x14ac:dyDescent="0.35">
      <c r="A14" s="37" t="s">
        <v>51</v>
      </c>
      <c r="B14" s="38">
        <v>12</v>
      </c>
      <c r="C14" s="34">
        <f>RTD("fxbluelabs.excelrtd", , "21422436","@bh,AUDUSD,h4,close,12")</f>
        <v>0.67415999999999998</v>
      </c>
      <c r="D14" s="34">
        <f>RTD("fxbluelabs.excelrtd", , "21422436","@bh,AUDNZD,h4,close,12")</f>
        <v>1.09714</v>
      </c>
      <c r="E14" s="35">
        <f>RTD("fxbluelabs.excelrtd", , "21422436","@bh,AUDJPY,h4,close,12")</f>
        <v>98.542000000000002</v>
      </c>
      <c r="F14" s="34">
        <f>RTD("fxbluelabs.excelrtd", , "21422436","@bh,AUDCHF,h4,close,12")</f>
        <v>0.57916999999999996</v>
      </c>
      <c r="G14" s="34">
        <f>RTD("fxbluelabs.excelrtd", , "21422436","@bh,AUDCAD,h4,close,12")</f>
        <v>0.91822999999999999</v>
      </c>
      <c r="H14" s="34">
        <f>RTD("fxbluelabs.excelrtd", , "21422436","@bh,EURUSD,h4,close,12")</f>
        <v>1.1098399999999999</v>
      </c>
      <c r="I14" s="34">
        <f>RTD("fxbluelabs.excelrtd", , "21422436","@bh,EURCAD,h4,close,12")</f>
        <v>1.5116099999999999</v>
      </c>
      <c r="J14" s="34">
        <f>RTD("fxbluelabs.excelrtd", , "21422436","@bh,EURGBP,h4,close,12")</f>
        <v>0.85192000000000001</v>
      </c>
      <c r="K14" s="34">
        <f>RTD("fxbluelabs.excelrtd", , "21422436","@bh,EURCHF,h4,close,12")</f>
        <v>0.95345999999999997</v>
      </c>
      <c r="L14" s="35">
        <f>RTD("fxbluelabs.excelrtd", , "21422436","@bh,EURJPY,h4,close,12")</f>
        <v>162.221</v>
      </c>
      <c r="M14" s="34">
        <f>RTD("fxbluelabs.excelrtd", , "21422436","@bh,EURAUD,h4,close,12")</f>
        <v>1.6462300000000001</v>
      </c>
      <c r="N14" s="34">
        <f>RTD("fxbluelabs.excelrtd", , "21422436","@bh,EURNZD,h4,close,12")</f>
        <v>1.80616</v>
      </c>
      <c r="O14" s="34">
        <f>RTD("fxbluelabs.excelrtd", , "21422436","@bh,GBPUSD,h4,close,12")</f>
        <v>1.3027200000000001</v>
      </c>
      <c r="P14" s="34">
        <f>RTD("fxbluelabs.excelrtd", , "21422436","@bh,GBPAUD,h4,close,12")</f>
        <v>1.93232</v>
      </c>
      <c r="Q14" s="34">
        <f>RTD("fxbluelabs.excelrtd", , "21422436","@bh,GBPNZD,h4,close,12")</f>
        <v>2.1200399999999999</v>
      </c>
      <c r="R14" s="34">
        <f>RTD("fxbluelabs.excelrtd", , "21422436","@bh,GBPCAD,h4,close,12")</f>
        <v>1.7743</v>
      </c>
      <c r="S14" s="34">
        <f>RTD("fxbluelabs.excelrtd", , "21422436","@bh,GBPCHF,h4,close,12")</f>
        <v>1.1191599999999999</v>
      </c>
      <c r="T14" s="35">
        <f>RTD("fxbluelabs.excelrtd", , "21422436","@bh,GBPJPY,h4,close,12")</f>
        <v>190.41499999999999</v>
      </c>
      <c r="U14" s="35">
        <f>RTD("fxbluelabs.excelrtd", , "21422436","@bh,NZDJPY,h4,close,12")</f>
        <v>89.811999999999998</v>
      </c>
      <c r="V14" s="34">
        <f>RTD("fxbluelabs.excelrtd", , "21422436","@bh,NZDCHF,h4,close,12")</f>
        <v>0.52786</v>
      </c>
      <c r="W14" s="34">
        <f>RTD("fxbluelabs.excelrtd", , "21422436","@bh,NZDUSD,h4,close,12")</f>
        <v>0.61443000000000003</v>
      </c>
      <c r="X14" s="34">
        <f>RTD("fxbluelabs.excelrtd", , "21422436","@bh,NZDCAD,h4,close,12")</f>
        <v>0.83686000000000005</v>
      </c>
      <c r="Y14" s="35">
        <f>RTD("fxbluelabs.excelrtd", , "21422436","@bh,CADJPY,h4,close,12")</f>
        <v>107.31699999999999</v>
      </c>
      <c r="Z14" s="34">
        <f>RTD("fxbluelabs.excelrtd", , "21422436","@bh,CADCHF,h4,close,12")</f>
        <v>0.63073999999999997</v>
      </c>
      <c r="AA14" s="35">
        <f>RTD("fxbluelabs.excelrtd", , "21422436","@bh,CHFJPY,h4,close,12")</f>
        <v>170.136</v>
      </c>
      <c r="AB14" s="34">
        <f>RTD("fxbluelabs.excelrtd", , "21422436","@bh,USDCAD,h4,close,12")</f>
        <v>1.3620699999999999</v>
      </c>
      <c r="AC14" s="34">
        <f>RTD("fxbluelabs.excelrtd", , "21422436","@bh,USDCHF,h4,close,12")</f>
        <v>0.85912999999999995</v>
      </c>
      <c r="AD14" s="35">
        <f>RTD("fxbluelabs.excelrtd", , "21422436","@bh,USDJPY,h4,close,12")</f>
        <v>146.17099999999999</v>
      </c>
      <c r="AH14" s="13">
        <v>13</v>
      </c>
      <c r="AI14" s="27">
        <f t="shared" si="29"/>
        <v>0.19916173716595939</v>
      </c>
      <c r="AJ14" s="27">
        <f t="shared" si="29"/>
        <v>6.2017766265984528E-2</v>
      </c>
      <c r="AK14" s="27">
        <f t="shared" si="29"/>
        <v>-4.0575358584723421E-2</v>
      </c>
      <c r="AL14" s="27">
        <f t="shared" si="29"/>
        <v>8.4675468307180216E-2</v>
      </c>
      <c r="AM14" s="27">
        <f t="shared" si="29"/>
        <v>0.2303191721608463</v>
      </c>
      <c r="AN14" s="27">
        <f t="shared" si="29"/>
        <v>0.16787306630083332</v>
      </c>
      <c r="AO14" s="27">
        <f t="shared" si="29"/>
        <v>0.19686605154310619</v>
      </c>
      <c r="AP14" s="27">
        <f t="shared" si="29"/>
        <v>-3.5202177841398577E-2</v>
      </c>
      <c r="AQ14" s="27">
        <f t="shared" si="29"/>
        <v>5.876797145555724E-2</v>
      </c>
      <c r="AR14" s="27">
        <f t="shared" si="29"/>
        <v>-7.0225151692490412E-2</v>
      </c>
      <c r="AS14" s="27">
        <f t="shared" si="29"/>
        <v>-3.0363204654068665E-2</v>
      </c>
      <c r="AT14" s="27">
        <f t="shared" si="29"/>
        <v>2.9906624871234532E-2</v>
      </c>
      <c r="AU14" s="27">
        <f t="shared" si="29"/>
        <v>0.20229368736011602</v>
      </c>
      <c r="AV14" s="27">
        <f t="shared" si="29"/>
        <v>3.6227196273781598E-3</v>
      </c>
      <c r="AW14" s="27">
        <f t="shared" si="29"/>
        <v>6.41909113221453E-2</v>
      </c>
      <c r="AX14" s="27">
        <f t="shared" si="29"/>
        <v>0.23047982736609482</v>
      </c>
      <c r="AY14" s="27">
        <f t="shared" si="0"/>
        <v>8.8537521128256372E-2</v>
      </c>
      <c r="AZ14" s="27">
        <f t="shared" si="0"/>
        <v>-3.8847387513196184E-2</v>
      </c>
      <c r="BA14" s="27">
        <f t="shared" si="0"/>
        <v>-0.10455364491803472</v>
      </c>
      <c r="BB14" s="27">
        <f t="shared" si="0"/>
        <v>2.084320227379317E-2</v>
      </c>
      <c r="BC14" s="27">
        <f t="shared" si="0"/>
        <v>0.13526727509778314</v>
      </c>
      <c r="BD14" s="27">
        <f t="shared" si="0"/>
        <v>0.16277678037103863</v>
      </c>
      <c r="BE14" s="27">
        <f t="shared" si="0"/>
        <v>-0.26764555550393654</v>
      </c>
      <c r="BF14" s="27">
        <f t="shared" si="0"/>
        <v>-0.14248622633145652</v>
      </c>
      <c r="BG14" s="27">
        <f t="shared" si="0"/>
        <v>-0.1291413275728468</v>
      </c>
      <c r="BH14" s="27">
        <f t="shared" si="0"/>
        <v>2.7906498542239783E-2</v>
      </c>
      <c r="BI14" s="27">
        <f t="shared" si="0"/>
        <v>-0.11277758400186332</v>
      </c>
      <c r="BJ14" s="27">
        <f t="shared" si="0"/>
        <v>-0.2395544696359585</v>
      </c>
      <c r="BN14">
        <v>13</v>
      </c>
      <c r="BO14" s="28">
        <f t="shared" si="30"/>
        <v>1.9152528612990154</v>
      </c>
      <c r="BP14" s="28">
        <f t="shared" si="1"/>
        <v>-0.6569356477490268</v>
      </c>
      <c r="BQ14" s="28">
        <f t="shared" si="2"/>
        <v>4.0870300831879168E-2</v>
      </c>
      <c r="BR14" s="28">
        <f t="shared" si="3"/>
        <v>0.45554540802048493</v>
      </c>
      <c r="BS14" s="28">
        <f t="shared" si="4"/>
        <v>1.1038322869476684</v>
      </c>
      <c r="BT14" s="28">
        <f t="shared" si="5"/>
        <v>1.1082845333530988</v>
      </c>
      <c r="BU14" s="28">
        <f t="shared" si="6"/>
        <v>0.29614031855986522</v>
      </c>
      <c r="BV14" s="28">
        <f t="shared" si="7"/>
        <v>-0.15778902063311792</v>
      </c>
      <c r="BW14" s="28">
        <f t="shared" si="8"/>
        <v>-0.35008676756737594</v>
      </c>
      <c r="BX14" s="28">
        <f t="shared" si="9"/>
        <v>-0.77006110622004631</v>
      </c>
      <c r="BY14" s="28">
        <f t="shared" si="10"/>
        <v>-0.80461060919742633</v>
      </c>
      <c r="BZ14" s="28">
        <f t="shared" si="11"/>
        <v>-1.4635666177833178</v>
      </c>
      <c r="CA14" s="28">
        <f t="shared" si="12"/>
        <v>1.2674879677007826</v>
      </c>
      <c r="CB14" s="28">
        <f t="shared" si="13"/>
        <v>-0.64709384916992085</v>
      </c>
      <c r="CC14" s="28">
        <f t="shared" si="14"/>
        <v>-1.3053606183489563</v>
      </c>
      <c r="CD14" s="28">
        <f t="shared" si="15"/>
        <v>0.45385957710082775</v>
      </c>
      <c r="CE14" s="28">
        <f t="shared" si="16"/>
        <v>-0.19452918137217995</v>
      </c>
      <c r="CF14" s="28">
        <f t="shared" si="17"/>
        <v>-0.61099609011944911</v>
      </c>
      <c r="CG14" s="28">
        <f t="shared" si="18"/>
        <v>0.70283044256109983</v>
      </c>
      <c r="CH14" s="28">
        <f t="shared" si="19"/>
        <v>1.1192021783903137</v>
      </c>
      <c r="CI14" s="28">
        <f t="shared" si="20"/>
        <v>2.5826803562245453</v>
      </c>
      <c r="CJ14" s="28">
        <f t="shared" si="21"/>
        <v>1.7695620207401004</v>
      </c>
      <c r="CK14" s="28">
        <f t="shared" si="22"/>
        <v>-1.0631732282974875</v>
      </c>
      <c r="CL14" s="28">
        <f t="shared" si="23"/>
        <v>-0.64862068586667032</v>
      </c>
      <c r="CM14" s="28">
        <f t="shared" si="24"/>
        <v>-0.42043893406207594</v>
      </c>
      <c r="CN14" s="28">
        <f t="shared" si="25"/>
        <v>-0.81092437428028674</v>
      </c>
      <c r="CO14" s="28">
        <f t="shared" si="26"/>
        <v>-1.4567967798766253</v>
      </c>
      <c r="CP14" s="28">
        <f t="shared" si="27"/>
        <v>-1.8754603773605658</v>
      </c>
      <c r="CU14" s="21">
        <v>13</v>
      </c>
      <c r="CV14" s="29">
        <f t="shared" si="31"/>
        <v>-2.1416892694883201</v>
      </c>
      <c r="CW14" s="29">
        <f t="shared" si="32"/>
        <v>-11.01688725009492</v>
      </c>
      <c r="CX14" s="29">
        <f t="shared" si="33"/>
        <v>-4.524263743232332</v>
      </c>
      <c r="CY14" s="29">
        <f t="shared" si="34"/>
        <v>6.2262083433065607E-3</v>
      </c>
      <c r="CZ14" s="29">
        <f t="shared" si="35"/>
        <v>-0.8788431735757779</v>
      </c>
      <c r="DA14" s="29">
        <f t="shared" si="36"/>
        <v>4.3102696677173684</v>
      </c>
      <c r="DB14" s="29">
        <f t="shared" si="37"/>
        <v>9.6001378817973606</v>
      </c>
      <c r="DC14" s="29">
        <f t="shared" si="38"/>
        <v>3.9964289926666456</v>
      </c>
      <c r="DF14" s="25">
        <v>13</v>
      </c>
      <c r="DG14" s="31">
        <f t="shared" si="60"/>
        <v>-0.81092437428028674</v>
      </c>
      <c r="DH14" s="31">
        <f t="shared" si="39"/>
        <v>0.29614031855986522</v>
      </c>
      <c r="DI14" s="31">
        <f t="shared" si="40"/>
        <v>-1.4567967798766253</v>
      </c>
      <c r="DJ14" s="31">
        <f t="shared" si="41"/>
        <v>-0.35008676756737594</v>
      </c>
      <c r="DK14" s="31">
        <f t="shared" si="42"/>
        <v>-1.2674879677007826</v>
      </c>
      <c r="DL14" s="31">
        <f t="shared" si="43"/>
        <v>-0.15778902063311792</v>
      </c>
      <c r="DM14" s="31">
        <f t="shared" si="44"/>
        <v>-1.9152528612990154</v>
      </c>
      <c r="DN14" s="31">
        <f t="shared" si="45"/>
        <v>-0.80461060919742633</v>
      </c>
      <c r="DO14" s="31">
        <f t="shared" si="46"/>
        <v>-2.5826803562245453</v>
      </c>
      <c r="DP14" s="31">
        <f t="shared" si="47"/>
        <v>-1.4635666177833178</v>
      </c>
      <c r="DQ14" s="31">
        <f t="shared" si="48"/>
        <v>-1.8754603773605658</v>
      </c>
      <c r="DR14" s="31">
        <f t="shared" si="49"/>
        <v>-0.77006110622004631</v>
      </c>
      <c r="DS14" s="49">
        <f t="shared" si="50"/>
        <v>-1.1082845333530988</v>
      </c>
      <c r="DT14" s="49">
        <f t="shared" si="51"/>
        <v>1.1082845333530988</v>
      </c>
      <c r="DX14">
        <v>13</v>
      </c>
      <c r="DY14" s="19">
        <f t="shared" si="52"/>
        <v>8.8751979806066004</v>
      </c>
      <c r="EM14" s="21">
        <v>13</v>
      </c>
      <c r="EN14" s="16">
        <f t="shared" si="53"/>
        <v>-2.1416892694883201</v>
      </c>
      <c r="EO14" s="16">
        <f t="shared" si="28"/>
        <v>-11.01688725009492</v>
      </c>
      <c r="EP14" s="16">
        <f t="shared" si="54"/>
        <v>-4.524263743232332</v>
      </c>
      <c r="EQ14" s="16">
        <f t="shared" si="55"/>
        <v>6.2262083433065607E-3</v>
      </c>
      <c r="ER14" s="16">
        <f t="shared" si="56"/>
        <v>-0.8788431735757779</v>
      </c>
      <c r="ES14" s="16">
        <f t="shared" si="57"/>
        <v>4.3102696677173684</v>
      </c>
      <c r="ET14" s="16">
        <f t="shared" si="58"/>
        <v>9.6001378817973606</v>
      </c>
      <c r="EU14" s="16">
        <f t="shared" si="59"/>
        <v>3.9964289926666456</v>
      </c>
      <c r="FK14" s="20"/>
      <c r="FL14" s="20"/>
    </row>
    <row r="15" spans="1:170" ht="14.4" thickBot="1" x14ac:dyDescent="0.35">
      <c r="A15" s="37" t="s">
        <v>51</v>
      </c>
      <c r="B15" s="38">
        <v>13</v>
      </c>
      <c r="C15" s="34">
        <f>RTD("fxbluelabs.excelrtd", , "21422436","@bh,AUDUSD,h4,close,13")</f>
        <v>0.67281999999999997</v>
      </c>
      <c r="D15" s="34">
        <f>RTD("fxbluelabs.excelrtd", , "21422436","@bh,AUDNZD,h4,close,13")</f>
        <v>1.09646</v>
      </c>
      <c r="E15" s="35">
        <f>RTD("fxbluelabs.excelrtd", , "21422436","@bh,AUDJPY,h4,close,13")</f>
        <v>98.581999999999994</v>
      </c>
      <c r="F15" s="34">
        <f>RTD("fxbluelabs.excelrtd", , "21422436","@bh,AUDCHF,h4,close,13")</f>
        <v>0.57867999999999997</v>
      </c>
      <c r="G15" s="34">
        <f>RTD("fxbluelabs.excelrtd", , "21422436","@bh,AUDCAD,h4,close,13")</f>
        <v>0.91612000000000005</v>
      </c>
      <c r="H15" s="34">
        <f>RTD("fxbluelabs.excelrtd", , "21422436","@bh,EURUSD,h4,close,13")</f>
        <v>1.10798</v>
      </c>
      <c r="I15" s="34">
        <f>RTD("fxbluelabs.excelrtd", , "21422436","@bh,EURCAD,h4,close,13")</f>
        <v>1.50864</v>
      </c>
      <c r="J15" s="34">
        <f>RTD("fxbluelabs.excelrtd", , "21422436","@bh,EURGBP,h4,close,13")</f>
        <v>0.85221999999999998</v>
      </c>
      <c r="K15" s="34">
        <f>RTD("fxbluelabs.excelrtd", , "21422436","@bh,EURCHF,h4,close,13")</f>
        <v>0.95289999999999997</v>
      </c>
      <c r="L15" s="35">
        <f>RTD("fxbluelabs.excelrtd", , "21422436","@bh,EURJPY,h4,close,13")</f>
        <v>162.33500000000001</v>
      </c>
      <c r="M15" s="34">
        <f>RTD("fxbluelabs.excelrtd", , "21422436","@bh,EURAUD,h4,close,13")</f>
        <v>1.64673</v>
      </c>
      <c r="N15" s="34">
        <f>RTD("fxbluelabs.excelrtd", , "21422436","@bh,EURNZD,h4,close,13")</f>
        <v>1.80562</v>
      </c>
      <c r="O15" s="34">
        <f>RTD("fxbluelabs.excelrtd", , "21422436","@bh,GBPUSD,h4,close,13")</f>
        <v>1.30009</v>
      </c>
      <c r="P15" s="34">
        <f>RTD("fxbluelabs.excelrtd", , "21422436","@bh,GBPAUD,h4,close,13")</f>
        <v>1.93225</v>
      </c>
      <c r="Q15" s="34">
        <f>RTD("fxbluelabs.excelrtd", , "21422436","@bh,GBPNZD,h4,close,13")</f>
        <v>2.1186799999999999</v>
      </c>
      <c r="R15" s="34">
        <f>RTD("fxbluelabs.excelrtd", , "21422436","@bh,GBPCAD,h4,close,13")</f>
        <v>1.7702199999999999</v>
      </c>
      <c r="S15" s="34">
        <f>RTD("fxbluelabs.excelrtd", , "21422436","@bh,GBPCHF,h4,close,13")</f>
        <v>1.1181700000000001</v>
      </c>
      <c r="T15" s="35">
        <f>RTD("fxbluelabs.excelrtd", , "21422436","@bh,GBPJPY,h4,close,13")</f>
        <v>190.489</v>
      </c>
      <c r="U15" s="35">
        <f>RTD("fxbluelabs.excelrtd", , "21422436","@bh,NZDJPY,h4,close,13")</f>
        <v>89.906000000000006</v>
      </c>
      <c r="V15" s="34">
        <f>RTD("fxbluelabs.excelrtd", , "21422436","@bh,NZDCHF,h4,close,13")</f>
        <v>0.52775000000000005</v>
      </c>
      <c r="W15" s="34">
        <f>RTD("fxbluelabs.excelrtd", , "21422436","@bh,NZDUSD,h4,close,13")</f>
        <v>0.61360000000000003</v>
      </c>
      <c r="X15" s="34">
        <f>RTD("fxbluelabs.excelrtd", , "21422436","@bh,NZDCAD,h4,close,13")</f>
        <v>0.83550000000000002</v>
      </c>
      <c r="Y15" s="35">
        <f>RTD("fxbluelabs.excelrtd", , "21422436","@bh,CADJPY,h4,close,13")</f>
        <v>107.605</v>
      </c>
      <c r="Z15" s="34">
        <f>RTD("fxbluelabs.excelrtd", , "21422436","@bh,CADCHF,h4,close,13")</f>
        <v>0.63163999999999998</v>
      </c>
      <c r="AA15" s="35">
        <f>RTD("fxbluelabs.excelrtd", , "21422436","@bh,CHFJPY,h4,close,13")</f>
        <v>170.35599999999999</v>
      </c>
      <c r="AB15" s="34">
        <f>RTD("fxbluelabs.excelrtd", , "21422436","@bh,USDCAD,h4,close,13")</f>
        <v>1.3616900000000001</v>
      </c>
      <c r="AC15" s="34">
        <f>RTD("fxbluelabs.excelrtd", , "21422436","@bh,USDCHF,h4,close,13")</f>
        <v>0.86009999999999998</v>
      </c>
      <c r="AD15" s="35">
        <f>RTD("fxbluelabs.excelrtd", , "21422436","@bh,USDJPY,h4,close,13")</f>
        <v>146.52199999999999</v>
      </c>
      <c r="AH15" s="21">
        <v>14</v>
      </c>
      <c r="AI15" s="22">
        <f t="shared" si="29"/>
        <v>0.14884939418296581</v>
      </c>
      <c r="AJ15" s="22">
        <f t="shared" si="29"/>
        <v>-0.1338883171058339</v>
      </c>
      <c r="AK15" s="22">
        <f t="shared" si="29"/>
        <v>-0.12967277884712808</v>
      </c>
      <c r="AL15" s="22">
        <f t="shared" si="29"/>
        <v>-7.7702761038119489E-2</v>
      </c>
      <c r="AM15" s="22">
        <f t="shared" si="29"/>
        <v>0</v>
      </c>
      <c r="AN15" s="22">
        <f t="shared" si="29"/>
        <v>2.3471635431329844E-2</v>
      </c>
      <c r="AO15" s="22">
        <f t="shared" si="29"/>
        <v>-0.12379924661207395</v>
      </c>
      <c r="AP15" s="22">
        <f t="shared" si="29"/>
        <v>-0.13710027068515032</v>
      </c>
      <c r="AQ15" s="22">
        <f t="shared" si="29"/>
        <v>-0.20317540111432833</v>
      </c>
      <c r="AR15" s="22">
        <f t="shared" si="29"/>
        <v>-0.2574437494623682</v>
      </c>
      <c r="AS15" s="22">
        <f t="shared" si="29"/>
        <v>-0.12675731735422455</v>
      </c>
      <c r="AT15" s="22">
        <f t="shared" si="29"/>
        <v>-0.25796971755906245</v>
      </c>
      <c r="AU15" s="22">
        <f t="shared" si="29"/>
        <v>0.16256028598283923</v>
      </c>
      <c r="AV15" s="22">
        <f t="shared" si="29"/>
        <v>1.138698674451789E-2</v>
      </c>
      <c r="AW15" s="22">
        <f t="shared" si="29"/>
        <v>-0.12021327248814481</v>
      </c>
      <c r="AX15" s="22">
        <f t="shared" si="29"/>
        <v>1.4124533184170434E-2</v>
      </c>
      <c r="AY15" s="22">
        <f t="shared" si="0"/>
        <v>-6.6135792869843224E-2</v>
      </c>
      <c r="AZ15" s="22">
        <f t="shared" si="0"/>
        <v>-0.11640649988726838</v>
      </c>
      <c r="BA15" s="22">
        <f t="shared" si="0"/>
        <v>7.7865159790487127E-3</v>
      </c>
      <c r="BB15" s="22">
        <f t="shared" si="0"/>
        <v>5.8774457758234581E-2</v>
      </c>
      <c r="BC15" s="22">
        <f t="shared" si="0"/>
        <v>0.28601781482389954</v>
      </c>
      <c r="BD15" s="22">
        <f t="shared" si="0"/>
        <v>0.14023228219050068</v>
      </c>
      <c r="BE15" s="22">
        <f t="shared" si="0"/>
        <v>-0.13271708059546411</v>
      </c>
      <c r="BF15" s="22">
        <f t="shared" si="0"/>
        <v>-8.2257656289558959E-2</v>
      </c>
      <c r="BG15" s="22">
        <f t="shared" si="0"/>
        <v>-5.1043457343521004E-2</v>
      </c>
      <c r="BH15" s="22">
        <f t="shared" si="0"/>
        <v>-0.14592866361609294</v>
      </c>
      <c r="BI15" s="22">
        <f t="shared" si="0"/>
        <v>-0.22504756159807582</v>
      </c>
      <c r="BJ15" s="22">
        <f t="shared" si="0"/>
        <v>-0.27768325052747256</v>
      </c>
      <c r="BN15">
        <v>14</v>
      </c>
      <c r="BO15" s="23">
        <f t="shared" si="30"/>
        <v>1.7160911241330561</v>
      </c>
      <c r="BP15" s="23">
        <f t="shared" si="1"/>
        <v>-0.71895341401501134</v>
      </c>
      <c r="BQ15" s="23">
        <f t="shared" si="2"/>
        <v>8.1445659416602534E-2</v>
      </c>
      <c r="BR15" s="23">
        <f t="shared" si="3"/>
        <v>0.37086993971330495</v>
      </c>
      <c r="BS15" s="23">
        <f t="shared" si="4"/>
        <v>0.87351311478682225</v>
      </c>
      <c r="BT15" s="23">
        <f t="shared" si="5"/>
        <v>0.94041146705226542</v>
      </c>
      <c r="BU15" s="23">
        <f t="shared" si="6"/>
        <v>9.9274267016759066E-2</v>
      </c>
      <c r="BV15" s="23">
        <f t="shared" si="7"/>
        <v>-0.1225868427917193</v>
      </c>
      <c r="BW15" s="23">
        <f t="shared" si="8"/>
        <v>-0.40885473902293307</v>
      </c>
      <c r="BX15" s="23">
        <f t="shared" si="9"/>
        <v>-0.69983595452755587</v>
      </c>
      <c r="BY15" s="23">
        <f t="shared" si="10"/>
        <v>-0.77424740454335772</v>
      </c>
      <c r="BZ15" s="23">
        <f t="shared" si="11"/>
        <v>-1.4934732426545523</v>
      </c>
      <c r="CA15" s="23">
        <f t="shared" si="12"/>
        <v>1.0651942803406667</v>
      </c>
      <c r="CB15" s="23">
        <f t="shared" si="13"/>
        <v>-0.650716568797299</v>
      </c>
      <c r="CC15" s="23">
        <f t="shared" si="14"/>
        <v>-1.3695515296711014</v>
      </c>
      <c r="CD15" s="23">
        <f t="shared" si="15"/>
        <v>0.2233797497347329</v>
      </c>
      <c r="CE15" s="23">
        <f t="shared" si="16"/>
        <v>-0.28306670250043625</v>
      </c>
      <c r="CF15" s="23">
        <f t="shared" si="17"/>
        <v>-0.57214870260625295</v>
      </c>
      <c r="CG15" s="23">
        <f t="shared" si="18"/>
        <v>0.80738408747913459</v>
      </c>
      <c r="CH15" s="23">
        <f t="shared" si="19"/>
        <v>1.0983589761165202</v>
      </c>
      <c r="CI15" s="23">
        <f t="shared" si="20"/>
        <v>2.4474130811267627</v>
      </c>
      <c r="CJ15" s="23">
        <f t="shared" si="21"/>
        <v>1.6067852403690617</v>
      </c>
      <c r="CK15" s="23">
        <f t="shared" si="22"/>
        <v>-0.79552767279355097</v>
      </c>
      <c r="CL15" s="23">
        <f t="shared" si="23"/>
        <v>-0.50613445953521385</v>
      </c>
      <c r="CM15" s="23">
        <f t="shared" si="24"/>
        <v>-0.29129760648922909</v>
      </c>
      <c r="CN15" s="23">
        <f t="shared" si="25"/>
        <v>-0.83883087282252644</v>
      </c>
      <c r="CO15" s="23">
        <f t="shared" si="26"/>
        <v>-1.344019195874762</v>
      </c>
      <c r="CP15" s="23">
        <f t="shared" si="27"/>
        <v>-1.6359059077246072</v>
      </c>
      <c r="CU15" s="21">
        <v>14</v>
      </c>
      <c r="CV15" s="24">
        <f t="shared" si="31"/>
        <v>-2.4593124494710938</v>
      </c>
      <c r="CW15" s="24">
        <f t="shared" si="32"/>
        <v>-9.9878659290746459</v>
      </c>
      <c r="CX15" s="24">
        <f t="shared" si="33"/>
        <v>-3.2657836314136146</v>
      </c>
      <c r="CY15" s="24">
        <f t="shared" si="34"/>
        <v>0.27541411507907698</v>
      </c>
      <c r="CZ15" s="24">
        <f t="shared" si="35"/>
        <v>-1.4643226307079706</v>
      </c>
      <c r="DA15" s="24">
        <f t="shared" si="36"/>
        <v>3.7479303973754314</v>
      </c>
      <c r="DB15" s="24">
        <f t="shared" si="37"/>
        <v>9.5419195714321443</v>
      </c>
      <c r="DC15" s="24">
        <f t="shared" si="38"/>
        <v>3.1058860972454592</v>
      </c>
      <c r="DF15" s="30">
        <v>14</v>
      </c>
      <c r="DG15" s="26">
        <f t="shared" si="60"/>
        <v>-0.83883087282252644</v>
      </c>
      <c r="DH15" s="26">
        <f t="shared" si="39"/>
        <v>9.9274267016759066E-2</v>
      </c>
      <c r="DI15" s="26">
        <f t="shared" si="40"/>
        <v>-1.344019195874762</v>
      </c>
      <c r="DJ15" s="26">
        <f t="shared" si="41"/>
        <v>-0.40885473902293307</v>
      </c>
      <c r="DK15" s="26">
        <f t="shared" si="42"/>
        <v>-1.0651942803406667</v>
      </c>
      <c r="DL15" s="26">
        <f t="shared" si="43"/>
        <v>-0.1225868427917193</v>
      </c>
      <c r="DM15" s="26">
        <f t="shared" si="44"/>
        <v>-1.7160911241330561</v>
      </c>
      <c r="DN15" s="26">
        <f t="shared" si="45"/>
        <v>-0.77424740454335772</v>
      </c>
      <c r="DO15" s="26">
        <f t="shared" si="46"/>
        <v>-2.4474130811267627</v>
      </c>
      <c r="DP15" s="26">
        <f t="shared" si="47"/>
        <v>-1.4934732426545523</v>
      </c>
      <c r="DQ15" s="26">
        <f t="shared" si="48"/>
        <v>-1.6359059077246072</v>
      </c>
      <c r="DR15" s="26">
        <f t="shared" si="49"/>
        <v>-0.69983595452755587</v>
      </c>
      <c r="DS15" s="47">
        <f t="shared" si="50"/>
        <v>-0.94041146705226542</v>
      </c>
      <c r="DT15" s="47">
        <f t="shared" si="51"/>
        <v>0.94041146705226542</v>
      </c>
      <c r="DX15">
        <v>14</v>
      </c>
      <c r="DY15" s="19">
        <f t="shared" si="52"/>
        <v>7.528553479603552</v>
      </c>
      <c r="EM15" s="21">
        <v>14</v>
      </c>
      <c r="EN15" s="16">
        <f t="shared" si="53"/>
        <v>-2.4593124494710938</v>
      </c>
      <c r="EO15" s="16">
        <f t="shared" si="28"/>
        <v>-9.9878659290746459</v>
      </c>
      <c r="EP15" s="16">
        <f t="shared" si="54"/>
        <v>-3.2657836314136146</v>
      </c>
      <c r="EQ15" s="16">
        <f t="shared" si="55"/>
        <v>0.27541411507907698</v>
      </c>
      <c r="ER15" s="16">
        <f t="shared" si="56"/>
        <v>-1.4643226307079706</v>
      </c>
      <c r="ES15" s="16">
        <f t="shared" si="57"/>
        <v>3.7479303973754314</v>
      </c>
      <c r="ET15" s="16">
        <f t="shared" si="58"/>
        <v>9.5419195714321443</v>
      </c>
      <c r="EU15" s="16">
        <f t="shared" si="59"/>
        <v>3.1058860972454592</v>
      </c>
      <c r="FK15" s="20"/>
      <c r="FL15" s="20"/>
    </row>
    <row r="16" spans="1:170" ht="14.4" thickBot="1" x14ac:dyDescent="0.35">
      <c r="A16" s="37" t="s">
        <v>51</v>
      </c>
      <c r="B16" s="38">
        <v>14</v>
      </c>
      <c r="C16" s="34">
        <f>RTD("fxbluelabs.excelrtd", , "21422436","@bh,AUDUSD,h4,close,14")</f>
        <v>0.67181999999999997</v>
      </c>
      <c r="D16" s="34">
        <f>RTD("fxbluelabs.excelrtd", , "21422436","@bh,AUDNZD,h4,close,14")</f>
        <v>1.0979300000000001</v>
      </c>
      <c r="E16" s="35">
        <f>RTD("fxbluelabs.excelrtd", , "21422436","@bh,AUDJPY,h4,close,14")</f>
        <v>98.71</v>
      </c>
      <c r="F16" s="34">
        <f>RTD("fxbluelabs.excelrtd", , "21422436","@bh,AUDCHF,h4,close,14")</f>
        <v>0.57913000000000003</v>
      </c>
      <c r="G16" s="34">
        <f>RTD("fxbluelabs.excelrtd", , "21422436","@bh,AUDCAD,h4,close,14")</f>
        <v>0.91612000000000005</v>
      </c>
      <c r="H16" s="34">
        <f>RTD("fxbluelabs.excelrtd", , "21422436","@bh,EURUSD,h4,close,14")</f>
        <v>1.10772</v>
      </c>
      <c r="I16" s="34">
        <f>RTD("fxbluelabs.excelrtd", , "21422436","@bh,EURCAD,h4,close,14")</f>
        <v>1.51051</v>
      </c>
      <c r="J16" s="34">
        <f>RTD("fxbluelabs.excelrtd", , "21422436","@bh,EURGBP,h4,close,14")</f>
        <v>0.85338999999999998</v>
      </c>
      <c r="K16" s="34">
        <f>RTD("fxbluelabs.excelrtd", , "21422436","@bh,EURCHF,h4,close,14")</f>
        <v>0.95484000000000002</v>
      </c>
      <c r="L16" s="35">
        <f>RTD("fxbluelabs.excelrtd", , "21422436","@bh,EURJPY,h4,close,14")</f>
        <v>162.75399999999999</v>
      </c>
      <c r="M16" s="34">
        <f>RTD("fxbluelabs.excelrtd", , "21422436","@bh,EURAUD,h4,close,14")</f>
        <v>1.64882</v>
      </c>
      <c r="N16" s="34">
        <f>RTD("fxbluelabs.excelrtd", , "21422436","@bh,EURNZD,h4,close,14")</f>
        <v>1.81029</v>
      </c>
      <c r="O16" s="34">
        <f>RTD("fxbluelabs.excelrtd", , "21422436","@bh,GBPUSD,h4,close,14")</f>
        <v>1.2979799999999999</v>
      </c>
      <c r="P16" s="34">
        <f>RTD("fxbluelabs.excelrtd", , "21422436","@bh,GBPAUD,h4,close,14")</f>
        <v>1.9320299999999999</v>
      </c>
      <c r="Q16" s="34">
        <f>RTD("fxbluelabs.excelrtd", , "21422436","@bh,GBPNZD,h4,close,14")</f>
        <v>2.1212300000000002</v>
      </c>
      <c r="R16" s="34">
        <f>RTD("fxbluelabs.excelrtd", , "21422436","@bh,GBPCAD,h4,close,14")</f>
        <v>1.76997</v>
      </c>
      <c r="S16" s="34">
        <f>RTD("fxbluelabs.excelrtd", , "21422436","@bh,GBPCHF,h4,close,14")</f>
        <v>1.1189100000000001</v>
      </c>
      <c r="T16" s="35">
        <f>RTD("fxbluelabs.excelrtd", , "21422436","@bh,GBPJPY,h4,close,14")</f>
        <v>190.71100000000001</v>
      </c>
      <c r="U16" s="35">
        <f>RTD("fxbluelabs.excelrtd", , "21422436","@bh,NZDJPY,h4,close,14")</f>
        <v>89.899000000000001</v>
      </c>
      <c r="V16" s="34">
        <f>RTD("fxbluelabs.excelrtd", , "21422436","@bh,NZDCHF,h4,close,14")</f>
        <v>0.52744000000000002</v>
      </c>
      <c r="W16" s="34">
        <f>RTD("fxbluelabs.excelrtd", , "21422436","@bh,NZDUSD,h4,close,14")</f>
        <v>0.61185</v>
      </c>
      <c r="X16" s="34">
        <f>RTD("fxbluelabs.excelrtd", , "21422436","@bh,NZDCAD,h4,close,14")</f>
        <v>0.83433000000000002</v>
      </c>
      <c r="Y16" s="35">
        <f>RTD("fxbluelabs.excelrtd", , "21422436","@bh,CADJPY,h4,close,14")</f>
        <v>107.748</v>
      </c>
      <c r="Z16" s="34">
        <f>RTD("fxbluelabs.excelrtd", , "21422436","@bh,CADCHF,h4,close,14")</f>
        <v>0.63216000000000006</v>
      </c>
      <c r="AA16" s="35">
        <f>RTD("fxbluelabs.excelrtd", , "21422436","@bh,CHFJPY,h4,close,14")</f>
        <v>170.44300000000001</v>
      </c>
      <c r="AB16" s="34">
        <f>RTD("fxbluelabs.excelrtd", , "21422436","@bh,USDCAD,h4,close,14")</f>
        <v>1.36368</v>
      </c>
      <c r="AC16" s="34">
        <f>RTD("fxbluelabs.excelrtd", , "21422436","@bh,USDCHF,h4,close,14")</f>
        <v>0.86204000000000003</v>
      </c>
      <c r="AD16" s="35">
        <f>RTD("fxbluelabs.excelrtd", , "21422436","@bh,USDJPY,h4,close,14")</f>
        <v>146.93</v>
      </c>
      <c r="AH16" s="21">
        <v>15</v>
      </c>
      <c r="AI16" s="27">
        <f t="shared" si="29"/>
        <v>-0.12190770694577231</v>
      </c>
      <c r="AJ16" s="27">
        <f t="shared" si="29"/>
        <v>-0.1500572946033876</v>
      </c>
      <c r="AK16" s="27">
        <f t="shared" si="29"/>
        <v>0.33849375362127165</v>
      </c>
      <c r="AL16" s="27">
        <f t="shared" si="29"/>
        <v>-0.10694264769296316</v>
      </c>
      <c r="AM16" s="27">
        <f t="shared" si="29"/>
        <v>-0.10685857594591439</v>
      </c>
      <c r="AN16" s="27">
        <f>IF(H16=0,0,(H16-H17)*100/H17)</f>
        <v>-5.3234203426827192E-2</v>
      </c>
      <c r="AO16" s="27">
        <f t="shared" si="29"/>
        <v>-4.0367409603472883E-2</v>
      </c>
      <c r="AP16" s="27">
        <f t="shared" si="29"/>
        <v>-1.1716598905668372E-2</v>
      </c>
      <c r="AQ16" s="27">
        <f t="shared" si="29"/>
        <v>-4.1874293371294752E-2</v>
      </c>
      <c r="AR16" s="27">
        <f t="shared" si="29"/>
        <v>0.40469345704449</v>
      </c>
      <c r="AS16" s="27">
        <f t="shared" si="29"/>
        <v>6.7366223425235294E-2</v>
      </c>
      <c r="AT16" s="27">
        <f t="shared" si="29"/>
        <v>-8.3342532288338794E-2</v>
      </c>
      <c r="AU16" s="27">
        <f t="shared" si="29"/>
        <v>-4.1585805378429673E-2</v>
      </c>
      <c r="AV16" s="27">
        <f t="shared" si="29"/>
        <v>7.9772492994000216E-2</v>
      </c>
      <c r="AW16" s="27">
        <f t="shared" si="29"/>
        <v>-7.0663720774644584E-2</v>
      </c>
      <c r="AX16" s="27">
        <f t="shared" si="29"/>
        <v>-2.7676423076481788E-2</v>
      </c>
      <c r="AY16" s="27">
        <f t="shared" si="0"/>
        <v>-2.5911365260891838E-2</v>
      </c>
      <c r="AZ16" s="27">
        <f t="shared" si="0"/>
        <v>0.41754862624922667</v>
      </c>
      <c r="BA16" s="27">
        <f t="shared" si="0"/>
        <v>0.48847555386644342</v>
      </c>
      <c r="BB16" s="27">
        <f t="shared" si="0"/>
        <v>4.552352048558763E-2</v>
      </c>
      <c r="BC16" s="27">
        <f t="shared" si="0"/>
        <v>2.9427632546954723E-2</v>
      </c>
      <c r="BD16" s="27">
        <f t="shared" si="0"/>
        <v>4.3167020396420369E-2</v>
      </c>
      <c r="BE16" s="27">
        <f t="shared" si="0"/>
        <v>0.44654093913432508</v>
      </c>
      <c r="BF16" s="27">
        <f t="shared" si="0"/>
        <v>1.5819030293546645E-3</v>
      </c>
      <c r="BG16" s="27">
        <f t="shared" si="0"/>
        <v>0.44552617466276156</v>
      </c>
      <c r="BH16" s="27">
        <f t="shared" si="0"/>
        <v>1.3934829004973446E-2</v>
      </c>
      <c r="BI16" s="27">
        <f t="shared" si="0"/>
        <v>1.5082781264873885E-2</v>
      </c>
      <c r="BJ16" s="27">
        <f t="shared" si="0"/>
        <v>0.46014891594932333</v>
      </c>
      <c r="BN16">
        <v>15</v>
      </c>
      <c r="BO16" s="28">
        <f t="shared" si="30"/>
        <v>1.5672417299500903</v>
      </c>
      <c r="BP16" s="28">
        <f t="shared" si="1"/>
        <v>-0.58506509690917741</v>
      </c>
      <c r="BQ16" s="28">
        <f t="shared" si="2"/>
        <v>0.21111843826373061</v>
      </c>
      <c r="BR16" s="28">
        <f t="shared" si="3"/>
        <v>0.44857270075142441</v>
      </c>
      <c r="BS16" s="28">
        <f t="shared" si="4"/>
        <v>0.87351311478682225</v>
      </c>
      <c r="BT16" s="28">
        <f t="shared" si="5"/>
        <v>0.91693983162093562</v>
      </c>
      <c r="BU16" s="28">
        <f t="shared" si="6"/>
        <v>0.22307351362883296</v>
      </c>
      <c r="BV16" s="28">
        <f t="shared" si="7"/>
        <v>1.4513427893430991E-2</v>
      </c>
      <c r="BW16" s="28">
        <f t="shared" si="8"/>
        <v>-0.20567933790860476</v>
      </c>
      <c r="BX16" s="28">
        <f t="shared" si="9"/>
        <v>-0.44239220506518773</v>
      </c>
      <c r="BY16" s="28">
        <f t="shared" si="10"/>
        <v>-0.64749008718913315</v>
      </c>
      <c r="BZ16" s="28">
        <f t="shared" si="11"/>
        <v>-1.2355035250954898</v>
      </c>
      <c r="CA16" s="28">
        <f t="shared" si="12"/>
        <v>0.90263399435782732</v>
      </c>
      <c r="CB16" s="28">
        <f t="shared" si="13"/>
        <v>-0.66210355554181688</v>
      </c>
      <c r="CC16" s="28">
        <f t="shared" si="14"/>
        <v>-1.2493382571829565</v>
      </c>
      <c r="CD16" s="28">
        <f t="shared" si="15"/>
        <v>0.20925521655056251</v>
      </c>
      <c r="CE16" s="28">
        <f t="shared" si="16"/>
        <v>-0.21693090963059308</v>
      </c>
      <c r="CF16" s="28">
        <f t="shared" si="17"/>
        <v>-0.45574220271898463</v>
      </c>
      <c r="CG16" s="28">
        <f t="shared" si="18"/>
        <v>0.79959757150008604</v>
      </c>
      <c r="CH16" s="28">
        <f t="shared" si="19"/>
        <v>1.0395845183582859</v>
      </c>
      <c r="CI16" s="28">
        <f t="shared" si="20"/>
        <v>2.161395266302863</v>
      </c>
      <c r="CJ16" s="28">
        <f t="shared" si="21"/>
        <v>1.4665529581785608</v>
      </c>
      <c r="CK16" s="28">
        <f t="shared" si="22"/>
        <v>-0.66281059219808647</v>
      </c>
      <c r="CL16" s="28">
        <f t="shared" si="23"/>
        <v>-0.42387680324565474</v>
      </c>
      <c r="CM16" s="28">
        <f t="shared" si="24"/>
        <v>-0.24025414914570808</v>
      </c>
      <c r="CN16" s="28">
        <f t="shared" si="25"/>
        <v>-0.69290220920643353</v>
      </c>
      <c r="CO16" s="28">
        <f t="shared" si="26"/>
        <v>-1.1189716342766862</v>
      </c>
      <c r="CP16" s="28">
        <f t="shared" si="27"/>
        <v>-1.3582226571971348</v>
      </c>
      <c r="CU16" s="21">
        <v>15</v>
      </c>
      <c r="CV16" s="29">
        <f t="shared" si="31"/>
        <v>-1.376538382115216</v>
      </c>
      <c r="CW16" s="29">
        <f t="shared" si="32"/>
        <v>-8.7183073229119703</v>
      </c>
      <c r="CX16" s="29">
        <f t="shared" si="33"/>
        <v>-3.1661799893820866</v>
      </c>
      <c r="CY16" s="29">
        <f t="shared" si="34"/>
        <v>-0.18682948643953434</v>
      </c>
      <c r="CZ16" s="29">
        <f t="shared" si="35"/>
        <v>-1.4867391420593923</v>
      </c>
      <c r="DA16" s="29">
        <f t="shared" si="36"/>
        <v>3.82497452957384</v>
      </c>
      <c r="DB16" s="29">
        <f t="shared" si="37"/>
        <v>8.5370371935274196</v>
      </c>
      <c r="DC16" s="29">
        <f t="shared" si="38"/>
        <v>2.148705796561285</v>
      </c>
      <c r="DF16" s="25">
        <v>15</v>
      </c>
      <c r="DG16" s="31">
        <f t="shared" si="60"/>
        <v>-0.69290220920643353</v>
      </c>
      <c r="DH16" s="31">
        <f t="shared" si="39"/>
        <v>0.22307351362883296</v>
      </c>
      <c r="DI16" s="31">
        <f t="shared" si="40"/>
        <v>-1.1189716342766862</v>
      </c>
      <c r="DJ16" s="31">
        <f t="shared" si="41"/>
        <v>-0.20567933790860476</v>
      </c>
      <c r="DK16" s="31">
        <f t="shared" si="42"/>
        <v>-0.90263399435782732</v>
      </c>
      <c r="DL16" s="31">
        <f t="shared" si="43"/>
        <v>1.4513427893430991E-2</v>
      </c>
      <c r="DM16" s="31">
        <f t="shared" si="44"/>
        <v>-1.5672417299500903</v>
      </c>
      <c r="DN16" s="31">
        <f t="shared" si="45"/>
        <v>-0.64749008718913315</v>
      </c>
      <c r="DO16" s="31">
        <f t="shared" si="46"/>
        <v>-2.161395266302863</v>
      </c>
      <c r="DP16" s="31">
        <f t="shared" si="47"/>
        <v>-1.2355035250954898</v>
      </c>
      <c r="DQ16" s="31">
        <f t="shared" si="48"/>
        <v>-1.3582226571971348</v>
      </c>
      <c r="DR16" s="31">
        <f t="shared" si="49"/>
        <v>-0.44239220506518773</v>
      </c>
      <c r="DS16" s="49">
        <f t="shared" si="50"/>
        <v>-0.91693983162093562</v>
      </c>
      <c r="DT16" s="49">
        <f t="shared" si="51"/>
        <v>0.91693983162093562</v>
      </c>
      <c r="DX16">
        <v>15</v>
      </c>
      <c r="DY16" s="19">
        <f t="shared" si="52"/>
        <v>7.3417689407967544</v>
      </c>
      <c r="EM16" s="21">
        <v>15</v>
      </c>
      <c r="EN16" s="16">
        <f t="shared" si="53"/>
        <v>-1.376538382115216</v>
      </c>
      <c r="EO16" s="16">
        <f t="shared" si="28"/>
        <v>-8.7183073229119703</v>
      </c>
      <c r="EP16" s="16">
        <f t="shared" si="54"/>
        <v>-3.1661799893820866</v>
      </c>
      <c r="EQ16" s="16">
        <f t="shared" si="55"/>
        <v>-0.18682948643953434</v>
      </c>
      <c r="ER16" s="16">
        <f t="shared" si="56"/>
        <v>-1.4867391420593923</v>
      </c>
      <c r="ES16" s="16">
        <f t="shared" si="57"/>
        <v>3.82497452957384</v>
      </c>
      <c r="ET16" s="16">
        <f t="shared" si="58"/>
        <v>8.5370371935274196</v>
      </c>
      <c r="EU16" s="16">
        <f t="shared" si="59"/>
        <v>2.148705796561285</v>
      </c>
      <c r="FK16" s="20"/>
      <c r="FL16" s="20"/>
    </row>
    <row r="17" spans="1:168" ht="14.4" thickBot="1" x14ac:dyDescent="0.35">
      <c r="A17" s="37" t="s">
        <v>51</v>
      </c>
      <c r="B17" s="38">
        <v>15</v>
      </c>
      <c r="C17" s="34">
        <f>RTD("fxbluelabs.excelrtd", , "21422436","@bh,AUDUSD,h4,close,15")</f>
        <v>0.67264000000000002</v>
      </c>
      <c r="D17" s="34">
        <f>RTD("fxbluelabs.excelrtd", , "21422436","@bh,AUDNZD,h4,close,15")</f>
        <v>1.09958</v>
      </c>
      <c r="E17" s="35">
        <f>RTD("fxbluelabs.excelrtd", , "21422436","@bh,AUDJPY,h4,close,15")</f>
        <v>98.376999999999995</v>
      </c>
      <c r="F17" s="34">
        <f>RTD("fxbluelabs.excelrtd", , "21422436","@bh,AUDCHF,h4,close,15")</f>
        <v>0.57974999999999999</v>
      </c>
      <c r="G17" s="34">
        <f>RTD("fxbluelabs.excelrtd", , "21422436","@bh,AUDCAD,h4,close,15")</f>
        <v>0.91710000000000003</v>
      </c>
      <c r="H17" s="34">
        <f>RTD("fxbluelabs.excelrtd", , "21422436","@bh,EURUSD,h4,close,15")</f>
        <v>1.1083099999999999</v>
      </c>
      <c r="I17" s="34">
        <f>RTD("fxbluelabs.excelrtd", , "21422436","@bh,EURCAD,h4,close,15")</f>
        <v>1.51112</v>
      </c>
      <c r="J17" s="34">
        <f>RTD("fxbluelabs.excelrtd", , "21422436","@bh,EURGBP,h4,close,15")</f>
        <v>0.85348999999999997</v>
      </c>
      <c r="K17" s="34">
        <f>RTD("fxbluelabs.excelrtd", , "21422436","@bh,EURCHF,h4,close,15")</f>
        <v>0.95523999999999998</v>
      </c>
      <c r="L17" s="35">
        <f>RTD("fxbluelabs.excelrtd", , "21422436","@bh,EURJPY,h4,close,15")</f>
        <v>162.09800000000001</v>
      </c>
      <c r="M17" s="34">
        <f>RTD("fxbluelabs.excelrtd", , "21422436","@bh,EURAUD,h4,close,15")</f>
        <v>1.64771</v>
      </c>
      <c r="N17" s="34">
        <f>RTD("fxbluelabs.excelrtd", , "21422436","@bh,EURNZD,h4,close,15")</f>
        <v>1.8118000000000001</v>
      </c>
      <c r="O17" s="34">
        <f>RTD("fxbluelabs.excelrtd", , "21422436","@bh,GBPUSD,h4,close,15")</f>
        <v>1.2985199999999999</v>
      </c>
      <c r="P17" s="34">
        <f>RTD("fxbluelabs.excelrtd", , "21422436","@bh,GBPAUD,h4,close,15")</f>
        <v>1.93049</v>
      </c>
      <c r="Q17" s="34">
        <f>RTD("fxbluelabs.excelrtd", , "21422436","@bh,GBPNZD,h4,close,15")</f>
        <v>2.1227299999999998</v>
      </c>
      <c r="R17" s="34">
        <f>RTD("fxbluelabs.excelrtd", , "21422436","@bh,GBPCAD,h4,close,15")</f>
        <v>1.7704599999999999</v>
      </c>
      <c r="S17" s="34">
        <f>RTD("fxbluelabs.excelrtd", , "21422436","@bh,GBPCHF,h4,close,15")</f>
        <v>1.1192</v>
      </c>
      <c r="T17" s="35">
        <f>RTD("fxbluelabs.excelrtd", , "21422436","@bh,GBPJPY,h4,close,15")</f>
        <v>189.91800000000001</v>
      </c>
      <c r="U17" s="35">
        <f>RTD("fxbluelabs.excelrtd", , "21422436","@bh,NZDJPY,h4,close,15")</f>
        <v>89.462000000000003</v>
      </c>
      <c r="V17" s="34">
        <f>RTD("fxbluelabs.excelrtd", , "21422436","@bh,NZDCHF,h4,close,15")</f>
        <v>0.5272</v>
      </c>
      <c r="W17" s="34">
        <f>RTD("fxbluelabs.excelrtd", , "21422436","@bh,NZDUSD,h4,close,15")</f>
        <v>0.61167000000000005</v>
      </c>
      <c r="X17" s="34">
        <f>RTD("fxbluelabs.excelrtd", , "21422436","@bh,NZDCAD,h4,close,15")</f>
        <v>0.83396999999999999</v>
      </c>
      <c r="Y17" s="35">
        <f>RTD("fxbluelabs.excelrtd", , "21422436","@bh,CADJPY,h4,close,15")</f>
        <v>107.26900000000001</v>
      </c>
      <c r="Z17" s="34">
        <f>RTD("fxbluelabs.excelrtd", , "21422436","@bh,CADCHF,h4,close,15")</f>
        <v>0.63214999999999999</v>
      </c>
      <c r="AA17" s="35">
        <f>RTD("fxbluelabs.excelrtd", , "21422436","@bh,CHFJPY,h4,close,15")</f>
        <v>169.68700000000001</v>
      </c>
      <c r="AB17" s="34">
        <f>RTD("fxbluelabs.excelrtd", , "21422436","@bh,USDCAD,h4,close,15")</f>
        <v>1.3634900000000001</v>
      </c>
      <c r="AC17" s="34">
        <f>RTD("fxbluelabs.excelrtd", , "21422436","@bh,USDCHF,h4,close,15")</f>
        <v>0.86190999999999995</v>
      </c>
      <c r="AD17" s="35">
        <f>RTD("fxbluelabs.excelrtd", , "21422436","@bh,USDJPY,h4,close,15")</f>
        <v>146.25700000000001</v>
      </c>
      <c r="AH17" s="21">
        <v>16</v>
      </c>
      <c r="AI17" s="22">
        <f t="shared" si="29"/>
        <v>-8.3184789067142745E-2</v>
      </c>
      <c r="AJ17" s="22">
        <f t="shared" si="29"/>
        <v>-0.1199018984467243</v>
      </c>
      <c r="AK17" s="22">
        <f t="shared" si="29"/>
        <v>-0.31816477693002115</v>
      </c>
      <c r="AL17" s="22">
        <f t="shared" si="29"/>
        <v>-0.19281422693546058</v>
      </c>
      <c r="AM17" s="22">
        <f t="shared" si="29"/>
        <v>-7.0825388177600479E-2</v>
      </c>
      <c r="AN17" s="22">
        <f t="shared" si="29"/>
        <v>-1.8042236876545995E-2</v>
      </c>
      <c r="AO17" s="22">
        <f t="shared" si="29"/>
        <v>-6.6171702333206938E-3</v>
      </c>
      <c r="AP17" s="22">
        <f t="shared" si="29"/>
        <v>3.0472440022025357E-2</v>
      </c>
      <c r="AQ17" s="22">
        <f t="shared" si="29"/>
        <v>-0.13173026659697218</v>
      </c>
      <c r="AR17" s="22">
        <f t="shared" si="29"/>
        <v>-0.25229527161739518</v>
      </c>
      <c r="AS17" s="22">
        <f t="shared" si="29"/>
        <v>7.2881427990117889E-2</v>
      </c>
      <c r="AT17" s="22">
        <f t="shared" si="29"/>
        <v>-5.6265928222328794E-2</v>
      </c>
      <c r="AU17" s="22">
        <f t="shared" si="29"/>
        <v>-4.2337980247411644E-2</v>
      </c>
      <c r="AV17" s="22">
        <f t="shared" si="29"/>
        <v>4.8716021870381224E-2</v>
      </c>
      <c r="AW17" s="22">
        <f t="shared" si="29"/>
        <v>-7.7669720106579396E-2</v>
      </c>
      <c r="AX17" s="22">
        <f t="shared" si="29"/>
        <v>-3.1055725264117675E-2</v>
      </c>
      <c r="AY17" s="22">
        <f t="shared" si="0"/>
        <v>-0.15255462079918103</v>
      </c>
      <c r="AZ17" s="22">
        <f t="shared" si="0"/>
        <v>-0.27672031295123883</v>
      </c>
      <c r="BA17" s="22">
        <f t="shared" si="0"/>
        <v>-0.17629993305065972</v>
      </c>
      <c r="BB17" s="22">
        <f t="shared" si="0"/>
        <v>-5.6872037914685682E-2</v>
      </c>
      <c r="BC17" s="22">
        <f t="shared" si="0"/>
        <v>4.252465612273891E-2</v>
      </c>
      <c r="BD17" s="22">
        <f t="shared" si="0"/>
        <v>5.5188300080384875E-2</v>
      </c>
      <c r="BE17" s="22">
        <f t="shared" si="0"/>
        <v>-0.23715635579033095</v>
      </c>
      <c r="BF17" s="22">
        <f t="shared" si="0"/>
        <v>-0.11218910975571034</v>
      </c>
      <c r="BG17" s="22">
        <f t="shared" si="0"/>
        <v>-0.11831324166509312</v>
      </c>
      <c r="BH17" s="22">
        <f t="shared" si="0"/>
        <v>1.1002391186358099E-2</v>
      </c>
      <c r="BI17" s="22">
        <f t="shared" si="0"/>
        <v>-0.11241424068236909</v>
      </c>
      <c r="BJ17" s="22">
        <f t="shared" si="0"/>
        <v>-0.23533103231879432</v>
      </c>
      <c r="BN17">
        <v>16</v>
      </c>
      <c r="BO17" s="23">
        <f t="shared" si="30"/>
        <v>1.6891494368958626</v>
      </c>
      <c r="BP17" s="23">
        <f t="shared" si="1"/>
        <v>-0.43500780230578984</v>
      </c>
      <c r="BQ17" s="23">
        <f t="shared" si="2"/>
        <v>-0.12737531535754099</v>
      </c>
      <c r="BR17" s="23">
        <f t="shared" si="3"/>
        <v>0.55551534844438766</v>
      </c>
      <c r="BS17" s="23">
        <f t="shared" si="4"/>
        <v>0.98037169073273667</v>
      </c>
      <c r="BT17" s="23">
        <f t="shared" si="5"/>
        <v>0.97017403504776278</v>
      </c>
      <c r="BU17" s="23">
        <f t="shared" si="6"/>
        <v>0.26344092323230578</v>
      </c>
      <c r="BV17" s="23">
        <f t="shared" si="7"/>
        <v>2.6230026799099405E-2</v>
      </c>
      <c r="BW17" s="23">
        <f t="shared" si="8"/>
        <v>-0.16380504453731004</v>
      </c>
      <c r="BX17" s="23">
        <f t="shared" si="9"/>
        <v>-0.84708566210967773</v>
      </c>
      <c r="BY17" s="23">
        <f t="shared" si="10"/>
        <v>-0.7148563106143685</v>
      </c>
      <c r="BZ17" s="23">
        <f t="shared" si="11"/>
        <v>-1.1521609928071512</v>
      </c>
      <c r="CA17" s="23">
        <f t="shared" si="12"/>
        <v>0.94421979973625714</v>
      </c>
      <c r="CB17" s="23">
        <f t="shared" si="13"/>
        <v>-0.74187604853581712</v>
      </c>
      <c r="CC17" s="23">
        <f t="shared" si="14"/>
        <v>-1.1786745364083122</v>
      </c>
      <c r="CD17" s="23">
        <f t="shared" si="15"/>
        <v>0.23693163962704425</v>
      </c>
      <c r="CE17" s="23">
        <f t="shared" si="16"/>
        <v>-0.1910195443697012</v>
      </c>
      <c r="CF17" s="23">
        <f t="shared" si="17"/>
        <v>-0.87329082896821131</v>
      </c>
      <c r="CG17" s="23">
        <f t="shared" si="18"/>
        <v>0.31112201763364256</v>
      </c>
      <c r="CH17" s="23">
        <f t="shared" si="19"/>
        <v>0.99406099787269819</v>
      </c>
      <c r="CI17" s="23">
        <f t="shared" si="20"/>
        <v>2.1319676337559086</v>
      </c>
      <c r="CJ17" s="23">
        <f t="shared" si="21"/>
        <v>1.4233859377821405</v>
      </c>
      <c r="CK17" s="23">
        <f t="shared" si="22"/>
        <v>-1.1093515313324118</v>
      </c>
      <c r="CL17" s="23">
        <f t="shared" si="23"/>
        <v>-0.42545870627500948</v>
      </c>
      <c r="CM17" s="23">
        <f t="shared" si="24"/>
        <v>-0.68578032380846976</v>
      </c>
      <c r="CN17" s="23">
        <f t="shared" si="25"/>
        <v>-0.70683703821140698</v>
      </c>
      <c r="CO17" s="23">
        <f t="shared" si="26"/>
        <v>-1.1340544155415602</v>
      </c>
      <c r="CP17" s="23">
        <f t="shared" si="27"/>
        <v>-1.818371573146458</v>
      </c>
      <c r="CU17" s="13">
        <v>16</v>
      </c>
      <c r="CV17" s="24">
        <f t="shared" si="31"/>
        <v>-1.6180630249893395</v>
      </c>
      <c r="CW17" s="24">
        <f t="shared" si="32"/>
        <v>-9.394773932335216</v>
      </c>
      <c r="CX17" s="24">
        <f t="shared" si="33"/>
        <v>-3.7321033907702419</v>
      </c>
      <c r="CY17" s="24">
        <f t="shared" si="34"/>
        <v>-0.74647766567698426</v>
      </c>
      <c r="CZ17" s="24">
        <f t="shared" si="35"/>
        <v>-1.8299395457178398</v>
      </c>
      <c r="DA17" s="24">
        <f t="shared" si="36"/>
        <v>4.1193857175598421</v>
      </c>
      <c r="DB17" s="24">
        <f t="shared" si="37"/>
        <v>7.6263799185656431</v>
      </c>
      <c r="DC17" s="24">
        <f t="shared" si="38"/>
        <v>5.1501332170891265</v>
      </c>
      <c r="DF17" s="30">
        <v>16</v>
      </c>
      <c r="DG17" s="26">
        <f t="shared" si="60"/>
        <v>-0.70683703821140698</v>
      </c>
      <c r="DH17" s="26">
        <f t="shared" si="39"/>
        <v>0.26344092323230578</v>
      </c>
      <c r="DI17" s="26">
        <f t="shared" si="40"/>
        <v>-1.1340544155415602</v>
      </c>
      <c r="DJ17" s="26">
        <f t="shared" si="41"/>
        <v>-0.16380504453731004</v>
      </c>
      <c r="DK17" s="26">
        <f t="shared" si="42"/>
        <v>-0.94421979973625714</v>
      </c>
      <c r="DL17" s="26">
        <f t="shared" si="43"/>
        <v>2.6230026799099405E-2</v>
      </c>
      <c r="DM17" s="26">
        <f t="shared" si="44"/>
        <v>-1.6891494368958626</v>
      </c>
      <c r="DN17" s="26">
        <f t="shared" si="45"/>
        <v>-0.7148563106143685</v>
      </c>
      <c r="DO17" s="26">
        <f t="shared" si="46"/>
        <v>-2.1319676337559086</v>
      </c>
      <c r="DP17" s="26">
        <f t="shared" si="47"/>
        <v>-1.1521609928071512</v>
      </c>
      <c r="DQ17" s="26">
        <f t="shared" si="48"/>
        <v>-1.818371573146458</v>
      </c>
      <c r="DR17" s="26">
        <f t="shared" si="49"/>
        <v>-0.84708566210967773</v>
      </c>
      <c r="DS17" s="47">
        <f t="shared" si="50"/>
        <v>-0.97017403504776278</v>
      </c>
      <c r="DT17" s="47">
        <f t="shared" si="51"/>
        <v>0.97017403504776278</v>
      </c>
      <c r="DX17">
        <v>16</v>
      </c>
      <c r="DY17" s="19">
        <f t="shared" si="52"/>
        <v>7.7767109073458762</v>
      </c>
      <c r="EM17" s="13">
        <v>16</v>
      </c>
      <c r="EN17" s="16">
        <f t="shared" si="53"/>
        <v>-1.6180630249893395</v>
      </c>
      <c r="EO17" s="16">
        <f t="shared" si="28"/>
        <v>-9.394773932335216</v>
      </c>
      <c r="EP17" s="16">
        <f t="shared" si="54"/>
        <v>-3.7321033907702419</v>
      </c>
      <c r="EQ17" s="16">
        <f t="shared" si="55"/>
        <v>-0.74647766567698426</v>
      </c>
      <c r="ER17" s="16">
        <f t="shared" si="56"/>
        <v>-1.8299395457178398</v>
      </c>
      <c r="ES17" s="16">
        <f t="shared" si="57"/>
        <v>4.1193857175598421</v>
      </c>
      <c r="ET17" s="16">
        <f t="shared" si="58"/>
        <v>7.6263799185656431</v>
      </c>
      <c r="EU17" s="16">
        <f t="shared" si="59"/>
        <v>5.1501332170891265</v>
      </c>
      <c r="FK17" s="20"/>
      <c r="FL17" s="20"/>
    </row>
    <row r="18" spans="1:168" ht="14.4" thickBot="1" x14ac:dyDescent="0.35">
      <c r="A18" s="37" t="s">
        <v>51</v>
      </c>
      <c r="B18" s="38">
        <v>16</v>
      </c>
      <c r="C18" s="34">
        <f>RTD("fxbluelabs.excelrtd", , "21422436","@bh,AUDUSD,h4,close,16")</f>
        <v>0.67320000000000002</v>
      </c>
      <c r="D18" s="34">
        <f>RTD("fxbluelabs.excelrtd", , "21422436","@bh,AUDNZD,h4,close,16")</f>
        <v>1.1009</v>
      </c>
      <c r="E18" s="35">
        <f>RTD("fxbluelabs.excelrtd", , "21422436","@bh,AUDJPY,h4,close,16")</f>
        <v>98.691000000000003</v>
      </c>
      <c r="F18" s="34">
        <f>RTD("fxbluelabs.excelrtd", , "21422436","@bh,AUDCHF,h4,close,16")</f>
        <v>0.58087</v>
      </c>
      <c r="G18" s="34">
        <f>RTD("fxbluelabs.excelrtd", , "21422436","@bh,AUDCAD,h4,close,16")</f>
        <v>0.91774999999999995</v>
      </c>
      <c r="H18" s="34">
        <f>RTD("fxbluelabs.excelrtd", , "21422436","@bh,EURUSD,h4,close,16")</f>
        <v>1.1085100000000001</v>
      </c>
      <c r="I18" s="34">
        <f>RTD("fxbluelabs.excelrtd", , "21422436","@bh,EURCAD,h4,close,16")</f>
        <v>1.51122</v>
      </c>
      <c r="J18" s="34">
        <f>RTD("fxbluelabs.excelrtd", , "21422436","@bh,EURGBP,h4,close,16")</f>
        <v>0.85323000000000004</v>
      </c>
      <c r="K18" s="34">
        <f>RTD("fxbluelabs.excelrtd", , "21422436","@bh,EURCHF,h4,close,16")</f>
        <v>0.95650000000000002</v>
      </c>
      <c r="L18" s="35">
        <f>RTD("fxbluelabs.excelrtd", , "21422436","@bh,EURJPY,h4,close,16")</f>
        <v>162.50800000000001</v>
      </c>
      <c r="M18" s="34">
        <f>RTD("fxbluelabs.excelrtd", , "21422436","@bh,EURAUD,h4,close,16")</f>
        <v>1.6465099999999999</v>
      </c>
      <c r="N18" s="34">
        <f>RTD("fxbluelabs.excelrtd", , "21422436","@bh,EURNZD,h4,close,16")</f>
        <v>1.8128200000000001</v>
      </c>
      <c r="O18" s="34">
        <f>RTD("fxbluelabs.excelrtd", , "21422436","@bh,GBPUSD,h4,close,16")</f>
        <v>1.2990699999999999</v>
      </c>
      <c r="P18" s="34">
        <f>RTD("fxbluelabs.excelrtd", , "21422436","@bh,GBPAUD,h4,close,16")</f>
        <v>1.9295500000000001</v>
      </c>
      <c r="Q18" s="34">
        <f>RTD("fxbluelabs.excelrtd", , "21422436","@bh,GBPNZD,h4,close,16")</f>
        <v>2.1243799999999999</v>
      </c>
      <c r="R18" s="34">
        <f>RTD("fxbluelabs.excelrtd", , "21422436","@bh,GBPCAD,h4,close,16")</f>
        <v>1.77101</v>
      </c>
      <c r="S18" s="34">
        <f>RTD("fxbluelabs.excelrtd", , "21422436","@bh,GBPCHF,h4,close,16")</f>
        <v>1.1209100000000001</v>
      </c>
      <c r="T18" s="35">
        <f>RTD("fxbluelabs.excelrtd", , "21422436","@bh,GBPJPY,h4,close,16")</f>
        <v>190.44499999999999</v>
      </c>
      <c r="U18" s="35">
        <f>RTD("fxbluelabs.excelrtd", , "21422436","@bh,NZDJPY,h4,close,16")</f>
        <v>89.62</v>
      </c>
      <c r="V18" s="34">
        <f>RTD("fxbluelabs.excelrtd", , "21422436","@bh,NZDCHF,h4,close,16")</f>
        <v>0.52749999999999997</v>
      </c>
      <c r="W18" s="34">
        <f>RTD("fxbluelabs.excelrtd", , "21422436","@bh,NZDUSD,h4,close,16")</f>
        <v>0.61141000000000001</v>
      </c>
      <c r="X18" s="34">
        <f>RTD("fxbluelabs.excelrtd", , "21422436","@bh,NZDCAD,h4,close,16")</f>
        <v>0.83350999999999997</v>
      </c>
      <c r="Y18" s="35">
        <f>RTD("fxbluelabs.excelrtd", , "21422436","@bh,CADJPY,h4,close,16")</f>
        <v>107.524</v>
      </c>
      <c r="Z18" s="34">
        <f>RTD("fxbluelabs.excelrtd", , "21422436","@bh,CADCHF,h4,close,16")</f>
        <v>0.63285999999999998</v>
      </c>
      <c r="AA18" s="35">
        <f>RTD("fxbluelabs.excelrtd", , "21422436","@bh,CHFJPY,h4,close,16")</f>
        <v>169.88800000000001</v>
      </c>
      <c r="AB18" s="34">
        <f>RTD("fxbluelabs.excelrtd", , "21422436","@bh,USDCAD,h4,close,16")</f>
        <v>1.36334</v>
      </c>
      <c r="AC18" s="34">
        <f>RTD("fxbluelabs.excelrtd", , "21422436","@bh,USDCHF,h4,close,16")</f>
        <v>0.86287999999999998</v>
      </c>
      <c r="AD18" s="35">
        <f>RTD("fxbluelabs.excelrtd", , "21422436","@bh,USDJPY,h4,close,16")</f>
        <v>146.602</v>
      </c>
      <c r="AH18" s="13">
        <v>17</v>
      </c>
      <c r="AI18" s="27">
        <f t="shared" si="29"/>
        <v>0.17857142857142541</v>
      </c>
      <c r="AJ18" s="27">
        <f t="shared" si="29"/>
        <v>-0.16051946638613993</v>
      </c>
      <c r="AK18" s="27">
        <f t="shared" si="29"/>
        <v>0.2458125526922614</v>
      </c>
      <c r="AL18" s="27">
        <f t="shared" si="29"/>
        <v>0.1569073729222647</v>
      </c>
      <c r="AM18" s="27">
        <f t="shared" si="29"/>
        <v>5.7783301716046252E-2</v>
      </c>
      <c r="AN18" s="27">
        <f t="shared" si="29"/>
        <v>0.10294662127384172</v>
      </c>
      <c r="AO18" s="27">
        <f t="shared" si="29"/>
        <v>-1.389412675413638E-2</v>
      </c>
      <c r="AP18" s="27">
        <f t="shared" si="29"/>
        <v>2.8136320472692291E-2</v>
      </c>
      <c r="AQ18" s="27">
        <f t="shared" si="29"/>
        <v>8.8944697326428859E-2</v>
      </c>
      <c r="AR18" s="27">
        <f t="shared" si="29"/>
        <v>0.1744490676529607</v>
      </c>
      <c r="AS18" s="27">
        <f t="shared" si="29"/>
        <v>-8.0105350673309011E-2</v>
      </c>
      <c r="AT18" s="27">
        <f t="shared" si="29"/>
        <v>-0.23114770338246038</v>
      </c>
      <c r="AU18" s="27">
        <f t="shared" si="29"/>
        <v>6.8557518988126259E-2</v>
      </c>
      <c r="AV18" s="27">
        <f t="shared" si="29"/>
        <v>-0.11543757570737631</v>
      </c>
      <c r="AW18" s="27">
        <f t="shared" si="29"/>
        <v>-0.26993657664085863</v>
      </c>
      <c r="AX18" s="27">
        <f t="shared" si="29"/>
        <v>-4.9100390545630992E-2</v>
      </c>
      <c r="AY18" s="27">
        <f t="shared" ref="AX18:BJ28" si="61">IF(S18=0,0,(S18-S19)*100/S19)</f>
        <v>4.9091363490311186E-2</v>
      </c>
      <c r="AZ18" s="27">
        <f t="shared" si="61"/>
        <v>0.13776205023582574</v>
      </c>
      <c r="BA18" s="27">
        <f t="shared" si="61"/>
        <v>0.38757084929543162</v>
      </c>
      <c r="BB18" s="27">
        <f t="shared" si="61"/>
        <v>0.30233309881918585</v>
      </c>
      <c r="BC18" s="27">
        <f t="shared" si="61"/>
        <v>0.33312547179099677</v>
      </c>
      <c r="BD18" s="27">
        <f t="shared" si="61"/>
        <v>0.21401175862359226</v>
      </c>
      <c r="BE18" s="27">
        <f t="shared" si="61"/>
        <v>0.17795086320144085</v>
      </c>
      <c r="BF18" s="27">
        <f t="shared" si="61"/>
        <v>9.0148507804956493E-2</v>
      </c>
      <c r="BG18" s="27">
        <f t="shared" si="61"/>
        <v>8.0706446501051812E-2</v>
      </c>
      <c r="BH18" s="27">
        <f t="shared" si="61"/>
        <v>-0.11722126979940846</v>
      </c>
      <c r="BI18" s="27">
        <f t="shared" si="61"/>
        <v>-1.8539117538010866E-2</v>
      </c>
      <c r="BJ18" s="27">
        <f t="shared" si="61"/>
        <v>6.9624573378842231E-2</v>
      </c>
      <c r="BN18">
        <v>17</v>
      </c>
      <c r="BO18" s="28">
        <f t="shared" si="30"/>
        <v>1.7723342259630055</v>
      </c>
      <c r="BP18" s="28">
        <f t="shared" si="1"/>
        <v>-0.31510590385906551</v>
      </c>
      <c r="BQ18" s="28">
        <f t="shared" si="2"/>
        <v>0.19078946157248014</v>
      </c>
      <c r="BR18" s="28">
        <f t="shared" si="3"/>
        <v>0.74832957537984823</v>
      </c>
      <c r="BS18" s="28">
        <f t="shared" si="4"/>
        <v>1.0511970789103371</v>
      </c>
      <c r="BT18" s="28">
        <f t="shared" si="5"/>
        <v>0.98821627192430883</v>
      </c>
      <c r="BU18" s="28">
        <f t="shared" si="6"/>
        <v>0.27005809346562648</v>
      </c>
      <c r="BV18" s="28">
        <f t="shared" si="7"/>
        <v>-4.2424132229260149E-3</v>
      </c>
      <c r="BW18" s="28">
        <f t="shared" si="8"/>
        <v>-3.2074777940337862E-2</v>
      </c>
      <c r="BX18" s="28">
        <f t="shared" si="9"/>
        <v>-0.59479039049228244</v>
      </c>
      <c r="BY18" s="28">
        <f t="shared" si="10"/>
        <v>-0.78773773860448626</v>
      </c>
      <c r="BZ18" s="28">
        <f t="shared" si="11"/>
        <v>-1.0958950645848224</v>
      </c>
      <c r="CA18" s="28">
        <f t="shared" si="12"/>
        <v>0.98655777998366878</v>
      </c>
      <c r="CB18" s="28">
        <f t="shared" si="13"/>
        <v>-0.79059207040619828</v>
      </c>
      <c r="CC18" s="28">
        <f t="shared" si="14"/>
        <v>-1.1010048163017327</v>
      </c>
      <c r="CD18" s="28">
        <f t="shared" si="15"/>
        <v>0.26798736489116193</v>
      </c>
      <c r="CE18" s="28">
        <f t="shared" si="16"/>
        <v>-3.8464923570520178E-2</v>
      </c>
      <c r="CF18" s="28">
        <f t="shared" si="17"/>
        <v>-0.59657051601697242</v>
      </c>
      <c r="CG18" s="28">
        <f t="shared" si="18"/>
        <v>0.48742195068430239</v>
      </c>
      <c r="CH18" s="28">
        <f t="shared" si="19"/>
        <v>1.0509330357873841</v>
      </c>
      <c r="CI18" s="28">
        <f t="shared" si="20"/>
        <v>2.0894429776331696</v>
      </c>
      <c r="CJ18" s="28">
        <f t="shared" si="21"/>
        <v>1.3681976377017555</v>
      </c>
      <c r="CK18" s="28">
        <f t="shared" si="22"/>
        <v>-0.87219517554208115</v>
      </c>
      <c r="CL18" s="28">
        <f t="shared" si="23"/>
        <v>-0.3132695965192992</v>
      </c>
      <c r="CM18" s="28">
        <f t="shared" si="24"/>
        <v>-0.56746708214337649</v>
      </c>
      <c r="CN18" s="28">
        <f t="shared" si="25"/>
        <v>-0.71783942939776513</v>
      </c>
      <c r="CO18" s="28">
        <f t="shared" si="26"/>
        <v>-1.021640174859191</v>
      </c>
      <c r="CP18" s="28">
        <f t="shared" si="27"/>
        <v>-1.5830405408276638</v>
      </c>
      <c r="CU18" s="21">
        <v>17</v>
      </c>
      <c r="CV18" s="29">
        <f t="shared" si="31"/>
        <v>-1.2564660194549195</v>
      </c>
      <c r="CW18" s="29">
        <f t="shared" si="32"/>
        <v>-9.1590714005887737</v>
      </c>
      <c r="CX18" s="29">
        <f t="shared" si="33"/>
        <v>-3.425065517632496</v>
      </c>
      <c r="CY18" s="29">
        <f t="shared" si="34"/>
        <v>-1.2745498169405596</v>
      </c>
      <c r="CZ18" s="29">
        <f t="shared" si="35"/>
        <v>-1.267844768197667</v>
      </c>
      <c r="DA18" s="29">
        <f t="shared" si="36"/>
        <v>5.0258742469772901</v>
      </c>
      <c r="DB18" s="29">
        <f t="shared" si="37"/>
        <v>7.5080013865522321</v>
      </c>
      <c r="DC18" s="29">
        <f t="shared" si="38"/>
        <v>3.5358522927655938</v>
      </c>
      <c r="DF18" s="25">
        <v>17</v>
      </c>
      <c r="DG18" s="31">
        <f t="shared" si="60"/>
        <v>-0.71783942939776513</v>
      </c>
      <c r="DH18" s="31">
        <f t="shared" si="39"/>
        <v>0.27005809346562648</v>
      </c>
      <c r="DI18" s="31">
        <f t="shared" si="40"/>
        <v>-1.021640174859191</v>
      </c>
      <c r="DJ18" s="31">
        <f t="shared" si="41"/>
        <v>-3.2074777940337862E-2</v>
      </c>
      <c r="DK18" s="31">
        <f t="shared" si="42"/>
        <v>-0.98655777998366878</v>
      </c>
      <c r="DL18" s="31">
        <f t="shared" si="43"/>
        <v>-4.2424132229260149E-3</v>
      </c>
      <c r="DM18" s="31">
        <f t="shared" si="44"/>
        <v>-1.7723342259630055</v>
      </c>
      <c r="DN18" s="31">
        <f t="shared" si="45"/>
        <v>-0.78773773860448626</v>
      </c>
      <c r="DO18" s="31">
        <f t="shared" si="46"/>
        <v>-2.0894429776331696</v>
      </c>
      <c r="DP18" s="31">
        <f t="shared" si="47"/>
        <v>-1.0958950645848224</v>
      </c>
      <c r="DQ18" s="31">
        <f t="shared" si="48"/>
        <v>-1.5830405408276638</v>
      </c>
      <c r="DR18" s="31">
        <f t="shared" si="49"/>
        <v>-0.59479039049228244</v>
      </c>
      <c r="DS18" s="49">
        <f t="shared" si="50"/>
        <v>-0.98821627192430883</v>
      </c>
      <c r="DT18" s="49">
        <f t="shared" si="51"/>
        <v>0.98821627192430883</v>
      </c>
      <c r="DX18">
        <v>17</v>
      </c>
      <c r="DY18" s="19">
        <f t="shared" si="52"/>
        <v>7.9026053811338546</v>
      </c>
      <c r="EM18" s="21">
        <v>17</v>
      </c>
      <c r="EN18" s="16">
        <f t="shared" si="53"/>
        <v>-1.2564660194549195</v>
      </c>
      <c r="EO18" s="16">
        <f t="shared" si="28"/>
        <v>-9.1590714005887737</v>
      </c>
      <c r="EP18" s="16">
        <f t="shared" si="54"/>
        <v>-3.425065517632496</v>
      </c>
      <c r="EQ18" s="16">
        <f t="shared" si="55"/>
        <v>-1.2745498169405596</v>
      </c>
      <c r="ER18" s="16">
        <f t="shared" si="56"/>
        <v>-1.267844768197667</v>
      </c>
      <c r="ES18" s="16">
        <f t="shared" si="57"/>
        <v>5.0258742469772901</v>
      </c>
      <c r="ET18" s="16">
        <f t="shared" si="58"/>
        <v>7.5080013865522321</v>
      </c>
      <c r="EU18" s="16">
        <f t="shared" si="59"/>
        <v>3.5358522927655938</v>
      </c>
      <c r="FK18" s="20"/>
      <c r="FL18" s="20"/>
    </row>
    <row r="19" spans="1:168" ht="14.4" thickBot="1" x14ac:dyDescent="0.35">
      <c r="A19" s="37" t="s">
        <v>51</v>
      </c>
      <c r="B19" s="38">
        <v>17</v>
      </c>
      <c r="C19" s="34">
        <f>RTD("fxbluelabs.excelrtd", , "21422436","@bh,AUDUSD,h4,close,17")</f>
        <v>0.67200000000000004</v>
      </c>
      <c r="D19" s="34">
        <f>RTD("fxbluelabs.excelrtd", , "21422436","@bh,AUDNZD,h4,close,17")</f>
        <v>1.10267</v>
      </c>
      <c r="E19" s="35">
        <f>RTD("fxbluelabs.excelrtd", , "21422436","@bh,AUDJPY,h4,close,17")</f>
        <v>98.448999999999998</v>
      </c>
      <c r="F19" s="34">
        <f>RTD("fxbluelabs.excelrtd", , "21422436","@bh,AUDCHF,h4,close,17")</f>
        <v>0.57996000000000003</v>
      </c>
      <c r="G19" s="34">
        <f>RTD("fxbluelabs.excelrtd", , "21422436","@bh,AUDCAD,h4,close,17")</f>
        <v>0.91722000000000004</v>
      </c>
      <c r="H19" s="34">
        <f>RTD("fxbluelabs.excelrtd", , "21422436","@bh,EURUSD,h4,close,17")</f>
        <v>1.10737</v>
      </c>
      <c r="I19" s="34">
        <f>RTD("fxbluelabs.excelrtd", , "21422436","@bh,EURCAD,h4,close,17")</f>
        <v>1.5114300000000001</v>
      </c>
      <c r="J19" s="34">
        <f>RTD("fxbluelabs.excelrtd", , "21422436","@bh,EURGBP,h4,close,17")</f>
        <v>0.85299000000000003</v>
      </c>
      <c r="K19" s="34">
        <f>RTD("fxbluelabs.excelrtd", , "21422436","@bh,EURCHF,h4,close,17")</f>
        <v>0.95565</v>
      </c>
      <c r="L19" s="35">
        <f>RTD("fxbluelabs.excelrtd", , "21422436","@bh,EURJPY,h4,close,17")</f>
        <v>162.22499999999999</v>
      </c>
      <c r="M19" s="34">
        <f>RTD("fxbluelabs.excelrtd", , "21422436","@bh,EURAUD,h4,close,17")</f>
        <v>1.6478299999999999</v>
      </c>
      <c r="N19" s="34">
        <f>RTD("fxbluelabs.excelrtd", , "21422436","@bh,EURNZD,h4,close,17")</f>
        <v>1.8170200000000001</v>
      </c>
      <c r="O19" s="34">
        <f>RTD("fxbluelabs.excelrtd", , "21422436","@bh,GBPUSD,h4,close,17")</f>
        <v>1.2981799999999999</v>
      </c>
      <c r="P19" s="34">
        <f>RTD("fxbluelabs.excelrtd", , "21422436","@bh,GBPAUD,h4,close,17")</f>
        <v>1.9317800000000001</v>
      </c>
      <c r="Q19" s="34">
        <f>RTD("fxbluelabs.excelrtd", , "21422436","@bh,GBPNZD,h4,close,17")</f>
        <v>2.1301299999999999</v>
      </c>
      <c r="R19" s="34">
        <f>RTD("fxbluelabs.excelrtd", , "21422436","@bh,GBPCAD,h4,close,17")</f>
        <v>1.7718799999999999</v>
      </c>
      <c r="S19" s="34">
        <f>RTD("fxbluelabs.excelrtd", , "21422436","@bh,GBPCHF,h4,close,17")</f>
        <v>1.12036</v>
      </c>
      <c r="T19" s="35">
        <f>RTD("fxbluelabs.excelrtd", , "21422436","@bh,GBPJPY,h4,close,17")</f>
        <v>190.18299999999999</v>
      </c>
      <c r="U19" s="35">
        <f>RTD("fxbluelabs.excelrtd", , "21422436","@bh,NZDJPY,h4,close,17")</f>
        <v>89.274000000000001</v>
      </c>
      <c r="V19" s="34">
        <f>RTD("fxbluelabs.excelrtd", , "21422436","@bh,NZDCHF,h4,close,17")</f>
        <v>0.52590999999999999</v>
      </c>
      <c r="W19" s="34">
        <f>RTD("fxbluelabs.excelrtd", , "21422436","@bh,NZDUSD,h4,close,17")</f>
        <v>0.60938000000000003</v>
      </c>
      <c r="X19" s="34">
        <f>RTD("fxbluelabs.excelrtd", , "21422436","@bh,NZDCAD,h4,close,17")</f>
        <v>0.83172999999999997</v>
      </c>
      <c r="Y19" s="35">
        <f>RTD("fxbluelabs.excelrtd", , "21422436","@bh,CADJPY,h4,close,17")</f>
        <v>107.333</v>
      </c>
      <c r="Z19" s="34">
        <f>RTD("fxbluelabs.excelrtd", , "21422436","@bh,CADCHF,h4,close,17")</f>
        <v>0.63229000000000002</v>
      </c>
      <c r="AA19" s="35">
        <f>RTD("fxbluelabs.excelrtd", , "21422436","@bh,CHFJPY,h4,close,17")</f>
        <v>169.751</v>
      </c>
      <c r="AB19" s="34">
        <f>RTD("fxbluelabs.excelrtd", , "21422436","@bh,USDCAD,h4,close,17")</f>
        <v>1.36494</v>
      </c>
      <c r="AC19" s="34">
        <f>RTD("fxbluelabs.excelrtd", , "21422436","@bh,USDCHF,h4,close,17")</f>
        <v>0.86304000000000003</v>
      </c>
      <c r="AD19" s="35">
        <f>RTD("fxbluelabs.excelrtd", , "21422436","@bh,USDJPY,h4,close,17")</f>
        <v>146.5</v>
      </c>
      <c r="AH19" s="21">
        <v>18</v>
      </c>
      <c r="AI19" s="22">
        <f t="shared" ref="AI19:AX28" si="62">IF(C19=0,0,(C19-C20)*100/C20)</f>
        <v>0.34643411778759836</v>
      </c>
      <c r="AJ19" s="22">
        <f t="shared" si="62"/>
        <v>7.2556435302406162E-3</v>
      </c>
      <c r="AK19" s="22">
        <f t="shared" si="62"/>
        <v>0.54229048795930435</v>
      </c>
      <c r="AL19" s="22">
        <f t="shared" si="62"/>
        <v>7.5924903368304097E-2</v>
      </c>
      <c r="AM19" s="22">
        <f t="shared" si="62"/>
        <v>0.17802728295416292</v>
      </c>
      <c r="AN19" s="22">
        <f t="shared" si="62"/>
        <v>0.31434006703504502</v>
      </c>
      <c r="AO19" s="22">
        <f t="shared" si="62"/>
        <v>0.14510614613978801</v>
      </c>
      <c r="AP19" s="22">
        <f t="shared" si="62"/>
        <v>7.3912431367030296E-2</v>
      </c>
      <c r="AQ19" s="22">
        <f t="shared" si="62"/>
        <v>4.0826581244896833E-2</v>
      </c>
      <c r="AR19" s="22">
        <f t="shared" si="62"/>
        <v>0.50617069785884672</v>
      </c>
      <c r="AS19" s="22">
        <f t="shared" si="62"/>
        <v>-3.3366092769874088E-2</v>
      </c>
      <c r="AT19" s="22">
        <f t="shared" si="62"/>
        <v>-2.6409903713882472E-2</v>
      </c>
      <c r="AU19" s="22">
        <f t="shared" si="62"/>
        <v>0.23936745220371564</v>
      </c>
      <c r="AV19" s="22">
        <f t="shared" si="62"/>
        <v>-0.10807344857720143</v>
      </c>
      <c r="AW19" s="22">
        <f t="shared" si="62"/>
        <v>-0.10036252444579029</v>
      </c>
      <c r="AX19" s="22">
        <f t="shared" si="62"/>
        <v>7.0596341415200992E-2</v>
      </c>
      <c r="AY19" s="22">
        <f t="shared" si="61"/>
        <v>-3.2122207152537295E-2</v>
      </c>
      <c r="AZ19" s="22">
        <f t="shared" si="61"/>
        <v>0.43356111574655842</v>
      </c>
      <c r="BA19" s="22">
        <f t="shared" si="61"/>
        <v>0.52925543894419036</v>
      </c>
      <c r="BB19" s="22">
        <f t="shared" si="61"/>
        <v>6.2787777312671988E-2</v>
      </c>
      <c r="BC19" s="22">
        <f t="shared" si="61"/>
        <v>0.33589093423783084</v>
      </c>
      <c r="BD19" s="22">
        <f t="shared" si="61"/>
        <v>0.1661949780213087</v>
      </c>
      <c r="BE19" s="22">
        <f t="shared" si="61"/>
        <v>0.36280331011267963</v>
      </c>
      <c r="BF19" s="22">
        <f t="shared" si="61"/>
        <v>-0.10427363930800125</v>
      </c>
      <c r="BG19" s="22">
        <f t="shared" si="61"/>
        <v>0.46637429496399269</v>
      </c>
      <c r="BH19" s="22">
        <f t="shared" si="61"/>
        <v>-0.16895227646736399</v>
      </c>
      <c r="BI19" s="22">
        <f t="shared" si="61"/>
        <v>-0.26924899176074318</v>
      </c>
      <c r="BJ19" s="22">
        <f t="shared" si="61"/>
        <v>0.19286271184123069</v>
      </c>
      <c r="BN19">
        <v>18</v>
      </c>
      <c r="BO19" s="23">
        <f t="shared" si="30"/>
        <v>1.5937627973915798</v>
      </c>
      <c r="BP19" s="23">
        <f t="shared" si="1"/>
        <v>-0.15458643747292564</v>
      </c>
      <c r="BQ19" s="23">
        <f t="shared" si="2"/>
        <v>-5.5023091119781209E-2</v>
      </c>
      <c r="BR19" s="23">
        <f t="shared" si="3"/>
        <v>0.59142220245758326</v>
      </c>
      <c r="BS19" s="23">
        <f t="shared" si="4"/>
        <v>0.9934137771942908</v>
      </c>
      <c r="BT19" s="23">
        <f t="shared" si="5"/>
        <v>0.88526965065046692</v>
      </c>
      <c r="BU19" s="23">
        <f t="shared" si="6"/>
        <v>0.28395222021976296</v>
      </c>
      <c r="BV19" s="23">
        <f t="shared" si="7"/>
        <v>-3.2378733695618306E-2</v>
      </c>
      <c r="BW19" s="23">
        <f t="shared" si="8"/>
        <v>-0.12101947526676668</v>
      </c>
      <c r="BX19" s="23">
        <f t="shared" si="9"/>
        <v>-0.76923945814524308</v>
      </c>
      <c r="BY19" s="23">
        <f t="shared" si="10"/>
        <v>-0.70763238793117733</v>
      </c>
      <c r="BZ19" s="23">
        <f t="shared" si="11"/>
        <v>-0.86474736120236195</v>
      </c>
      <c r="CA19" s="23">
        <f t="shared" si="12"/>
        <v>0.91800026099554244</v>
      </c>
      <c r="CB19" s="23">
        <f t="shared" si="13"/>
        <v>-0.67515449469882205</v>
      </c>
      <c r="CC19" s="23">
        <f t="shared" si="14"/>
        <v>-0.83106823966087406</v>
      </c>
      <c r="CD19" s="23">
        <f t="shared" si="15"/>
        <v>0.31708775543679291</v>
      </c>
      <c r="CE19" s="23">
        <f t="shared" si="16"/>
        <v>-8.7556287060831378E-2</v>
      </c>
      <c r="CF19" s="23">
        <f t="shared" si="17"/>
        <v>-0.73433256625279819</v>
      </c>
      <c r="CG19" s="23">
        <f t="shared" si="18"/>
        <v>9.9851101388870656E-2</v>
      </c>
      <c r="CH19" s="23">
        <f t="shared" si="19"/>
        <v>0.74859993696819793</v>
      </c>
      <c r="CI19" s="23">
        <f t="shared" si="20"/>
        <v>1.7563175058421729</v>
      </c>
      <c r="CJ19" s="23">
        <f t="shared" si="21"/>
        <v>1.1541858790781634</v>
      </c>
      <c r="CK19" s="23">
        <f t="shared" si="22"/>
        <v>-1.050146038743522</v>
      </c>
      <c r="CL19" s="23">
        <f t="shared" si="23"/>
        <v>-0.40341810432425562</v>
      </c>
      <c r="CM19" s="23">
        <f t="shared" si="24"/>
        <v>-0.64817352864442856</v>
      </c>
      <c r="CN19" s="23">
        <f t="shared" si="25"/>
        <v>-0.60061815959835663</v>
      </c>
      <c r="CO19" s="23">
        <f t="shared" si="26"/>
        <v>-1.00310105732118</v>
      </c>
      <c r="CP19" s="23">
        <f t="shared" si="27"/>
        <v>-1.6526651142065061</v>
      </c>
      <c r="CU19" s="21">
        <v>18</v>
      </c>
      <c r="CV19" s="24">
        <f t="shared" si="31"/>
        <v>-1.3257955453709371</v>
      </c>
      <c r="CW19" s="24">
        <f t="shared" si="32"/>
        <v>-8.4097345460058044</v>
      </c>
      <c r="CX19" s="24">
        <f t="shared" si="33"/>
        <v>-3.6015856153984318</v>
      </c>
      <c r="CY19" s="24">
        <f t="shared" si="34"/>
        <v>-0.7765188484214316</v>
      </c>
      <c r="CZ19" s="24">
        <f t="shared" si="35"/>
        <v>-1.0606448375453721</v>
      </c>
      <c r="DA19" s="24">
        <f t="shared" si="36"/>
        <v>4.3517761310807463</v>
      </c>
      <c r="DB19" s="24">
        <f t="shared" si="37"/>
        <v>5.6093564616135669</v>
      </c>
      <c r="DC19" s="24">
        <f t="shared" si="38"/>
        <v>4.8097286957234084</v>
      </c>
      <c r="DF19" s="30">
        <v>18</v>
      </c>
      <c r="DG19" s="26">
        <f t="shared" si="60"/>
        <v>-0.60061815959835663</v>
      </c>
      <c r="DH19" s="26">
        <f t="shared" si="39"/>
        <v>0.28395222021976296</v>
      </c>
      <c r="DI19" s="26">
        <f t="shared" si="40"/>
        <v>-1.00310105732118</v>
      </c>
      <c r="DJ19" s="26">
        <f t="shared" si="41"/>
        <v>-0.12101947526676668</v>
      </c>
      <c r="DK19" s="26">
        <f t="shared" si="42"/>
        <v>-0.91800026099554244</v>
      </c>
      <c r="DL19" s="26">
        <f t="shared" si="43"/>
        <v>-3.2378733695618306E-2</v>
      </c>
      <c r="DM19" s="26">
        <f t="shared" si="44"/>
        <v>-1.5937627973915798</v>
      </c>
      <c r="DN19" s="26">
        <f t="shared" si="45"/>
        <v>-0.70763238793117733</v>
      </c>
      <c r="DO19" s="26">
        <f t="shared" si="46"/>
        <v>-1.7563175058421729</v>
      </c>
      <c r="DP19" s="26">
        <f t="shared" si="47"/>
        <v>-0.86474736120236195</v>
      </c>
      <c r="DQ19" s="26">
        <f t="shared" si="48"/>
        <v>-1.6526651142065061</v>
      </c>
      <c r="DR19" s="26">
        <f t="shared" si="49"/>
        <v>-0.76923945814524308</v>
      </c>
      <c r="DS19" s="47">
        <f t="shared" si="50"/>
        <v>-0.88526965065046692</v>
      </c>
      <c r="DT19" s="47">
        <f t="shared" si="51"/>
        <v>0.88526965065046692</v>
      </c>
      <c r="DX19">
        <v>18</v>
      </c>
      <c r="DY19" s="19">
        <f t="shared" si="52"/>
        <v>7.0839390006348673</v>
      </c>
      <c r="EM19" s="21">
        <v>18</v>
      </c>
      <c r="EN19" s="16">
        <f t="shared" si="53"/>
        <v>-1.3257955453709371</v>
      </c>
      <c r="EO19" s="16">
        <f t="shared" si="28"/>
        <v>-8.4097345460058044</v>
      </c>
      <c r="EP19" s="16">
        <f t="shared" si="54"/>
        <v>-3.6015856153984318</v>
      </c>
      <c r="EQ19" s="16">
        <f t="shared" si="55"/>
        <v>-0.7765188484214316</v>
      </c>
      <c r="ER19" s="16">
        <f t="shared" si="56"/>
        <v>-1.0606448375453721</v>
      </c>
      <c r="ES19" s="16">
        <f t="shared" si="57"/>
        <v>4.3517761310807463</v>
      </c>
      <c r="ET19" s="16">
        <f t="shared" si="58"/>
        <v>5.6093564616135669</v>
      </c>
      <c r="EU19" s="16">
        <f t="shared" si="59"/>
        <v>4.8097286957234084</v>
      </c>
      <c r="FK19" s="20"/>
      <c r="FL19" s="20"/>
    </row>
    <row r="20" spans="1:168" ht="14.4" thickBot="1" x14ac:dyDescent="0.35">
      <c r="A20" s="37" t="s">
        <v>51</v>
      </c>
      <c r="B20" s="38">
        <v>18</v>
      </c>
      <c r="C20" s="34">
        <f>RTD("fxbluelabs.excelrtd", , "21422436","@bh,AUDUSD,h4,close,18")</f>
        <v>0.66968000000000005</v>
      </c>
      <c r="D20" s="34">
        <f>RTD("fxbluelabs.excelrtd", , "21422436","@bh,AUDNZD,h4,close,18")</f>
        <v>1.10259</v>
      </c>
      <c r="E20" s="35">
        <f>RTD("fxbluelabs.excelrtd", , "21422436","@bh,AUDJPY,h4,close,18")</f>
        <v>97.918000000000006</v>
      </c>
      <c r="F20" s="34">
        <f>RTD("fxbluelabs.excelrtd", , "21422436","@bh,AUDCHF,h4,close,18")</f>
        <v>0.57952000000000004</v>
      </c>
      <c r="G20" s="34">
        <f>RTD("fxbluelabs.excelrtd", , "21422436","@bh,AUDCAD,h4,close,18")</f>
        <v>0.91559000000000001</v>
      </c>
      <c r="H20" s="34">
        <f>RTD("fxbluelabs.excelrtd", , "21422436","@bh,EURUSD,h4,close,18")</f>
        <v>1.1039000000000001</v>
      </c>
      <c r="I20" s="34">
        <f>RTD("fxbluelabs.excelrtd", , "21422436","@bh,EURCAD,h4,close,18")</f>
        <v>1.5092399999999999</v>
      </c>
      <c r="J20" s="34">
        <f>RTD("fxbluelabs.excelrtd", , "21422436","@bh,EURGBP,h4,close,18")</f>
        <v>0.85236000000000001</v>
      </c>
      <c r="K20" s="34">
        <f>RTD("fxbluelabs.excelrtd", , "21422436","@bh,EURCHF,h4,close,18")</f>
        <v>0.95526</v>
      </c>
      <c r="L20" s="35">
        <f>RTD("fxbluelabs.excelrtd", , "21422436","@bh,EURJPY,h4,close,18")</f>
        <v>161.40799999999999</v>
      </c>
      <c r="M20" s="34">
        <f>RTD("fxbluelabs.excelrtd", , "21422436","@bh,EURAUD,h4,close,18")</f>
        <v>1.64838</v>
      </c>
      <c r="N20" s="34">
        <f>RTD("fxbluelabs.excelrtd", , "21422436","@bh,EURNZD,h4,close,18")</f>
        <v>1.8174999999999999</v>
      </c>
      <c r="O20" s="34">
        <f>RTD("fxbluelabs.excelrtd", , "21422436","@bh,GBPUSD,h4,close,18")</f>
        <v>1.29508</v>
      </c>
      <c r="P20" s="34">
        <f>RTD("fxbluelabs.excelrtd", , "21422436","@bh,GBPAUD,h4,close,18")</f>
        <v>1.93387</v>
      </c>
      <c r="Q20" s="34">
        <f>RTD("fxbluelabs.excelrtd", , "21422436","@bh,GBPNZD,h4,close,18")</f>
        <v>2.1322700000000001</v>
      </c>
      <c r="R20" s="34">
        <f>RTD("fxbluelabs.excelrtd", , "21422436","@bh,GBPCAD,h4,close,18")</f>
        <v>1.7706299999999999</v>
      </c>
      <c r="S20" s="34">
        <f>RTD("fxbluelabs.excelrtd", , "21422436","@bh,GBPCHF,h4,close,18")</f>
        <v>1.1207199999999999</v>
      </c>
      <c r="T20" s="35">
        <f>RTD("fxbluelabs.excelrtd", , "21422436","@bh,GBPJPY,h4,close,18")</f>
        <v>189.36199999999999</v>
      </c>
      <c r="U20" s="35">
        <f>RTD("fxbluelabs.excelrtd", , "21422436","@bh,NZDJPY,h4,close,18")</f>
        <v>88.804000000000002</v>
      </c>
      <c r="V20" s="34">
        <f>RTD("fxbluelabs.excelrtd", , "21422436","@bh,NZDCHF,h4,close,18")</f>
        <v>0.52558000000000005</v>
      </c>
      <c r="W20" s="34">
        <f>RTD("fxbluelabs.excelrtd", , "21422436","@bh,NZDUSD,h4,close,18")</f>
        <v>0.60733999999999999</v>
      </c>
      <c r="X20" s="34">
        <f>RTD("fxbluelabs.excelrtd", , "21422436","@bh,NZDCAD,h4,close,18")</f>
        <v>0.83035000000000003</v>
      </c>
      <c r="Y20" s="35">
        <f>RTD("fxbluelabs.excelrtd", , "21422436","@bh,CADJPY,h4,close,18")</f>
        <v>106.94499999999999</v>
      </c>
      <c r="Z20" s="34">
        <f>RTD("fxbluelabs.excelrtd", , "21422436","@bh,CADCHF,h4,close,18")</f>
        <v>0.63295000000000001</v>
      </c>
      <c r="AA20" s="35">
        <f>RTD("fxbluelabs.excelrtd", , "21422436","@bh,CHFJPY,h4,close,18")</f>
        <v>168.96299999999999</v>
      </c>
      <c r="AB20" s="34">
        <f>RTD("fxbluelabs.excelrtd", , "21422436","@bh,USDCAD,h4,close,18")</f>
        <v>1.3672500000000001</v>
      </c>
      <c r="AC20" s="34">
        <f>RTD("fxbluelabs.excelrtd", , "21422436","@bh,USDCHF,h4,close,18")</f>
        <v>0.86536999999999997</v>
      </c>
      <c r="AD20" s="35">
        <f>RTD("fxbluelabs.excelrtd", , "21422436","@bh,USDJPY,h4,close,18")</f>
        <v>146.21799999999999</v>
      </c>
      <c r="AH20" s="21">
        <v>19</v>
      </c>
      <c r="AI20" s="27">
        <f t="shared" si="62"/>
        <v>0.12708760073561554</v>
      </c>
      <c r="AJ20" s="27">
        <f t="shared" si="62"/>
        <v>9.8047226080559408E-2</v>
      </c>
      <c r="AK20" s="27">
        <f t="shared" si="62"/>
        <v>0.22210622204482347</v>
      </c>
      <c r="AL20" s="27">
        <f t="shared" si="62"/>
        <v>0.21789506450386312</v>
      </c>
      <c r="AM20" s="27">
        <f t="shared" si="62"/>
        <v>0.1148118179631285</v>
      </c>
      <c r="AN20" s="27">
        <f t="shared" si="62"/>
        <v>1.5402317595789139E-2</v>
      </c>
      <c r="AO20" s="27">
        <f t="shared" si="62"/>
        <v>1.9877949390723951E-3</v>
      </c>
      <c r="AP20" s="27">
        <f t="shared" si="62"/>
        <v>0.17864698415682922</v>
      </c>
      <c r="AQ20" s="27">
        <f t="shared" si="62"/>
        <v>0.10479324293169585</v>
      </c>
      <c r="AR20" s="27">
        <f t="shared" si="62"/>
        <v>0.10853857460940561</v>
      </c>
      <c r="AS20" s="27">
        <f t="shared" si="62"/>
        <v>-0.11331616421754512</v>
      </c>
      <c r="AT20" s="27">
        <f t="shared" si="62"/>
        <v>-1.5403404152320853E-2</v>
      </c>
      <c r="AU20" s="27">
        <f t="shared" si="62"/>
        <v>-0.16265928661183451</v>
      </c>
      <c r="AV20" s="27">
        <f t="shared" si="62"/>
        <v>-0.29079509773087475</v>
      </c>
      <c r="AW20" s="27">
        <f t="shared" si="62"/>
        <v>-0.19331585845347157</v>
      </c>
      <c r="AX20" s="27">
        <f t="shared" si="62"/>
        <v>-0.17589852008456727</v>
      </c>
      <c r="AY20" s="27">
        <f t="shared" si="61"/>
        <v>-7.311375430212412E-2</v>
      </c>
      <c r="AZ20" s="27">
        <f t="shared" si="61"/>
        <v>-6.9659197652698762E-2</v>
      </c>
      <c r="BA20" s="27">
        <f t="shared" si="61"/>
        <v>0.12176422837557961</v>
      </c>
      <c r="BB20" s="27">
        <f t="shared" si="61"/>
        <v>0.12001142965997132</v>
      </c>
      <c r="BC20" s="27">
        <f t="shared" si="61"/>
        <v>2.7998748291253435E-2</v>
      </c>
      <c r="BD20" s="27">
        <f t="shared" si="61"/>
        <v>1.5658500156593976E-2</v>
      </c>
      <c r="BE20" s="27">
        <f t="shared" si="61"/>
        <v>0.10671059898343188</v>
      </c>
      <c r="BF20" s="27">
        <f t="shared" si="61"/>
        <v>0.10438248272153504</v>
      </c>
      <c r="BG20" s="27">
        <f t="shared" si="61"/>
        <v>3.5511994176034302E-3</v>
      </c>
      <c r="BH20" s="27">
        <f t="shared" si="61"/>
        <v>-1.2432171534715264E-2</v>
      </c>
      <c r="BI20" s="27">
        <f t="shared" si="61"/>
        <v>8.9058524173020751E-2</v>
      </c>
      <c r="BJ20" s="27">
        <f t="shared" si="61"/>
        <v>9.3783585818826856E-2</v>
      </c>
      <c r="BN20">
        <v>19</v>
      </c>
      <c r="BO20" s="28">
        <f t="shared" si="30"/>
        <v>1.2473286796039815</v>
      </c>
      <c r="BP20" s="28">
        <f t="shared" si="1"/>
        <v>-0.16184208100316619</v>
      </c>
      <c r="BQ20" s="28">
        <f t="shared" si="2"/>
        <v>-0.59731357907908567</v>
      </c>
      <c r="BR20" s="28">
        <f t="shared" si="3"/>
        <v>0.5154972990892791</v>
      </c>
      <c r="BS20" s="28">
        <f t="shared" si="4"/>
        <v>0.81538649424012788</v>
      </c>
      <c r="BT20" s="28">
        <f t="shared" si="5"/>
        <v>0.5709295836154219</v>
      </c>
      <c r="BU20" s="28">
        <f t="shared" si="6"/>
        <v>0.13884607407997493</v>
      </c>
      <c r="BV20" s="28">
        <f t="shared" si="7"/>
        <v>-0.10629116506264852</v>
      </c>
      <c r="BW20" s="28">
        <f t="shared" si="8"/>
        <v>-0.16184605651166356</v>
      </c>
      <c r="BX20" s="28">
        <f t="shared" si="9"/>
        <v>-1.2754101560040898</v>
      </c>
      <c r="BY20" s="28">
        <f t="shared" si="10"/>
        <v>-0.67426629516130321</v>
      </c>
      <c r="BZ20" s="28">
        <f t="shared" si="11"/>
        <v>-0.83833745748847954</v>
      </c>
      <c r="CA20" s="28">
        <f t="shared" si="12"/>
        <v>0.67863280879182697</v>
      </c>
      <c r="CB20" s="28">
        <f t="shared" si="13"/>
        <v>-0.56708104612162058</v>
      </c>
      <c r="CC20" s="28">
        <f t="shared" si="14"/>
        <v>-0.73070571521508376</v>
      </c>
      <c r="CD20" s="28">
        <f t="shared" si="15"/>
        <v>0.24649141402159194</v>
      </c>
      <c r="CE20" s="28">
        <f t="shared" si="16"/>
        <v>-5.5434079908294062E-2</v>
      </c>
      <c r="CF20" s="28">
        <f t="shared" si="17"/>
        <v>-1.1678936819993566</v>
      </c>
      <c r="CG20" s="28">
        <f t="shared" si="18"/>
        <v>-0.42940433755531976</v>
      </c>
      <c r="CH20" s="28">
        <f t="shared" si="19"/>
        <v>0.68581215965552622</v>
      </c>
      <c r="CI20" s="28">
        <f t="shared" si="20"/>
        <v>1.420426571604342</v>
      </c>
      <c r="CJ20" s="28">
        <f t="shared" si="21"/>
        <v>0.98799090105685472</v>
      </c>
      <c r="CK20" s="28">
        <f t="shared" si="22"/>
        <v>-1.4129493488562015</v>
      </c>
      <c r="CL20" s="28">
        <f t="shared" si="23"/>
        <v>-0.29914446501625441</v>
      </c>
      <c r="CM20" s="28">
        <f t="shared" si="24"/>
        <v>-1.1145478236084212</v>
      </c>
      <c r="CN20" s="28">
        <f t="shared" si="25"/>
        <v>-0.43166588313099258</v>
      </c>
      <c r="CO20" s="28">
        <f t="shared" si="26"/>
        <v>-0.73385206556043681</v>
      </c>
      <c r="CP20" s="28">
        <f t="shared" si="27"/>
        <v>-1.8455278260477368</v>
      </c>
      <c r="CU20" s="21">
        <v>19</v>
      </c>
      <c r="CV20" s="29">
        <f t="shared" si="31"/>
        <v>-2.3463754725327877</v>
      </c>
      <c r="CW20" s="29">
        <f t="shared" si="32"/>
        <v>-6.9283634183547385</v>
      </c>
      <c r="CX20" s="29">
        <f t="shared" si="33"/>
        <v>-3.4691428141400129</v>
      </c>
      <c r="CY20" s="29">
        <f t="shared" si="34"/>
        <v>-1.3647250803728324</v>
      </c>
      <c r="CZ20" s="29">
        <f t="shared" si="35"/>
        <v>-1.4896991353682876</v>
      </c>
      <c r="DA20" s="29">
        <f t="shared" si="36"/>
        <v>3.0604041541340608</v>
      </c>
      <c r="DB20" s="29">
        <f t="shared" si="37"/>
        <v>4.3957105484681325</v>
      </c>
      <c r="DC20" s="29">
        <f t="shared" si="38"/>
        <v>7.8430467531502117</v>
      </c>
      <c r="DF20" s="17">
        <v>19</v>
      </c>
      <c r="DG20" s="31">
        <f t="shared" si="60"/>
        <v>-0.43166588313099258</v>
      </c>
      <c r="DH20" s="31">
        <f t="shared" si="39"/>
        <v>0.13884607407997493</v>
      </c>
      <c r="DI20" s="31">
        <f t="shared" si="40"/>
        <v>-0.73385206556043681</v>
      </c>
      <c r="DJ20" s="31">
        <f t="shared" si="41"/>
        <v>-0.16184605651166356</v>
      </c>
      <c r="DK20" s="31">
        <f t="shared" si="42"/>
        <v>-0.67863280879182697</v>
      </c>
      <c r="DL20" s="31">
        <f t="shared" si="43"/>
        <v>-0.10629116506264852</v>
      </c>
      <c r="DM20" s="31">
        <f t="shared" si="44"/>
        <v>-1.2473286796039815</v>
      </c>
      <c r="DN20" s="31">
        <f t="shared" si="45"/>
        <v>-0.67426629516130321</v>
      </c>
      <c r="DO20" s="31">
        <f t="shared" si="46"/>
        <v>-1.420426571604342</v>
      </c>
      <c r="DP20" s="31">
        <f t="shared" si="47"/>
        <v>-0.83833745748847954</v>
      </c>
      <c r="DQ20" s="31">
        <f t="shared" si="48"/>
        <v>-1.8455278260477368</v>
      </c>
      <c r="DR20" s="31">
        <f t="shared" si="49"/>
        <v>-1.2754101560040898</v>
      </c>
      <c r="DS20" s="49">
        <f t="shared" si="50"/>
        <v>-0.5709295836154219</v>
      </c>
      <c r="DT20" s="49">
        <f t="shared" si="51"/>
        <v>0.5709295836154219</v>
      </c>
      <c r="DX20">
        <v>19</v>
      </c>
      <c r="DY20" s="19">
        <f t="shared" si="52"/>
        <v>4.5819879458219503</v>
      </c>
      <c r="EM20" s="21">
        <v>19</v>
      </c>
      <c r="EN20" s="16">
        <f t="shared" si="53"/>
        <v>-2.3463754725327877</v>
      </c>
      <c r="EO20" s="16">
        <f t="shared" si="28"/>
        <v>-6.9283634183547385</v>
      </c>
      <c r="EP20" s="16">
        <f t="shared" si="54"/>
        <v>-3.4691428141400129</v>
      </c>
      <c r="EQ20" s="16">
        <f t="shared" si="55"/>
        <v>-1.3647250803728324</v>
      </c>
      <c r="ER20" s="16">
        <f t="shared" si="56"/>
        <v>-1.4896991353682876</v>
      </c>
      <c r="ES20" s="16">
        <f t="shared" si="57"/>
        <v>3.0604041541340608</v>
      </c>
      <c r="ET20" s="16">
        <f t="shared" si="58"/>
        <v>4.3957105484681325</v>
      </c>
      <c r="EU20" s="16">
        <f t="shared" si="59"/>
        <v>7.8430467531502117</v>
      </c>
      <c r="FK20" s="20"/>
      <c r="FL20" s="20"/>
    </row>
    <row r="21" spans="1:168" ht="14.4" thickBot="1" x14ac:dyDescent="0.35">
      <c r="A21" s="37" t="s">
        <v>51</v>
      </c>
      <c r="B21" s="38">
        <v>19</v>
      </c>
      <c r="C21" s="34">
        <f>RTD("fxbluelabs.excelrtd", , "21422436","@bh,AUDUSD,h4,close,19")</f>
        <v>0.66883000000000004</v>
      </c>
      <c r="D21" s="34">
        <f>RTD("fxbluelabs.excelrtd", , "21422436","@bh,AUDNZD,h4,close,19")</f>
        <v>1.10151</v>
      </c>
      <c r="E21" s="35">
        <f>RTD("fxbluelabs.excelrtd", , "21422436","@bh,AUDJPY,h4,close,19")</f>
        <v>97.700999999999993</v>
      </c>
      <c r="F21" s="34">
        <f>RTD("fxbluelabs.excelrtd", , "21422436","@bh,AUDCHF,h4,close,19")</f>
        <v>0.57826</v>
      </c>
      <c r="G21" s="34">
        <f>RTD("fxbluelabs.excelrtd", , "21422436","@bh,AUDCAD,h4,close,19")</f>
        <v>0.91454000000000002</v>
      </c>
      <c r="H21" s="34">
        <f>RTD("fxbluelabs.excelrtd", , "21422436","@bh,EURUSD,h4,close,19")</f>
        <v>1.1037300000000001</v>
      </c>
      <c r="I21" s="34">
        <f>RTD("fxbluelabs.excelrtd", , "21422436","@bh,EURCAD,h4,close,19")</f>
        <v>1.5092099999999999</v>
      </c>
      <c r="J21" s="34">
        <f>RTD("fxbluelabs.excelrtd", , "21422436","@bh,EURGBP,h4,close,19")</f>
        <v>0.85084000000000004</v>
      </c>
      <c r="K21" s="34">
        <f>RTD("fxbluelabs.excelrtd", , "21422436","@bh,EURCHF,h4,close,19")</f>
        <v>0.95426</v>
      </c>
      <c r="L21" s="35">
        <f>RTD("fxbluelabs.excelrtd", , "21422436","@bh,EURJPY,h4,close,19")</f>
        <v>161.233</v>
      </c>
      <c r="M21" s="34">
        <f>RTD("fxbluelabs.excelrtd", , "21422436","@bh,EURAUD,h4,close,19")</f>
        <v>1.65025</v>
      </c>
      <c r="N21" s="34">
        <f>RTD("fxbluelabs.excelrtd", , "21422436","@bh,EURNZD,h4,close,19")</f>
        <v>1.81778</v>
      </c>
      <c r="O21" s="34">
        <f>RTD("fxbluelabs.excelrtd", , "21422436","@bh,GBPUSD,h4,close,19")</f>
        <v>1.2971900000000001</v>
      </c>
      <c r="P21" s="34">
        <f>RTD("fxbluelabs.excelrtd", , "21422436","@bh,GBPAUD,h4,close,19")</f>
        <v>1.9395100000000001</v>
      </c>
      <c r="Q21" s="34">
        <f>RTD("fxbluelabs.excelrtd", , "21422436","@bh,GBPNZD,h4,close,19")</f>
        <v>2.1364000000000001</v>
      </c>
      <c r="R21" s="34">
        <f>RTD("fxbluelabs.excelrtd", , "21422436","@bh,GBPCAD,h4,close,19")</f>
        <v>1.7737499999999999</v>
      </c>
      <c r="S21" s="34">
        <f>RTD("fxbluelabs.excelrtd", , "21422436","@bh,GBPCHF,h4,close,19")</f>
        <v>1.12154</v>
      </c>
      <c r="T21" s="35">
        <f>RTD("fxbluelabs.excelrtd", , "21422436","@bh,GBPJPY,h4,close,19")</f>
        <v>189.494</v>
      </c>
      <c r="U21" s="35">
        <f>RTD("fxbluelabs.excelrtd", , "21422436","@bh,NZDJPY,h4,close,19")</f>
        <v>88.695999999999998</v>
      </c>
      <c r="V21" s="34">
        <f>RTD("fxbluelabs.excelrtd", , "21422436","@bh,NZDCHF,h4,close,19")</f>
        <v>0.52495000000000003</v>
      </c>
      <c r="W21" s="34">
        <f>RTD("fxbluelabs.excelrtd", , "21422436","@bh,NZDUSD,h4,close,19")</f>
        <v>0.60716999999999999</v>
      </c>
      <c r="X21" s="34">
        <f>RTD("fxbluelabs.excelrtd", , "21422436","@bh,NZDCAD,h4,close,19")</f>
        <v>0.83021999999999996</v>
      </c>
      <c r="Y21" s="35">
        <f>RTD("fxbluelabs.excelrtd", , "21422436","@bh,CADJPY,h4,close,19")</f>
        <v>106.831</v>
      </c>
      <c r="Z21" s="34">
        <f>RTD("fxbluelabs.excelrtd", , "21422436","@bh,CADCHF,h4,close,19")</f>
        <v>0.63229000000000002</v>
      </c>
      <c r="AA21" s="35">
        <f>RTD("fxbluelabs.excelrtd", , "21422436","@bh,CHFJPY,h4,close,19")</f>
        <v>168.95699999999999</v>
      </c>
      <c r="AB21" s="34">
        <f>RTD("fxbluelabs.excelrtd", , "21422436","@bh,USDCAD,h4,close,19")</f>
        <v>1.3674200000000001</v>
      </c>
      <c r="AC21" s="34">
        <f>RTD("fxbluelabs.excelrtd", , "21422436","@bh,USDCHF,h4,close,19")</f>
        <v>0.86460000000000004</v>
      </c>
      <c r="AD21" s="35">
        <f>RTD("fxbluelabs.excelrtd", , "21422436","@bh,USDJPY,h4,close,19")</f>
        <v>146.08099999999999</v>
      </c>
      <c r="AH21" s="21">
        <v>20</v>
      </c>
      <c r="AI21" s="22">
        <f t="shared" si="62"/>
        <v>1.6449336044989608E-2</v>
      </c>
      <c r="AJ21" s="22">
        <f t="shared" si="62"/>
        <v>0.1600363719027037</v>
      </c>
      <c r="AK21" s="22">
        <f t="shared" si="62"/>
        <v>-6.137416761285408E-2</v>
      </c>
      <c r="AL21" s="22">
        <f t="shared" si="62"/>
        <v>9.3470885550090865E-2</v>
      </c>
      <c r="AM21" s="22">
        <f t="shared" si="62"/>
        <v>8.0980520901737144E-2</v>
      </c>
      <c r="AN21" s="22">
        <f>IF(H21=0,0,(H21-H22)*100/H22)</f>
        <v>-2.2645337777845744E-2</v>
      </c>
      <c r="AO21" s="22">
        <f t="shared" si="62"/>
        <v>4.3087447632181648E-2</v>
      </c>
      <c r="AP21" s="22">
        <f t="shared" si="62"/>
        <v>-0.16661582146293114</v>
      </c>
      <c r="AQ21" s="22">
        <f t="shared" si="62"/>
        <v>5.6620391729227122E-2</v>
      </c>
      <c r="AR21" s="22">
        <f t="shared" si="62"/>
        <v>-9.6041837063475063E-2</v>
      </c>
      <c r="AS21" s="22">
        <f t="shared" si="62"/>
        <v>-3.6950437953551449E-2</v>
      </c>
      <c r="AT21" s="22">
        <f t="shared" si="62"/>
        <v>0.12282779323069892</v>
      </c>
      <c r="AU21" s="22">
        <f t="shared" si="62"/>
        <v>0.1428196458072884</v>
      </c>
      <c r="AV21" s="22">
        <f t="shared" si="62"/>
        <v>0.12906489899381876</v>
      </c>
      <c r="AW21" s="22">
        <f t="shared" si="62"/>
        <v>0.28964008581233053</v>
      </c>
      <c r="AX21" s="22">
        <f t="shared" si="62"/>
        <v>0.20903364311742814</v>
      </c>
      <c r="AY21" s="22">
        <f t="shared" si="61"/>
        <v>0.22161456937072524</v>
      </c>
      <c r="AZ21" s="22">
        <f t="shared" si="61"/>
        <v>6.8122409104106177E-2</v>
      </c>
      <c r="BA21" s="22">
        <f t="shared" si="61"/>
        <v>-0.21712472859408682</v>
      </c>
      <c r="BB21" s="22">
        <f t="shared" si="61"/>
        <v>-6.4726151268824264E-2</v>
      </c>
      <c r="BC21" s="22">
        <f t="shared" si="61"/>
        <v>-0.14144038945446311</v>
      </c>
      <c r="BD21" s="22">
        <f t="shared" si="61"/>
        <v>-7.7028620946980833E-2</v>
      </c>
      <c r="BE21" s="22">
        <f t="shared" si="61"/>
        <v>-0.14114523938606144</v>
      </c>
      <c r="BF21" s="22">
        <f t="shared" si="61"/>
        <v>1.2654023188492586E-2</v>
      </c>
      <c r="BG21" s="22">
        <f t="shared" si="61"/>
        <v>-0.15423891075417254</v>
      </c>
      <c r="BH21" s="22">
        <f t="shared" si="61"/>
        <v>6.5128464065922986E-2</v>
      </c>
      <c r="BI21" s="22">
        <f t="shared" si="61"/>
        <v>7.8710991758497773E-2</v>
      </c>
      <c r="BJ21" s="22">
        <f t="shared" si="61"/>
        <v>-7.592754733502409E-2</v>
      </c>
      <c r="BN21">
        <v>20</v>
      </c>
      <c r="BO21" s="23">
        <f t="shared" si="30"/>
        <v>1.1202410788683659</v>
      </c>
      <c r="BP21" s="23">
        <f t="shared" si="1"/>
        <v>-0.2598893070837256</v>
      </c>
      <c r="BQ21" s="23">
        <f t="shared" si="2"/>
        <v>-0.81941980112390911</v>
      </c>
      <c r="BR21" s="23">
        <f t="shared" si="3"/>
        <v>0.29760223458541613</v>
      </c>
      <c r="BS21" s="23">
        <f t="shared" si="4"/>
        <v>0.70057467627699932</v>
      </c>
      <c r="BT21" s="23">
        <f t="shared" si="5"/>
        <v>0.55552726601963287</v>
      </c>
      <c r="BU21" s="23">
        <f t="shared" si="6"/>
        <v>0.13685827914090251</v>
      </c>
      <c r="BV21" s="23">
        <f t="shared" si="7"/>
        <v>-0.2849381492194778</v>
      </c>
      <c r="BW21" s="23">
        <f t="shared" si="8"/>
        <v>-0.2666392994433594</v>
      </c>
      <c r="BX21" s="23">
        <f t="shared" si="9"/>
        <v>-1.3839487306134954</v>
      </c>
      <c r="BY21" s="23">
        <f t="shared" si="10"/>
        <v>-0.56095013094375812</v>
      </c>
      <c r="BZ21" s="23">
        <f t="shared" si="11"/>
        <v>-0.82293405333615877</v>
      </c>
      <c r="CA21" s="23">
        <f t="shared" si="12"/>
        <v>0.84129209540366157</v>
      </c>
      <c r="CB21" s="23">
        <f t="shared" si="13"/>
        <v>-0.27628594839074583</v>
      </c>
      <c r="CC21" s="23">
        <f t="shared" si="14"/>
        <v>-0.53738985676161222</v>
      </c>
      <c r="CD21" s="23">
        <f t="shared" si="15"/>
        <v>0.42238993410615921</v>
      </c>
      <c r="CE21" s="23">
        <f t="shared" si="16"/>
        <v>1.767967439383003E-2</v>
      </c>
      <c r="CF21" s="23">
        <f t="shared" si="17"/>
        <v>-1.0982344843466578</v>
      </c>
      <c r="CG21" s="23">
        <f t="shared" si="18"/>
        <v>-0.55116856593089936</v>
      </c>
      <c r="CH21" s="23">
        <f t="shared" si="19"/>
        <v>0.56580072999555475</v>
      </c>
      <c r="CI21" s="23">
        <f t="shared" si="20"/>
        <v>1.3924278233130885</v>
      </c>
      <c r="CJ21" s="23">
        <f t="shared" si="21"/>
        <v>0.97233240090026074</v>
      </c>
      <c r="CK21" s="23">
        <f t="shared" si="22"/>
        <v>-1.5196599478396333</v>
      </c>
      <c r="CL21" s="23">
        <f t="shared" si="23"/>
        <v>-0.40352694773778941</v>
      </c>
      <c r="CM21" s="23">
        <f t="shared" si="24"/>
        <v>-1.1180990230260246</v>
      </c>
      <c r="CN21" s="23">
        <f t="shared" si="25"/>
        <v>-0.41923371159627731</v>
      </c>
      <c r="CO21" s="23">
        <f t="shared" si="26"/>
        <v>-0.82291058973345765</v>
      </c>
      <c r="CP21" s="23">
        <f t="shared" si="27"/>
        <v>-1.9393114118665635</v>
      </c>
      <c r="CU21" s="21">
        <v>20</v>
      </c>
      <c r="CV21" s="24">
        <f t="shared" si="31"/>
        <v>-2.6270248183957139</v>
      </c>
      <c r="CW21" s="24">
        <f t="shared" si="32"/>
        <v>-7.0909439768010465</v>
      </c>
      <c r="CX21" s="24">
        <f t="shared" si="33"/>
        <v>-3.7361084744054676</v>
      </c>
      <c r="CY21" s="24">
        <f t="shared" si="34"/>
        <v>-0.90963177282400842</v>
      </c>
      <c r="CZ21" s="24">
        <f t="shared" si="35"/>
        <v>-0.34561043637588729</v>
      </c>
      <c r="DA21" s="24">
        <f t="shared" si="36"/>
        <v>1.8763449608576506</v>
      </c>
      <c r="DB21" s="24">
        <f t="shared" si="37"/>
        <v>3.9996056054595011</v>
      </c>
      <c r="DC21" s="24">
        <f t="shared" si="38"/>
        <v>8.4298419647471832</v>
      </c>
      <c r="DF21" s="25">
        <v>20</v>
      </c>
      <c r="DG21" s="26">
        <f t="shared" si="60"/>
        <v>-0.41923371159627731</v>
      </c>
      <c r="DH21" s="26">
        <f t="shared" si="39"/>
        <v>0.13685827914090251</v>
      </c>
      <c r="DI21" s="26">
        <f t="shared" si="40"/>
        <v>-0.82291058973345765</v>
      </c>
      <c r="DJ21" s="26">
        <f t="shared" si="41"/>
        <v>-0.2666392994433594</v>
      </c>
      <c r="DK21" s="26">
        <f t="shared" si="42"/>
        <v>-0.84129209540366157</v>
      </c>
      <c r="DL21" s="26">
        <f t="shared" si="43"/>
        <v>-0.2849381492194778</v>
      </c>
      <c r="DM21" s="26">
        <f t="shared" si="44"/>
        <v>-1.1202410788683659</v>
      </c>
      <c r="DN21" s="26">
        <f t="shared" si="45"/>
        <v>-0.56095013094375812</v>
      </c>
      <c r="DO21" s="26">
        <f t="shared" si="46"/>
        <v>-1.3924278233130885</v>
      </c>
      <c r="DP21" s="26">
        <f t="shared" si="47"/>
        <v>-0.82293405333615877</v>
      </c>
      <c r="DQ21" s="26">
        <f t="shared" si="48"/>
        <v>-1.9393114118665635</v>
      </c>
      <c r="DR21" s="26">
        <f t="shared" si="49"/>
        <v>-1.3839487306134954</v>
      </c>
      <c r="DS21" s="47">
        <f>-(BT21)</f>
        <v>-0.55552726601963287</v>
      </c>
      <c r="DT21" s="47">
        <f t="shared" si="51"/>
        <v>0.55552726601963287</v>
      </c>
      <c r="DX21">
        <v>20</v>
      </c>
      <c r="DY21" s="19">
        <f t="shared" si="52"/>
        <v>4.4639191584053322</v>
      </c>
      <c r="EM21" s="21">
        <v>20</v>
      </c>
      <c r="EN21" s="16">
        <f t="shared" si="53"/>
        <v>-2.6270248183957139</v>
      </c>
      <c r="EO21" s="16">
        <f t="shared" si="28"/>
        <v>-7.0909439768010465</v>
      </c>
      <c r="EP21" s="16">
        <f t="shared" si="54"/>
        <v>-3.7361084744054676</v>
      </c>
      <c r="EQ21" s="16">
        <f t="shared" si="55"/>
        <v>-0.90963177282400842</v>
      </c>
      <c r="ER21" s="16">
        <f t="shared" si="56"/>
        <v>-0.34561043637588729</v>
      </c>
      <c r="ES21" s="16">
        <f t="shared" si="57"/>
        <v>1.8763449608576506</v>
      </c>
      <c r="ET21" s="16">
        <f t="shared" si="58"/>
        <v>3.9996056054595011</v>
      </c>
      <c r="EU21" s="16">
        <f t="shared" si="59"/>
        <v>8.4298419647471832</v>
      </c>
      <c r="FK21" s="20"/>
      <c r="FL21" s="20"/>
    </row>
    <row r="22" spans="1:168" ht="14.4" thickBot="1" x14ac:dyDescent="0.35">
      <c r="A22" s="37" t="s">
        <v>51</v>
      </c>
      <c r="B22" s="38">
        <v>20</v>
      </c>
      <c r="C22" s="34">
        <f>RTD("fxbluelabs.excelrtd", , "21422436","@bh,AUDUSD,h4,close,20")</f>
        <v>0.66871999999999998</v>
      </c>
      <c r="D22" s="34">
        <f>RTD("fxbluelabs.excelrtd", , "21422436","@bh,AUDNZD,h4,close,20")</f>
        <v>1.09975</v>
      </c>
      <c r="E22" s="35">
        <f>RTD("fxbluelabs.excelrtd", , "21422436","@bh,AUDJPY,h4,close,20")</f>
        <v>97.760999999999996</v>
      </c>
      <c r="F22" s="34">
        <f>RTD("fxbluelabs.excelrtd", , "21422436","@bh,AUDCHF,h4,close,20")</f>
        <v>0.57772000000000001</v>
      </c>
      <c r="G22" s="34">
        <f>RTD("fxbluelabs.excelrtd", , "21422436","@bh,AUDCAD,h4,close,20")</f>
        <v>0.91379999999999995</v>
      </c>
      <c r="H22" s="34">
        <f>RTD("fxbluelabs.excelrtd", , "21422436","@bh,EURUSD,h4,close,20")</f>
        <v>1.10398</v>
      </c>
      <c r="I22" s="34">
        <f>RTD("fxbluelabs.excelrtd", , "21422436","@bh,EURCAD,h4,close,20")</f>
        <v>1.5085599999999999</v>
      </c>
      <c r="J22" s="34">
        <f>RTD("fxbluelabs.excelrtd", , "21422436","@bh,EURGBP,h4,close,20")</f>
        <v>0.85226000000000002</v>
      </c>
      <c r="K22" s="34">
        <f>RTD("fxbluelabs.excelrtd", , "21422436","@bh,EURCHF,h4,close,20")</f>
        <v>0.95372000000000001</v>
      </c>
      <c r="L22" s="35">
        <f>RTD("fxbluelabs.excelrtd", , "21422436","@bh,EURJPY,h4,close,20")</f>
        <v>161.38800000000001</v>
      </c>
      <c r="M22" s="34">
        <f>RTD("fxbluelabs.excelrtd", , "21422436","@bh,EURAUD,h4,close,20")</f>
        <v>1.65086</v>
      </c>
      <c r="N22" s="34">
        <f>RTD("fxbluelabs.excelrtd", , "21422436","@bh,EURNZD,h4,close,20")</f>
        <v>1.81555</v>
      </c>
      <c r="O22" s="34">
        <f>RTD("fxbluelabs.excelrtd", , "21422436","@bh,GBPUSD,h4,close,20")</f>
        <v>1.2953399999999999</v>
      </c>
      <c r="P22" s="34">
        <f>RTD("fxbluelabs.excelrtd", , "21422436","@bh,GBPAUD,h4,close,20")</f>
        <v>1.9370099999999999</v>
      </c>
      <c r="Q22" s="34">
        <f>RTD("fxbluelabs.excelrtd", , "21422436","@bh,GBPNZD,h4,close,20")</f>
        <v>2.1302300000000001</v>
      </c>
      <c r="R22" s="34">
        <f>RTD("fxbluelabs.excelrtd", , "21422436","@bh,GBPCAD,h4,close,20")</f>
        <v>1.7700499999999999</v>
      </c>
      <c r="S22" s="34">
        <f>RTD("fxbluelabs.excelrtd", , "21422436","@bh,GBPCHF,h4,close,20")</f>
        <v>1.1190599999999999</v>
      </c>
      <c r="T22" s="35">
        <f>RTD("fxbluelabs.excelrtd", , "21422436","@bh,GBPJPY,h4,close,20")</f>
        <v>189.36500000000001</v>
      </c>
      <c r="U22" s="35">
        <f>RTD("fxbluelabs.excelrtd", , "21422436","@bh,NZDJPY,h4,close,20")</f>
        <v>88.888999999999996</v>
      </c>
      <c r="V22" s="34">
        <f>RTD("fxbluelabs.excelrtd", , "21422436","@bh,NZDCHF,h4,close,20")</f>
        <v>0.52529000000000003</v>
      </c>
      <c r="W22" s="34">
        <f>RTD("fxbluelabs.excelrtd", , "21422436","@bh,NZDUSD,h4,close,20")</f>
        <v>0.60802999999999996</v>
      </c>
      <c r="X22" s="34">
        <f>RTD("fxbluelabs.excelrtd", , "21422436","@bh,NZDCAD,h4,close,20")</f>
        <v>0.83086000000000004</v>
      </c>
      <c r="Y22" s="35">
        <f>RTD("fxbluelabs.excelrtd", , "21422436","@bh,CADJPY,h4,close,20")</f>
        <v>106.982</v>
      </c>
      <c r="Z22" s="34">
        <f>RTD("fxbluelabs.excelrtd", , "21422436","@bh,CADCHF,h4,close,20")</f>
        <v>0.63221000000000005</v>
      </c>
      <c r="AA22" s="35">
        <f>RTD("fxbluelabs.excelrtd", , "21422436","@bh,CHFJPY,h4,close,20")</f>
        <v>169.21799999999999</v>
      </c>
      <c r="AB22" s="34">
        <f>RTD("fxbluelabs.excelrtd", , "21422436","@bh,USDCAD,h4,close,20")</f>
        <v>1.36653</v>
      </c>
      <c r="AC22" s="34">
        <f>RTD("fxbluelabs.excelrtd", , "21422436","@bh,USDCHF,h4,close,20")</f>
        <v>0.86392000000000002</v>
      </c>
      <c r="AD22" s="35">
        <f>RTD("fxbluelabs.excelrtd", , "21422436","@bh,USDJPY,h4,close,20")</f>
        <v>146.19200000000001</v>
      </c>
      <c r="AH22" s="13">
        <v>21</v>
      </c>
      <c r="AI22" s="27">
        <f t="shared" si="62"/>
        <v>0.11527808967736168</v>
      </c>
      <c r="AJ22" s="27">
        <f t="shared" si="62"/>
        <v>-0.29555489070815683</v>
      </c>
      <c r="AK22" s="27">
        <f t="shared" si="62"/>
        <v>-0.96140208692128271</v>
      </c>
      <c r="AL22" s="27">
        <f t="shared" si="62"/>
        <v>-0.20728252608304756</v>
      </c>
      <c r="AM22" s="27">
        <f t="shared" si="62"/>
        <v>7.0086293749175826E-2</v>
      </c>
      <c r="AN22" s="27">
        <f t="shared" si="62"/>
        <v>7.5239088065982535E-2</v>
      </c>
      <c r="AO22" s="27">
        <f t="shared" si="62"/>
        <v>3.1828550209525616E-2</v>
      </c>
      <c r="AP22" s="27">
        <f t="shared" si="62"/>
        <v>2.6994354658880965E-2</v>
      </c>
      <c r="AQ22" s="27">
        <f t="shared" si="62"/>
        <v>-0.25205777457040601</v>
      </c>
      <c r="AR22" s="27">
        <f t="shared" si="62"/>
        <v>-1.0029259675015125</v>
      </c>
      <c r="AS22" s="27">
        <f t="shared" si="62"/>
        <v>-3.8752649106870964E-2</v>
      </c>
      <c r="AT22" s="27">
        <f t="shared" si="62"/>
        <v>-0.33431413451614639</v>
      </c>
      <c r="AU22" s="27">
        <f t="shared" si="62"/>
        <v>5.0977847807943497E-2</v>
      </c>
      <c r="AV22" s="27">
        <f t="shared" si="62"/>
        <v>-6.4490831983335328E-2</v>
      </c>
      <c r="AW22" s="27">
        <f t="shared" si="62"/>
        <v>-0.36016146459424858</v>
      </c>
      <c r="AX22" s="27">
        <f t="shared" si="62"/>
        <v>6.2148999401014978E-3</v>
      </c>
      <c r="AY22" s="27">
        <f t="shared" si="61"/>
        <v>-0.27358683931452932</v>
      </c>
      <c r="AZ22" s="27">
        <f t="shared" si="61"/>
        <v>-1.0265040845872808</v>
      </c>
      <c r="BA22" s="27">
        <f t="shared" si="61"/>
        <v>-0.669363490076886</v>
      </c>
      <c r="BB22" s="27">
        <f t="shared" si="61"/>
        <v>8.5740416126831323E-2</v>
      </c>
      <c r="BC22" s="27">
        <f t="shared" si="61"/>
        <v>0.40954504169761813</v>
      </c>
      <c r="BD22" s="27">
        <f t="shared" si="61"/>
        <v>0.3660171774398232</v>
      </c>
      <c r="BE22" s="27">
        <f t="shared" si="61"/>
        <v>-1.0323965290754682</v>
      </c>
      <c r="BF22" s="27">
        <f t="shared" si="61"/>
        <v>-0.28076152620703854</v>
      </c>
      <c r="BG22" s="27">
        <f t="shared" si="61"/>
        <v>-0.74783128926114606</v>
      </c>
      <c r="BH22" s="27">
        <f t="shared" si="61"/>
        <v>-4.3887560071093012E-2</v>
      </c>
      <c r="BI22" s="27">
        <f t="shared" si="61"/>
        <v>-0.32420707717512709</v>
      </c>
      <c r="BJ22" s="27">
        <f t="shared" si="61"/>
        <v>-1.0752397128182909</v>
      </c>
      <c r="BN22">
        <v>21</v>
      </c>
      <c r="BO22" s="28">
        <f t="shared" si="30"/>
        <v>1.1037917428233766</v>
      </c>
      <c r="BP22" s="28">
        <f t="shared" si="1"/>
        <v>-0.4199256789864293</v>
      </c>
      <c r="BQ22" s="28">
        <f t="shared" si="2"/>
        <v>-0.75804563351105503</v>
      </c>
      <c r="BR22" s="28">
        <f t="shared" si="3"/>
        <v>0.20413134903532523</v>
      </c>
      <c r="BS22" s="28">
        <f t="shared" si="4"/>
        <v>0.61959415537526219</v>
      </c>
      <c r="BT22" s="28">
        <f t="shared" si="5"/>
        <v>0.57817260379747859</v>
      </c>
      <c r="BU22" s="28">
        <f t="shared" si="6"/>
        <v>9.377083150872087E-2</v>
      </c>
      <c r="BV22" s="28">
        <f t="shared" si="7"/>
        <v>-0.11832232775654668</v>
      </c>
      <c r="BW22" s="28">
        <f t="shared" si="8"/>
        <v>-0.32325969117258652</v>
      </c>
      <c r="BX22" s="28">
        <f t="shared" si="9"/>
        <v>-1.2879068935500204</v>
      </c>
      <c r="BY22" s="28">
        <f t="shared" si="10"/>
        <v>-0.52399969299020666</v>
      </c>
      <c r="BZ22" s="28">
        <f t="shared" si="11"/>
        <v>-0.94576184656685758</v>
      </c>
      <c r="CA22" s="28">
        <f t="shared" si="12"/>
        <v>0.698472449596373</v>
      </c>
      <c r="CB22" s="28">
        <f t="shared" si="13"/>
        <v>-0.40535084738456456</v>
      </c>
      <c r="CC22" s="28">
        <f t="shared" si="14"/>
        <v>-0.82702994257394269</v>
      </c>
      <c r="CD22" s="28">
        <f t="shared" si="15"/>
        <v>0.21335629098873107</v>
      </c>
      <c r="CE22" s="28">
        <f t="shared" si="16"/>
        <v>-0.20393489497689515</v>
      </c>
      <c r="CF22" s="28">
        <f t="shared" si="17"/>
        <v>-1.166356893450764</v>
      </c>
      <c r="CG22" s="28">
        <f t="shared" si="18"/>
        <v>-0.33404383733681242</v>
      </c>
      <c r="CH22" s="28">
        <f t="shared" si="19"/>
        <v>0.63052688126437917</v>
      </c>
      <c r="CI22" s="28">
        <f t="shared" si="20"/>
        <v>1.5338682127675516</v>
      </c>
      <c r="CJ22" s="28">
        <f t="shared" si="21"/>
        <v>1.0493610218472416</v>
      </c>
      <c r="CK22" s="28">
        <f t="shared" si="22"/>
        <v>-1.3785147084535718</v>
      </c>
      <c r="CL22" s="28">
        <f t="shared" si="23"/>
        <v>-0.41618097092628203</v>
      </c>
      <c r="CM22" s="28">
        <f t="shared" si="24"/>
        <v>-0.96386011227185198</v>
      </c>
      <c r="CN22" s="28">
        <f t="shared" si="25"/>
        <v>-0.48436217566220036</v>
      </c>
      <c r="CO22" s="28">
        <f t="shared" si="26"/>
        <v>-0.90162158149195537</v>
      </c>
      <c r="CP22" s="28">
        <f t="shared" si="27"/>
        <v>-1.8633838645315397</v>
      </c>
      <c r="CU22" s="13">
        <v>21</v>
      </c>
      <c r="CV22" s="29">
        <f t="shared" si="31"/>
        <v>-2.5273070167300187</v>
      </c>
      <c r="CW22" s="29">
        <f t="shared" si="32"/>
        <v>-7.163672630670475</v>
      </c>
      <c r="CX22" s="29">
        <f t="shared" si="33"/>
        <v>-3.2864158034376088</v>
      </c>
      <c r="CY22" s="29">
        <f t="shared" si="34"/>
        <v>-0.36970217493011936</v>
      </c>
      <c r="CZ22" s="29">
        <f t="shared" si="35"/>
        <v>-1.5725215100445158</v>
      </c>
      <c r="DA22" s="29">
        <f t="shared" si="36"/>
        <v>1.678896475111251</v>
      </c>
      <c r="DB22" s="29">
        <f t="shared" si="37"/>
        <v>5.0724297466695889</v>
      </c>
      <c r="DC22" s="29">
        <f t="shared" si="38"/>
        <v>7.7521119431056142</v>
      </c>
      <c r="DF22" s="30">
        <v>21</v>
      </c>
      <c r="DG22" s="31">
        <f t="shared" si="60"/>
        <v>-0.48436217566220036</v>
      </c>
      <c r="DH22" s="31">
        <f t="shared" si="39"/>
        <v>9.377083150872087E-2</v>
      </c>
      <c r="DI22" s="31">
        <f t="shared" si="40"/>
        <v>-0.90162158149195537</v>
      </c>
      <c r="DJ22" s="31">
        <f t="shared" si="41"/>
        <v>-0.32325969117258652</v>
      </c>
      <c r="DK22" s="31">
        <f t="shared" si="42"/>
        <v>-0.698472449596373</v>
      </c>
      <c r="DL22" s="31">
        <f t="shared" si="43"/>
        <v>-0.11832232775654668</v>
      </c>
      <c r="DM22" s="31">
        <f t="shared" si="44"/>
        <v>-1.1037917428233766</v>
      </c>
      <c r="DN22" s="31">
        <f t="shared" si="45"/>
        <v>-0.52399969299020666</v>
      </c>
      <c r="DO22" s="31">
        <f t="shared" si="46"/>
        <v>-1.5338682127675516</v>
      </c>
      <c r="DP22" s="31">
        <f t="shared" si="47"/>
        <v>-0.94576184656685758</v>
      </c>
      <c r="DQ22" s="31">
        <f t="shared" si="48"/>
        <v>-1.8633838645315397</v>
      </c>
      <c r="DR22" s="31">
        <f t="shared" si="49"/>
        <v>-1.2879068935500204</v>
      </c>
      <c r="DS22" s="49">
        <f t="shared" si="50"/>
        <v>-0.57817260379747859</v>
      </c>
      <c r="DT22" s="49">
        <f t="shared" si="51"/>
        <v>0.57817260379747859</v>
      </c>
      <c r="DX22">
        <v>21</v>
      </c>
      <c r="DY22" s="19">
        <f t="shared" si="52"/>
        <v>4.6363656139404563</v>
      </c>
      <c r="EM22" s="13">
        <v>21</v>
      </c>
      <c r="EN22" s="16">
        <f t="shared" si="53"/>
        <v>-2.5273070167300187</v>
      </c>
      <c r="EO22" s="16">
        <f t="shared" si="28"/>
        <v>-7.163672630670475</v>
      </c>
      <c r="EP22" s="16">
        <f t="shared" si="54"/>
        <v>-3.2864158034376088</v>
      </c>
      <c r="EQ22" s="16">
        <f t="shared" si="55"/>
        <v>-0.36970217493011936</v>
      </c>
      <c r="ER22" s="16">
        <f t="shared" si="56"/>
        <v>-1.5725215100445158</v>
      </c>
      <c r="ES22" s="16">
        <f t="shared" si="57"/>
        <v>1.678896475111251</v>
      </c>
      <c r="ET22" s="16">
        <f t="shared" si="58"/>
        <v>5.0724297466695889</v>
      </c>
      <c r="EU22" s="16">
        <f t="shared" si="59"/>
        <v>7.7521119431056142</v>
      </c>
      <c r="FK22" s="20"/>
      <c r="FL22" s="20"/>
    </row>
    <row r="23" spans="1:168" ht="14.4" thickBot="1" x14ac:dyDescent="0.35">
      <c r="A23" s="37" t="s">
        <v>51</v>
      </c>
      <c r="B23" s="38">
        <v>21</v>
      </c>
      <c r="C23" s="34">
        <f>RTD("fxbluelabs.excelrtd", , "21422436","@bh,AUDUSD,h4,close,21")</f>
        <v>0.66795000000000004</v>
      </c>
      <c r="D23" s="34">
        <f>RTD("fxbluelabs.excelrtd", , "21422436","@bh,AUDNZD,h4,close,21")</f>
        <v>1.10301</v>
      </c>
      <c r="E23" s="35">
        <f>RTD("fxbluelabs.excelrtd", , "21422436","@bh,AUDJPY,h4,close,21")</f>
        <v>98.71</v>
      </c>
      <c r="F23" s="34">
        <f>RTD("fxbluelabs.excelrtd", , "21422436","@bh,AUDCHF,h4,close,21")</f>
        <v>0.57891999999999999</v>
      </c>
      <c r="G23" s="34">
        <f>RTD("fxbluelabs.excelrtd", , "21422436","@bh,AUDCAD,h4,close,21")</f>
        <v>0.91315999999999997</v>
      </c>
      <c r="H23" s="34">
        <f>RTD("fxbluelabs.excelrtd", , "21422436","@bh,EURUSD,h4,close,21")</f>
        <v>1.1031500000000001</v>
      </c>
      <c r="I23" s="34">
        <f>RTD("fxbluelabs.excelrtd", , "21422436","@bh,EURCAD,h4,close,21")</f>
        <v>1.5080800000000001</v>
      </c>
      <c r="J23" s="34">
        <f>RTD("fxbluelabs.excelrtd", , "21422436","@bh,EURGBP,h4,close,21")</f>
        <v>0.85202999999999995</v>
      </c>
      <c r="K23" s="34">
        <f>RTD("fxbluelabs.excelrtd", , "21422436","@bh,EURCHF,h4,close,21")</f>
        <v>0.95613000000000004</v>
      </c>
      <c r="L23" s="35">
        <f>RTD("fxbluelabs.excelrtd", , "21422436","@bh,EURJPY,h4,close,21")</f>
        <v>163.023</v>
      </c>
      <c r="M23" s="34">
        <f>RTD("fxbluelabs.excelrtd", , "21422436","@bh,EURAUD,h4,close,21")</f>
        <v>1.6515</v>
      </c>
      <c r="N23" s="34">
        <f>RTD("fxbluelabs.excelrtd", , "21422436","@bh,EURNZD,h4,close,21")</f>
        <v>1.8216399999999999</v>
      </c>
      <c r="O23" s="34">
        <f>RTD("fxbluelabs.excelrtd", , "21422436","@bh,GBPUSD,h4,close,21")</f>
        <v>1.2946800000000001</v>
      </c>
      <c r="P23" s="34">
        <f>RTD("fxbluelabs.excelrtd", , "21422436","@bh,GBPAUD,h4,close,21")</f>
        <v>1.9382600000000001</v>
      </c>
      <c r="Q23" s="34">
        <f>RTD("fxbluelabs.excelrtd", , "21422436","@bh,GBPNZD,h4,close,21")</f>
        <v>2.1379299999999999</v>
      </c>
      <c r="R23" s="34">
        <f>RTD("fxbluelabs.excelrtd", , "21422436","@bh,GBPCAD,h4,close,21")</f>
        <v>1.7699400000000001</v>
      </c>
      <c r="S23" s="34">
        <f>RTD("fxbluelabs.excelrtd", , "21422436","@bh,GBPCHF,h4,close,21")</f>
        <v>1.1221300000000001</v>
      </c>
      <c r="T23" s="35">
        <f>RTD("fxbluelabs.excelrtd", , "21422436","@bh,GBPJPY,h4,close,21")</f>
        <v>191.32900000000001</v>
      </c>
      <c r="U23" s="35">
        <f>RTD("fxbluelabs.excelrtd", , "21422436","@bh,NZDJPY,h4,close,21")</f>
        <v>89.488</v>
      </c>
      <c r="V23" s="34">
        <f>RTD("fxbluelabs.excelrtd", , "21422436","@bh,NZDCHF,h4,close,21")</f>
        <v>0.52483999999999997</v>
      </c>
      <c r="W23" s="34">
        <f>RTD("fxbluelabs.excelrtd", , "21422436","@bh,NZDUSD,h4,close,21")</f>
        <v>0.60555000000000003</v>
      </c>
      <c r="X23" s="34">
        <f>RTD("fxbluelabs.excelrtd", , "21422436","@bh,NZDCAD,h4,close,21")</f>
        <v>0.82782999999999995</v>
      </c>
      <c r="Y23" s="35">
        <f>RTD("fxbluelabs.excelrtd", , "21422436","@bh,CADJPY,h4,close,21")</f>
        <v>108.098</v>
      </c>
      <c r="Z23" s="34">
        <f>RTD("fxbluelabs.excelrtd", , "21422436","@bh,CADCHF,h4,close,21")</f>
        <v>0.63399000000000005</v>
      </c>
      <c r="AA23" s="35">
        <f>RTD("fxbluelabs.excelrtd", , "21422436","@bh,CHFJPY,h4,close,21")</f>
        <v>170.49299999999999</v>
      </c>
      <c r="AB23" s="34">
        <f>RTD("fxbluelabs.excelrtd", , "21422436","@bh,USDCAD,h4,close,21")</f>
        <v>1.36713</v>
      </c>
      <c r="AC23" s="34">
        <f>RTD("fxbluelabs.excelrtd", , "21422436","@bh,USDCHF,h4,close,21")</f>
        <v>0.86673</v>
      </c>
      <c r="AD23" s="35">
        <f>RTD("fxbluelabs.excelrtd", , "21422436","@bh,USDJPY,h4,close,21")</f>
        <v>147.78100000000001</v>
      </c>
      <c r="AH23" s="21">
        <v>22</v>
      </c>
      <c r="AI23" s="22">
        <f t="shared" si="62"/>
        <v>0.14092742237748337</v>
      </c>
      <c r="AJ23" s="22">
        <f t="shared" si="62"/>
        <v>0.14072231401956858</v>
      </c>
      <c r="AK23" s="22">
        <f t="shared" si="62"/>
        <v>0.27835344792554217</v>
      </c>
      <c r="AL23" s="22">
        <f t="shared" si="62"/>
        <v>0.23547337073204999</v>
      </c>
      <c r="AM23" s="22">
        <f t="shared" si="62"/>
        <v>9.5364412631940107E-2</v>
      </c>
      <c r="AN23" s="22">
        <f t="shared" si="62"/>
        <v>2.6295268665118283E-2</v>
      </c>
      <c r="AO23" s="22">
        <f t="shared" si="62"/>
        <v>-3.1155745583505381E-2</v>
      </c>
      <c r="AP23" s="22">
        <f t="shared" si="62"/>
        <v>3.5222429643192908E-2</v>
      </c>
      <c r="AQ23" s="22">
        <f t="shared" si="62"/>
        <v>0.11517962786509217</v>
      </c>
      <c r="AR23" s="22">
        <f t="shared" si="62"/>
        <v>0.15235754876362489</v>
      </c>
      <c r="AS23" s="22">
        <f t="shared" si="62"/>
        <v>-0.11310233039186862</v>
      </c>
      <c r="AT23" s="22">
        <f t="shared" si="62"/>
        <v>1.5373127772644393E-2</v>
      </c>
      <c r="AU23" s="22">
        <f t="shared" si="62"/>
        <v>1.3904982618777057E-2</v>
      </c>
      <c r="AV23" s="22">
        <f t="shared" si="62"/>
        <v>-0.12212528921020406</v>
      </c>
      <c r="AW23" s="22">
        <f t="shared" si="62"/>
        <v>4.6776404110601376E-3</v>
      </c>
      <c r="AX23" s="22">
        <f t="shared" si="62"/>
        <v>-4.0098268997260239E-2</v>
      </c>
      <c r="AY23" s="22">
        <f t="shared" si="61"/>
        <v>0.10258880622312479</v>
      </c>
      <c r="AZ23" s="22">
        <f t="shared" si="61"/>
        <v>0.14498670519021797</v>
      </c>
      <c r="BA23" s="22">
        <f t="shared" si="61"/>
        <v>0.15108614148378355</v>
      </c>
      <c r="BB23" s="22">
        <f t="shared" si="61"/>
        <v>0.10872260476471272</v>
      </c>
      <c r="BC23" s="22">
        <f t="shared" si="61"/>
        <v>2.3124824499104572E-2</v>
      </c>
      <c r="BD23" s="22">
        <f t="shared" si="61"/>
        <v>-3.3811933197287557E-2</v>
      </c>
      <c r="BE23" s="22">
        <f t="shared" si="61"/>
        <v>0.1890744619719294</v>
      </c>
      <c r="BF23" s="22">
        <f t="shared" si="61"/>
        <v>0.14848748124161629</v>
      </c>
      <c r="BG23" s="22">
        <f t="shared" si="61"/>
        <v>4.3422388348707514E-2</v>
      </c>
      <c r="BH23" s="22">
        <f t="shared" si="61"/>
        <v>-5.6290664522255826E-2</v>
      </c>
      <c r="BI23" s="22">
        <f t="shared" si="61"/>
        <v>8.5451333156267725E-2</v>
      </c>
      <c r="BJ23" s="22">
        <f t="shared" si="61"/>
        <v>0.12398541985663268</v>
      </c>
      <c r="BN23">
        <v>22</v>
      </c>
      <c r="BO23" s="23">
        <f t="shared" si="30"/>
        <v>0.98851365314601469</v>
      </c>
      <c r="BP23" s="23">
        <f t="shared" si="1"/>
        <v>-0.12437078827827247</v>
      </c>
      <c r="BQ23" s="23">
        <f t="shared" si="2"/>
        <v>0.20335645341022773</v>
      </c>
      <c r="BR23" s="23">
        <f t="shared" si="3"/>
        <v>0.4114138751183728</v>
      </c>
      <c r="BS23" s="23">
        <f t="shared" si="4"/>
        <v>0.54950786162608634</v>
      </c>
      <c r="BT23" s="23">
        <f t="shared" si="5"/>
        <v>0.50293351573149603</v>
      </c>
      <c r="BU23" s="23">
        <f t="shared" si="6"/>
        <v>6.1942281299195254E-2</v>
      </c>
      <c r="BV23" s="23">
        <f t="shared" si="7"/>
        <v>-0.14531668241542764</v>
      </c>
      <c r="BW23" s="23">
        <f t="shared" si="8"/>
        <v>-7.1201916602180476E-2</v>
      </c>
      <c r="BX23" s="23">
        <f t="shared" si="9"/>
        <v>-0.28498092604850789</v>
      </c>
      <c r="BY23" s="23">
        <f t="shared" si="10"/>
        <v>-0.48524704388333556</v>
      </c>
      <c r="BZ23" s="23">
        <f t="shared" si="11"/>
        <v>-0.61144771205071113</v>
      </c>
      <c r="CA23" s="23">
        <f t="shared" si="12"/>
        <v>0.64749460178842955</v>
      </c>
      <c r="CB23" s="23">
        <f t="shared" si="13"/>
        <v>-0.34086001540122929</v>
      </c>
      <c r="CC23" s="23">
        <f t="shared" si="14"/>
        <v>-0.46686847797969422</v>
      </c>
      <c r="CD23" s="23">
        <f t="shared" si="15"/>
        <v>0.20714139104862961</v>
      </c>
      <c r="CE23" s="23">
        <f t="shared" si="16"/>
        <v>6.9651944337634122E-2</v>
      </c>
      <c r="CF23" s="23">
        <f t="shared" si="17"/>
        <v>-0.1398528088634832</v>
      </c>
      <c r="CG23" s="23">
        <f t="shared" si="18"/>
        <v>0.33531965274007353</v>
      </c>
      <c r="CH23" s="23">
        <f t="shared" si="19"/>
        <v>0.5447864651375478</v>
      </c>
      <c r="CI23" s="23">
        <f t="shared" si="20"/>
        <v>1.1243231710699335</v>
      </c>
      <c r="CJ23" s="23">
        <f t="shared" si="21"/>
        <v>0.68334384440741835</v>
      </c>
      <c r="CK23" s="23">
        <f t="shared" si="22"/>
        <v>-0.34611817937810369</v>
      </c>
      <c r="CL23" s="23">
        <f t="shared" si="23"/>
        <v>-0.13541944471924341</v>
      </c>
      <c r="CM23" s="23">
        <f t="shared" si="24"/>
        <v>-0.21602882301070594</v>
      </c>
      <c r="CN23" s="23">
        <f t="shared" si="25"/>
        <v>-0.44047461559110734</v>
      </c>
      <c r="CO23" s="23">
        <f t="shared" si="26"/>
        <v>-0.57741450431682828</v>
      </c>
      <c r="CP23" s="23">
        <f t="shared" si="27"/>
        <v>-0.78814415171324881</v>
      </c>
      <c r="CU23" s="21">
        <v>22</v>
      </c>
      <c r="CV23" s="24">
        <f t="shared" si="31"/>
        <v>-1.0333184839694713</v>
      </c>
      <c r="CW23" s="24">
        <f t="shared" si="32"/>
        <v>-5.069298213357059</v>
      </c>
      <c r="CX23" s="24">
        <f t="shared" si="33"/>
        <v>-1.5429983868875694</v>
      </c>
      <c r="CY23" s="24">
        <f t="shared" si="34"/>
        <v>-0.5932646866852519</v>
      </c>
      <c r="CZ23" s="24">
        <f t="shared" si="35"/>
        <v>0.12202331734571421</v>
      </c>
      <c r="DA23" s="24">
        <f t="shared" si="36"/>
        <v>2.8545281143069938</v>
      </c>
      <c r="DB23" s="24">
        <f t="shared" si="37"/>
        <v>3.8904601116636512</v>
      </c>
      <c r="DC23" s="24">
        <f t="shared" si="38"/>
        <v>1.2364487828637483</v>
      </c>
      <c r="DF23" s="25">
        <v>22</v>
      </c>
      <c r="DG23" s="26">
        <f t="shared" si="60"/>
        <v>-0.44047461559110734</v>
      </c>
      <c r="DH23" s="26">
        <f t="shared" si="39"/>
        <v>6.1942281299195254E-2</v>
      </c>
      <c r="DI23" s="26">
        <f t="shared" si="40"/>
        <v>-0.57741450431682828</v>
      </c>
      <c r="DJ23" s="26">
        <f t="shared" si="41"/>
        <v>-7.1201916602180476E-2</v>
      </c>
      <c r="DK23" s="26">
        <f t="shared" si="42"/>
        <v>-0.64749460178842955</v>
      </c>
      <c r="DL23" s="26">
        <f t="shared" si="43"/>
        <v>-0.14531668241542764</v>
      </c>
      <c r="DM23" s="26">
        <f t="shared" si="44"/>
        <v>-0.98851365314601469</v>
      </c>
      <c r="DN23" s="26">
        <f t="shared" si="45"/>
        <v>-0.48524704388333556</v>
      </c>
      <c r="DO23" s="26">
        <f t="shared" si="46"/>
        <v>-1.1243231710699335</v>
      </c>
      <c r="DP23" s="26">
        <f t="shared" si="47"/>
        <v>-0.61144771205071113</v>
      </c>
      <c r="DQ23" s="26">
        <f t="shared" si="48"/>
        <v>-0.78814415171324881</v>
      </c>
      <c r="DR23" s="26">
        <f t="shared" si="49"/>
        <v>-0.28498092604850789</v>
      </c>
      <c r="DS23" s="47">
        <f t="shared" si="50"/>
        <v>-0.50293351573149603</v>
      </c>
      <c r="DT23" s="47">
        <f t="shared" si="51"/>
        <v>0.50293351573149603</v>
      </c>
      <c r="DX23">
        <v>22</v>
      </c>
      <c r="DY23" s="19">
        <f t="shared" si="52"/>
        <v>4.0359797293875879</v>
      </c>
      <c r="EM23" s="21">
        <v>22</v>
      </c>
      <c r="EN23" s="16">
        <f t="shared" si="53"/>
        <v>-1.0333184839694713</v>
      </c>
      <c r="EO23" s="16">
        <f t="shared" si="28"/>
        <v>-5.069298213357059</v>
      </c>
      <c r="EP23" s="16">
        <f t="shared" si="54"/>
        <v>-1.5429983868875694</v>
      </c>
      <c r="EQ23" s="16">
        <f t="shared" si="55"/>
        <v>-0.5932646866852519</v>
      </c>
      <c r="ER23" s="16">
        <f t="shared" si="56"/>
        <v>0.12202331734571421</v>
      </c>
      <c r="ES23" s="16">
        <f t="shared" si="57"/>
        <v>2.8545281143069938</v>
      </c>
      <c r="ET23" s="16">
        <f t="shared" si="58"/>
        <v>3.8904601116636512</v>
      </c>
      <c r="EU23" s="16">
        <f t="shared" si="59"/>
        <v>1.2364487828637483</v>
      </c>
      <c r="FK23" s="20"/>
      <c r="FL23" s="20"/>
    </row>
    <row r="24" spans="1:168" ht="14.4" thickBot="1" x14ac:dyDescent="0.35">
      <c r="A24" s="37" t="s">
        <v>51</v>
      </c>
      <c r="B24" s="38">
        <v>22</v>
      </c>
      <c r="C24" s="34">
        <f>RTD("fxbluelabs.excelrtd", , "21422436","@bh,AUDUSD,h4,close,22")</f>
        <v>0.66700999999999999</v>
      </c>
      <c r="D24" s="34">
        <f>RTD("fxbluelabs.excelrtd", , "21422436","@bh,AUDNZD,h4,close,22")</f>
        <v>1.1014600000000001</v>
      </c>
      <c r="E24" s="35">
        <f>RTD("fxbluelabs.excelrtd", , "21422436","@bh,AUDJPY,h4,close,22")</f>
        <v>98.436000000000007</v>
      </c>
      <c r="F24" s="34">
        <f>RTD("fxbluelabs.excelrtd", , "21422436","@bh,AUDCHF,h4,close,22")</f>
        <v>0.57755999999999996</v>
      </c>
      <c r="G24" s="34">
        <f>RTD("fxbluelabs.excelrtd", , "21422436","@bh,AUDCAD,h4,close,22")</f>
        <v>0.91229000000000005</v>
      </c>
      <c r="H24" s="34">
        <f>RTD("fxbluelabs.excelrtd", , "21422436","@bh,EURUSD,h4,close,22")</f>
        <v>1.10286</v>
      </c>
      <c r="I24" s="34">
        <f>RTD("fxbluelabs.excelrtd", , "21422436","@bh,EURCAD,h4,close,22")</f>
        <v>1.5085500000000001</v>
      </c>
      <c r="J24" s="34">
        <f>RTD("fxbluelabs.excelrtd", , "21422436","@bh,EURGBP,h4,close,22")</f>
        <v>0.85172999999999999</v>
      </c>
      <c r="K24" s="34">
        <f>RTD("fxbluelabs.excelrtd", , "21422436","@bh,EURCHF,h4,close,22")</f>
        <v>0.95503000000000005</v>
      </c>
      <c r="L24" s="35">
        <f>RTD("fxbluelabs.excelrtd", , "21422436","@bh,EURJPY,h4,close,22")</f>
        <v>162.77500000000001</v>
      </c>
      <c r="M24" s="34">
        <f>RTD("fxbluelabs.excelrtd", , "21422436","@bh,EURAUD,h4,close,22")</f>
        <v>1.65337</v>
      </c>
      <c r="N24" s="34">
        <f>RTD("fxbluelabs.excelrtd", , "21422436","@bh,EURNZD,h4,close,22")</f>
        <v>1.8213600000000001</v>
      </c>
      <c r="O24" s="34">
        <f>RTD("fxbluelabs.excelrtd", , "21422436","@bh,GBPUSD,h4,close,22")</f>
        <v>1.2945</v>
      </c>
      <c r="P24" s="34">
        <f>RTD("fxbluelabs.excelrtd", , "21422436","@bh,GBPAUD,h4,close,22")</f>
        <v>1.9406300000000001</v>
      </c>
      <c r="Q24" s="34">
        <f>RTD("fxbluelabs.excelrtd", , "21422436","@bh,GBPNZD,h4,close,22")</f>
        <v>2.1378300000000001</v>
      </c>
      <c r="R24" s="34">
        <f>RTD("fxbluelabs.excelrtd", , "21422436","@bh,GBPCAD,h4,close,22")</f>
        <v>1.7706500000000001</v>
      </c>
      <c r="S24" s="34">
        <f>RTD("fxbluelabs.excelrtd", , "21422436","@bh,GBPCHF,h4,close,22")</f>
        <v>1.1209800000000001</v>
      </c>
      <c r="T24" s="35">
        <f>RTD("fxbluelabs.excelrtd", , "21422436","@bh,GBPJPY,h4,close,22")</f>
        <v>191.05199999999999</v>
      </c>
      <c r="U24" s="35">
        <f>RTD("fxbluelabs.excelrtd", , "21422436","@bh,NZDJPY,h4,close,22")</f>
        <v>89.352999999999994</v>
      </c>
      <c r="V24" s="34">
        <f>RTD("fxbluelabs.excelrtd", , "21422436","@bh,NZDCHF,h4,close,22")</f>
        <v>0.52427000000000001</v>
      </c>
      <c r="W24" s="34">
        <f>RTD("fxbluelabs.excelrtd", , "21422436","@bh,NZDUSD,h4,close,22")</f>
        <v>0.60541</v>
      </c>
      <c r="X24" s="34">
        <f>RTD("fxbluelabs.excelrtd", , "21422436","@bh,NZDCAD,h4,close,22")</f>
        <v>0.82811000000000001</v>
      </c>
      <c r="Y24" s="35">
        <f>RTD("fxbluelabs.excelrtd", , "21422436","@bh,CADJPY,h4,close,22")</f>
        <v>107.89400000000001</v>
      </c>
      <c r="Z24" s="34">
        <f>RTD("fxbluelabs.excelrtd", , "21422436","@bh,CADCHF,h4,close,22")</f>
        <v>0.63305</v>
      </c>
      <c r="AA24" s="35">
        <f>RTD("fxbluelabs.excelrtd", , "21422436","@bh,CHFJPY,h4,close,22")</f>
        <v>170.41900000000001</v>
      </c>
      <c r="AB24" s="34">
        <f>RTD("fxbluelabs.excelrtd", , "21422436","@bh,USDCAD,h4,close,22")</f>
        <v>1.3678999999999999</v>
      </c>
      <c r="AC24" s="34">
        <f>RTD("fxbluelabs.excelrtd", , "21422436","@bh,USDCHF,h4,close,22")</f>
        <v>0.86599000000000004</v>
      </c>
      <c r="AD24" s="35">
        <f>RTD("fxbluelabs.excelrtd", , "21422436","@bh,USDJPY,h4,close,22")</f>
        <v>147.59800000000001</v>
      </c>
      <c r="AH24" s="21">
        <v>23</v>
      </c>
      <c r="AI24" s="27">
        <f t="shared" si="62"/>
        <v>0.21485020583551825</v>
      </c>
      <c r="AJ24" s="27">
        <f t="shared" si="62"/>
        <v>-2.3599462658382069E-2</v>
      </c>
      <c r="AK24" s="27">
        <f t="shared" si="62"/>
        <v>-7.3090510415386084E-2</v>
      </c>
      <c r="AL24" s="27">
        <f t="shared" si="62"/>
        <v>-7.7853324336959823E-2</v>
      </c>
      <c r="AM24" s="27">
        <f t="shared" si="62"/>
        <v>8.2278342146261091E-2</v>
      </c>
      <c r="AN24" s="27">
        <f t="shared" si="62"/>
        <v>0.22446587119112063</v>
      </c>
      <c r="AO24" s="27">
        <f t="shared" si="62"/>
        <v>0.10285335102854429</v>
      </c>
      <c r="AP24" s="27">
        <f t="shared" si="62"/>
        <v>1.4090957128263993E-2</v>
      </c>
      <c r="AQ24" s="27">
        <f t="shared" si="62"/>
        <v>-5.7556667155019926E-2</v>
      </c>
      <c r="AR24" s="27">
        <f t="shared" si="62"/>
        <v>-4.9737191138176588E-2</v>
      </c>
      <c r="AS24" s="27">
        <f t="shared" si="62"/>
        <v>7.863347124432235E-3</v>
      </c>
      <c r="AT24" s="27">
        <f t="shared" si="62"/>
        <v>-4.9411183397800361E-3</v>
      </c>
      <c r="AU24" s="27">
        <f t="shared" si="62"/>
        <v>0.1865195148944751</v>
      </c>
      <c r="AV24" s="27">
        <f t="shared" si="62"/>
        <v>-3.1423214028146927E-2</v>
      </c>
      <c r="AW24" s="27">
        <f t="shared" si="62"/>
        <v>-4.3015780245461599E-2</v>
      </c>
      <c r="AX24" s="27">
        <f t="shared" si="62"/>
        <v>6.3293642944737299E-2</v>
      </c>
      <c r="AY24" s="27">
        <f t="shared" si="61"/>
        <v>-9.8032225866237596E-2</v>
      </c>
      <c r="AZ24" s="27">
        <f t="shared" si="61"/>
        <v>-9.3081629451444478E-2</v>
      </c>
      <c r="BA24" s="27">
        <f t="shared" si="61"/>
        <v>-6.0397955417363348E-2</v>
      </c>
      <c r="BB24" s="27">
        <f t="shared" si="61"/>
        <v>-6.4810049370009518E-2</v>
      </c>
      <c r="BC24" s="27">
        <f t="shared" si="61"/>
        <v>0.21851048684798421</v>
      </c>
      <c r="BD24" s="27">
        <f t="shared" si="61"/>
        <v>9.6698939937873707E-2</v>
      </c>
      <c r="BE24" s="27">
        <f t="shared" si="61"/>
        <v>-0.16100973461153384</v>
      </c>
      <c r="BF24" s="27">
        <f t="shared" si="61"/>
        <v>-0.16716342590401506</v>
      </c>
      <c r="BG24" s="27">
        <f t="shared" si="61"/>
        <v>-2.9338590808779589E-3</v>
      </c>
      <c r="BH24" s="27">
        <f t="shared" si="61"/>
        <v>-0.1226653426598027</v>
      </c>
      <c r="BI24" s="27">
        <f t="shared" si="61"/>
        <v>-0.28096680216021991</v>
      </c>
      <c r="BJ24" s="27">
        <f t="shared" si="61"/>
        <v>-0.27364310182899859</v>
      </c>
      <c r="BN24">
        <v>23</v>
      </c>
      <c r="BO24" s="28">
        <f t="shared" si="30"/>
        <v>0.84758623076853146</v>
      </c>
      <c r="BP24" s="28">
        <f t="shared" si="1"/>
        <v>-0.26509310229784105</v>
      </c>
      <c r="BQ24" s="28">
        <f t="shared" si="2"/>
        <v>-7.4996994515314469E-2</v>
      </c>
      <c r="BR24" s="28">
        <f t="shared" si="3"/>
        <v>0.17594050438632278</v>
      </c>
      <c r="BS24" s="28">
        <f t="shared" si="4"/>
        <v>0.45414344899414627</v>
      </c>
      <c r="BT24" s="28">
        <f t="shared" si="5"/>
        <v>0.4766382470663777</v>
      </c>
      <c r="BU24" s="28">
        <f t="shared" si="6"/>
        <v>9.3098026882700635E-2</v>
      </c>
      <c r="BV24" s="28">
        <f t="shared" si="7"/>
        <v>-0.18053911205862055</v>
      </c>
      <c r="BW24" s="28">
        <f t="shared" si="8"/>
        <v>-0.18638154446727265</v>
      </c>
      <c r="BX24" s="28">
        <f t="shared" si="9"/>
        <v>-0.43733847481213278</v>
      </c>
      <c r="BY24" s="28">
        <f t="shared" si="10"/>
        <v>-0.37214471349146694</v>
      </c>
      <c r="BZ24" s="28">
        <f t="shared" si="11"/>
        <v>-0.62682083982335568</v>
      </c>
      <c r="CA24" s="28">
        <f t="shared" si="12"/>
        <v>0.63358961916965262</v>
      </c>
      <c r="CB24" s="28">
        <f t="shared" si="13"/>
        <v>-0.21873472619102524</v>
      </c>
      <c r="CC24" s="28">
        <f t="shared" si="14"/>
        <v>-0.47154611839075433</v>
      </c>
      <c r="CD24" s="28">
        <f t="shared" si="15"/>
        <v>0.24723966004588982</v>
      </c>
      <c r="CE24" s="28">
        <f t="shared" si="16"/>
        <v>-3.2936861885490651E-2</v>
      </c>
      <c r="CF24" s="28">
        <f t="shared" si="17"/>
        <v>-0.28483951405370117</v>
      </c>
      <c r="CG24" s="28">
        <f t="shared" si="18"/>
        <v>0.18423351125629001</v>
      </c>
      <c r="CH24" s="28">
        <f t="shared" si="19"/>
        <v>0.43606386037283501</v>
      </c>
      <c r="CI24" s="28">
        <f t="shared" si="20"/>
        <v>1.101198346570829</v>
      </c>
      <c r="CJ24" s="28">
        <f t="shared" si="21"/>
        <v>0.71715577760470595</v>
      </c>
      <c r="CK24" s="28">
        <f t="shared" si="22"/>
        <v>-0.53519264135003297</v>
      </c>
      <c r="CL24" s="28">
        <f t="shared" si="23"/>
        <v>-0.28390692596085976</v>
      </c>
      <c r="CM24" s="28">
        <f t="shared" si="24"/>
        <v>-0.25945121135941346</v>
      </c>
      <c r="CN24" s="28">
        <f t="shared" si="25"/>
        <v>-0.3841839510688515</v>
      </c>
      <c r="CO24" s="28">
        <f t="shared" si="26"/>
        <v>-0.66286583747309602</v>
      </c>
      <c r="CP24" s="28">
        <f t="shared" si="27"/>
        <v>-0.91212957156988139</v>
      </c>
      <c r="CU24" s="21">
        <v>23</v>
      </c>
      <c r="CV24" s="29">
        <f t="shared" si="31"/>
        <v>-1.2334884107037702</v>
      </c>
      <c r="CW24" s="29">
        <f t="shared" si="32"/>
        <v>-5.0181918036872197</v>
      </c>
      <c r="CX24" s="29">
        <f t="shared" si="33"/>
        <v>-1.9465525297694839</v>
      </c>
      <c r="CY24" s="29">
        <f t="shared" si="34"/>
        <v>1.0728667707288059E-2</v>
      </c>
      <c r="CZ24" s="29">
        <f t="shared" si="35"/>
        <v>5.3311170753191583E-2</v>
      </c>
      <c r="DA24" s="29">
        <f t="shared" si="36"/>
        <v>1.7284595270183372</v>
      </c>
      <c r="DB24" s="29">
        <f t="shared" si="37"/>
        <v>3.8021115563166115</v>
      </c>
      <c r="DC24" s="29">
        <f t="shared" si="38"/>
        <v>2.3197148964041858</v>
      </c>
      <c r="DF24" s="30">
        <v>23</v>
      </c>
      <c r="DG24" s="31">
        <f t="shared" si="60"/>
        <v>-0.3841839510688515</v>
      </c>
      <c r="DH24" s="31">
        <f t="shared" si="39"/>
        <v>9.3098026882700635E-2</v>
      </c>
      <c r="DI24" s="31">
        <f t="shared" si="40"/>
        <v>-0.66286583747309602</v>
      </c>
      <c r="DJ24" s="31">
        <f t="shared" si="41"/>
        <v>-0.18638154446727265</v>
      </c>
      <c r="DK24" s="31">
        <f t="shared" si="42"/>
        <v>-0.63358961916965262</v>
      </c>
      <c r="DL24" s="31">
        <f t="shared" si="43"/>
        <v>-0.18053911205862055</v>
      </c>
      <c r="DM24" s="31">
        <f t="shared" si="44"/>
        <v>-0.84758623076853146</v>
      </c>
      <c r="DN24" s="31">
        <f t="shared" si="45"/>
        <v>-0.37214471349146694</v>
      </c>
      <c r="DO24" s="31">
        <f t="shared" si="46"/>
        <v>-1.101198346570829</v>
      </c>
      <c r="DP24" s="31">
        <f t="shared" si="47"/>
        <v>-0.62682083982335568</v>
      </c>
      <c r="DQ24" s="31">
        <f t="shared" si="48"/>
        <v>-0.91212957156988139</v>
      </c>
      <c r="DR24" s="31">
        <f t="shared" si="49"/>
        <v>-0.43733847481213278</v>
      </c>
      <c r="DS24" s="49">
        <f t="shared" si="50"/>
        <v>-0.4766382470663777</v>
      </c>
      <c r="DT24" s="49">
        <f t="shared" si="51"/>
        <v>0.4766382470663777</v>
      </c>
      <c r="DX24">
        <v>23</v>
      </c>
      <c r="DY24" s="19">
        <f t="shared" si="52"/>
        <v>3.7847033929834497</v>
      </c>
      <c r="EM24" s="21">
        <v>23</v>
      </c>
      <c r="EN24" s="16">
        <f t="shared" si="53"/>
        <v>-1.2334884107037702</v>
      </c>
      <c r="EO24" s="16">
        <f t="shared" si="28"/>
        <v>-5.0181918036872197</v>
      </c>
      <c r="EP24" s="16">
        <f t="shared" si="54"/>
        <v>-1.9465525297694839</v>
      </c>
      <c r="EQ24" s="16">
        <f t="shared" si="55"/>
        <v>1.0728667707288059E-2</v>
      </c>
      <c r="ER24" s="16">
        <f t="shared" si="56"/>
        <v>5.3311170753191583E-2</v>
      </c>
      <c r="ES24" s="16">
        <f t="shared" si="57"/>
        <v>1.7284595270183372</v>
      </c>
      <c r="ET24" s="16">
        <f t="shared" si="58"/>
        <v>3.8021115563166115</v>
      </c>
      <c r="EU24" s="16">
        <f t="shared" si="59"/>
        <v>2.3197148964041858</v>
      </c>
      <c r="FK24" s="20"/>
      <c r="FL24" s="20"/>
    </row>
    <row r="25" spans="1:168" ht="14.4" thickBot="1" x14ac:dyDescent="0.35">
      <c r="A25" s="37" t="s">
        <v>51</v>
      </c>
      <c r="B25" s="38">
        <v>23</v>
      </c>
      <c r="C25" s="34">
        <f>RTD("fxbluelabs.excelrtd", , "21422436","@bh,AUDUSD,h4,close,23")</f>
        <v>0.66557999999999995</v>
      </c>
      <c r="D25" s="34">
        <f>RTD("fxbluelabs.excelrtd", , "21422436","@bh,AUDNZD,h4,close,23")</f>
        <v>1.10172</v>
      </c>
      <c r="E25" s="35">
        <f>RTD("fxbluelabs.excelrtd", , "21422436","@bh,AUDJPY,h4,close,23")</f>
        <v>98.507999999999996</v>
      </c>
      <c r="F25" s="34">
        <f>RTD("fxbluelabs.excelrtd", , "21422436","@bh,AUDCHF,h4,close,23")</f>
        <v>0.57801000000000002</v>
      </c>
      <c r="G25" s="34">
        <f>RTD("fxbluelabs.excelrtd", , "21422436","@bh,AUDCAD,h4,close,23")</f>
        <v>0.91154000000000002</v>
      </c>
      <c r="H25" s="34">
        <f>RTD("fxbluelabs.excelrtd", , "21422436","@bh,EURUSD,h4,close,23")</f>
        <v>1.10039</v>
      </c>
      <c r="I25" s="34">
        <f>RTD("fxbluelabs.excelrtd", , "21422436","@bh,EURCAD,h4,close,23")</f>
        <v>1.5069999999999999</v>
      </c>
      <c r="J25" s="34">
        <f>RTD("fxbluelabs.excelrtd", , "21422436","@bh,EURGBP,h4,close,23")</f>
        <v>0.85160999999999998</v>
      </c>
      <c r="K25" s="34">
        <f>RTD("fxbluelabs.excelrtd", , "21422436","@bh,EURCHF,h4,close,23")</f>
        <v>0.95557999999999998</v>
      </c>
      <c r="L25" s="35">
        <f>RTD("fxbluelabs.excelrtd", , "21422436","@bh,EURJPY,h4,close,23")</f>
        <v>162.85599999999999</v>
      </c>
      <c r="M25" s="34">
        <f>RTD("fxbluelabs.excelrtd", , "21422436","@bh,EURAUD,h4,close,23")</f>
        <v>1.65324</v>
      </c>
      <c r="N25" s="34">
        <f>RTD("fxbluelabs.excelrtd", , "21422436","@bh,EURNZD,h4,close,23")</f>
        <v>1.82145</v>
      </c>
      <c r="O25" s="34">
        <f>RTD("fxbluelabs.excelrtd", , "21422436","@bh,GBPUSD,h4,close,23")</f>
        <v>1.29209</v>
      </c>
      <c r="P25" s="34">
        <f>RTD("fxbluelabs.excelrtd", , "21422436","@bh,GBPAUD,h4,close,23")</f>
        <v>1.9412400000000001</v>
      </c>
      <c r="Q25" s="34">
        <f>RTD("fxbluelabs.excelrtd", , "21422436","@bh,GBPNZD,h4,close,23")</f>
        <v>2.1387499999999999</v>
      </c>
      <c r="R25" s="34">
        <f>RTD("fxbluelabs.excelrtd", , "21422436","@bh,GBPCAD,h4,close,23")</f>
        <v>1.76953</v>
      </c>
      <c r="S25" s="34">
        <f>RTD("fxbluelabs.excelrtd", , "21422436","@bh,GBPCHF,h4,close,23")</f>
        <v>1.12208</v>
      </c>
      <c r="T25" s="35">
        <f>RTD("fxbluelabs.excelrtd", , "21422436","@bh,GBPJPY,h4,close,23")</f>
        <v>191.23</v>
      </c>
      <c r="U25" s="35">
        <f>RTD("fxbluelabs.excelrtd", , "21422436","@bh,NZDJPY,h4,close,23")</f>
        <v>89.406999999999996</v>
      </c>
      <c r="V25" s="34">
        <f>RTD("fxbluelabs.excelrtd", , "21422436","@bh,NZDCHF,h4,close,23")</f>
        <v>0.52461000000000002</v>
      </c>
      <c r="W25" s="34">
        <f>RTD("fxbluelabs.excelrtd", , "21422436","@bh,NZDUSD,h4,close,23")</f>
        <v>0.60409000000000002</v>
      </c>
      <c r="X25" s="34">
        <f>RTD("fxbluelabs.excelrtd", , "21422436","@bh,NZDCAD,h4,close,23")</f>
        <v>0.82730999999999999</v>
      </c>
      <c r="Y25" s="35">
        <f>RTD("fxbluelabs.excelrtd", , "21422436","@bh,CADJPY,h4,close,23")</f>
        <v>108.068</v>
      </c>
      <c r="Z25" s="34">
        <f>RTD("fxbluelabs.excelrtd", , "21422436","@bh,CADCHF,h4,close,23")</f>
        <v>0.63410999999999995</v>
      </c>
      <c r="AA25" s="35">
        <f>RTD("fxbluelabs.excelrtd", , "21422436","@bh,CHFJPY,h4,close,23")</f>
        <v>170.42400000000001</v>
      </c>
      <c r="AB25" s="34">
        <f>RTD("fxbluelabs.excelrtd", , "21422436","@bh,USDCAD,h4,close,23")</f>
        <v>1.36958</v>
      </c>
      <c r="AC25" s="34">
        <f>RTD("fxbluelabs.excelrtd", , "21422436","@bh,USDCHF,h4,close,23")</f>
        <v>0.86843000000000004</v>
      </c>
      <c r="AD25" s="35">
        <f>RTD("fxbluelabs.excelrtd", , "21422436","@bh,USDJPY,h4,close,23")</f>
        <v>148.00299999999999</v>
      </c>
      <c r="AH25" s="21">
        <v>24</v>
      </c>
      <c r="AI25" s="22">
        <f t="shared" si="62"/>
        <v>0.44064829626051405</v>
      </c>
      <c r="AJ25" s="22">
        <f t="shared" si="62"/>
        <v>0.15272171921022198</v>
      </c>
      <c r="AK25" s="22">
        <f t="shared" si="62"/>
        <v>0.65394204438631687</v>
      </c>
      <c r="AL25" s="22">
        <f t="shared" si="62"/>
        <v>0.62497823891925453</v>
      </c>
      <c r="AM25" s="22">
        <f t="shared" si="62"/>
        <v>0.21878951129680033</v>
      </c>
      <c r="AN25" s="22">
        <f t="shared" si="62"/>
        <v>9.0049117700568171E-2</v>
      </c>
      <c r="AO25" s="22">
        <f t="shared" si="62"/>
        <v>-0.1312144627496781</v>
      </c>
      <c r="AP25" s="22">
        <f t="shared" si="62"/>
        <v>-9.1507408580579652E-2</v>
      </c>
      <c r="AQ25" s="22">
        <f t="shared" si="62"/>
        <v>0.27388060484590293</v>
      </c>
      <c r="AR25" s="22">
        <f t="shared" si="62"/>
        <v>0.30302283757482584</v>
      </c>
      <c r="AS25" s="22">
        <f t="shared" si="62"/>
        <v>-0.34599573231743941</v>
      </c>
      <c r="AT25" s="22">
        <f t="shared" si="62"/>
        <v>-0.19506742428808652</v>
      </c>
      <c r="AU25" s="22">
        <f t="shared" si="62"/>
        <v>0.18220726658084979</v>
      </c>
      <c r="AV25" s="22">
        <f t="shared" si="62"/>
        <v>-0.25434310113606634</v>
      </c>
      <c r="AW25" s="22">
        <f t="shared" si="62"/>
        <v>-0.10369131748692831</v>
      </c>
      <c r="AX25" s="22">
        <f t="shared" si="61"/>
        <v>-3.9542884257973421E-2</v>
      </c>
      <c r="AY25" s="22">
        <f t="shared" si="61"/>
        <v>0.36673285747508833</v>
      </c>
      <c r="AZ25" s="22">
        <f t="shared" si="61"/>
        <v>0.39637747735923112</v>
      </c>
      <c r="BA25" s="22">
        <f t="shared" si="61"/>
        <v>0.50473257042649122</v>
      </c>
      <c r="BB25" s="22">
        <f t="shared" si="61"/>
        <v>0.47497749602590117</v>
      </c>
      <c r="BC25" s="22">
        <f t="shared" si="61"/>
        <v>0.29219862865870599</v>
      </c>
      <c r="BD25" s="22">
        <f t="shared" si="61"/>
        <v>6.8945496770442871E-2</v>
      </c>
      <c r="BE25" s="22">
        <f t="shared" si="61"/>
        <v>0.43681109314299416</v>
      </c>
      <c r="BF25" s="22">
        <f t="shared" si="61"/>
        <v>0.40853166120372991</v>
      </c>
      <c r="BG25" s="22">
        <f t="shared" si="61"/>
        <v>3.1108580685678473E-2</v>
      </c>
      <c r="BH25" s="22">
        <f t="shared" si="61"/>
        <v>-0.22147426090250263</v>
      </c>
      <c r="BI25" s="22">
        <f t="shared" si="61"/>
        <v>0.18342485349083801</v>
      </c>
      <c r="BJ25" s="22">
        <f t="shared" si="61"/>
        <v>0.21328747088456596</v>
      </c>
      <c r="BN25">
        <v>24</v>
      </c>
      <c r="BO25" s="23">
        <f t="shared" si="30"/>
        <v>0.63273602493301317</v>
      </c>
      <c r="BP25" s="23">
        <f t="shared" si="1"/>
        <v>-0.24149363963945897</v>
      </c>
      <c r="BQ25" s="23">
        <f t="shared" si="2"/>
        <v>-1.9064840999283295E-3</v>
      </c>
      <c r="BR25" s="23">
        <f t="shared" si="3"/>
        <v>0.2537938287232826</v>
      </c>
      <c r="BS25" s="23">
        <f t="shared" si="4"/>
        <v>0.37186510684788521</v>
      </c>
      <c r="BT25" s="23">
        <f t="shared" si="5"/>
        <v>0.25217237587525709</v>
      </c>
      <c r="BU25" s="23">
        <f t="shared" si="6"/>
        <v>-9.7553241458436524E-3</v>
      </c>
      <c r="BV25" s="23">
        <f t="shared" si="7"/>
        <v>-0.19463006918688455</v>
      </c>
      <c r="BW25" s="23">
        <f t="shared" si="8"/>
        <v>-0.12882487731225273</v>
      </c>
      <c r="BX25" s="23">
        <f t="shared" si="9"/>
        <v>-0.3876012836739563</v>
      </c>
      <c r="BY25" s="23">
        <f t="shared" si="10"/>
        <v>-0.3800080606158992</v>
      </c>
      <c r="BZ25" s="23">
        <f t="shared" si="11"/>
        <v>-0.62187972148357551</v>
      </c>
      <c r="CA25" s="23">
        <f t="shared" si="12"/>
        <v>0.4470701042751774</v>
      </c>
      <c r="CB25" s="23">
        <f t="shared" si="13"/>
        <v>-0.18731151216287828</v>
      </c>
      <c r="CC25" s="23">
        <f t="shared" si="14"/>
        <v>-0.42853033814529273</v>
      </c>
      <c r="CD25" s="23">
        <f t="shared" si="15"/>
        <v>0.18394601710115252</v>
      </c>
      <c r="CE25" s="23">
        <f t="shared" si="16"/>
        <v>6.5095363980746945E-2</v>
      </c>
      <c r="CF25" s="23">
        <f t="shared" si="17"/>
        <v>-0.19175788460225662</v>
      </c>
      <c r="CG25" s="23">
        <f t="shared" si="18"/>
        <v>0.24463146667365332</v>
      </c>
      <c r="CH25" s="23">
        <f t="shared" si="19"/>
        <v>0.50087390974284451</v>
      </c>
      <c r="CI25" s="23">
        <f t="shared" si="20"/>
        <v>0.88268785972284469</v>
      </c>
      <c r="CJ25" s="23">
        <f t="shared" si="21"/>
        <v>0.62045683766683224</v>
      </c>
      <c r="CK25" s="23">
        <f t="shared" si="22"/>
        <v>-0.37418290673849919</v>
      </c>
      <c r="CL25" s="23">
        <f t="shared" si="23"/>
        <v>-0.11674350005684458</v>
      </c>
      <c r="CM25" s="23">
        <f t="shared" si="24"/>
        <v>-0.2565173522785355</v>
      </c>
      <c r="CN25" s="23">
        <f t="shared" si="25"/>
        <v>-0.26151860840904884</v>
      </c>
      <c r="CO25" s="23">
        <f t="shared" si="26"/>
        <v>-0.38189903531287606</v>
      </c>
      <c r="CP25" s="23">
        <f t="shared" si="27"/>
        <v>-0.63848646974088297</v>
      </c>
      <c r="CU25" s="21">
        <v>24</v>
      </c>
      <c r="CV25" s="24">
        <f t="shared" si="31"/>
        <v>-1.4705269605431548</v>
      </c>
      <c r="CW25" s="24">
        <f t="shared" si="32"/>
        <v>-3.4965704782691001</v>
      </c>
      <c r="CX25" s="24">
        <f t="shared" si="33"/>
        <v>-1.3959204358563211</v>
      </c>
      <c r="CY25" s="24">
        <f t="shared" si="34"/>
        <v>-0.56555654210028083</v>
      </c>
      <c r="CZ25" s="24">
        <f t="shared" si="35"/>
        <v>8.3141819633533787E-2</v>
      </c>
      <c r="DA25" s="24">
        <f t="shared" si="36"/>
        <v>1.5823144095435711</v>
      </c>
      <c r="DB25" s="24">
        <f t="shared" si="37"/>
        <v>3.5405537730745018</v>
      </c>
      <c r="DC25" s="24">
        <f t="shared" si="38"/>
        <v>1.6058209144604056</v>
      </c>
      <c r="DF25" s="25">
        <v>24</v>
      </c>
      <c r="DG25" s="26">
        <f t="shared" si="60"/>
        <v>-0.26151860840904884</v>
      </c>
      <c r="DH25" s="26">
        <f t="shared" si="39"/>
        <v>-9.7553241458436524E-3</v>
      </c>
      <c r="DI25" s="26">
        <f t="shared" si="40"/>
        <v>-0.38189903531287606</v>
      </c>
      <c r="DJ25" s="26">
        <f t="shared" si="41"/>
        <v>-0.12882487731225273</v>
      </c>
      <c r="DK25" s="26">
        <f t="shared" si="42"/>
        <v>-0.4470701042751774</v>
      </c>
      <c r="DL25" s="26">
        <f t="shared" si="43"/>
        <v>-0.19463006918688455</v>
      </c>
      <c r="DM25" s="26">
        <f t="shared" si="44"/>
        <v>-0.63273602493301317</v>
      </c>
      <c r="DN25" s="26">
        <f t="shared" si="45"/>
        <v>-0.3800080606158992</v>
      </c>
      <c r="DO25" s="26">
        <f t="shared" si="46"/>
        <v>-0.88268785972284469</v>
      </c>
      <c r="DP25" s="26">
        <f t="shared" si="47"/>
        <v>-0.62187972148357551</v>
      </c>
      <c r="DQ25" s="26">
        <f t="shared" si="48"/>
        <v>-0.63848646974088297</v>
      </c>
      <c r="DR25" s="26">
        <f t="shared" si="49"/>
        <v>-0.3876012836739563</v>
      </c>
      <c r="DS25" s="47">
        <f t="shared" si="50"/>
        <v>-0.25217237587525709</v>
      </c>
      <c r="DT25" s="47">
        <f t="shared" si="51"/>
        <v>0.25217237587525709</v>
      </c>
      <c r="DX25">
        <v>24</v>
      </c>
      <c r="DY25" s="19">
        <f t="shared" si="52"/>
        <v>2.0260435177259453</v>
      </c>
      <c r="EM25" s="21">
        <v>24</v>
      </c>
      <c r="EN25" s="16">
        <f t="shared" si="53"/>
        <v>-1.4705269605431548</v>
      </c>
      <c r="EO25" s="16">
        <f t="shared" si="28"/>
        <v>-3.4965704782691001</v>
      </c>
      <c r="EP25" s="16">
        <f t="shared" si="54"/>
        <v>-1.3959204358563211</v>
      </c>
      <c r="EQ25" s="16">
        <f t="shared" si="55"/>
        <v>-0.56555654210028083</v>
      </c>
      <c r="ER25" s="16">
        <f t="shared" si="56"/>
        <v>8.3141819633533787E-2</v>
      </c>
      <c r="ES25" s="16">
        <f t="shared" si="57"/>
        <v>1.5823144095435711</v>
      </c>
      <c r="ET25" s="16">
        <f t="shared" si="58"/>
        <v>3.5405537730745018</v>
      </c>
      <c r="EU25" s="16">
        <f t="shared" si="59"/>
        <v>1.6058209144604056</v>
      </c>
      <c r="FK25" s="20"/>
      <c r="FL25" s="20"/>
    </row>
    <row r="26" spans="1:168" ht="14.4" thickBot="1" x14ac:dyDescent="0.35">
      <c r="A26" s="37" t="s">
        <v>51</v>
      </c>
      <c r="B26" s="38">
        <v>24</v>
      </c>
      <c r="C26" s="34">
        <f>RTD("fxbluelabs.excelrtd", , "21422436","@bh,AUDUSD,h4,close,24")</f>
        <v>0.66266000000000003</v>
      </c>
      <c r="D26" s="34">
        <f>RTD("fxbluelabs.excelrtd", , "21422436","@bh,AUDNZD,h4,close,24")</f>
        <v>1.1000399999999999</v>
      </c>
      <c r="E26" s="35">
        <f>RTD("fxbluelabs.excelrtd", , "21422436","@bh,AUDJPY,h4,close,24")</f>
        <v>97.867999999999995</v>
      </c>
      <c r="F26" s="34">
        <f>RTD("fxbluelabs.excelrtd", , "21422436","@bh,AUDCHF,h4,close,24")</f>
        <v>0.57442000000000004</v>
      </c>
      <c r="G26" s="34">
        <f>RTD("fxbluelabs.excelrtd", , "21422436","@bh,AUDCAD,h4,close,24")</f>
        <v>0.90954999999999997</v>
      </c>
      <c r="H26" s="34">
        <f>RTD("fxbluelabs.excelrtd", , "21422436","@bh,EURUSD,h4,close,24")</f>
        <v>1.0993999999999999</v>
      </c>
      <c r="I26" s="34">
        <f>RTD("fxbluelabs.excelrtd", , "21422436","@bh,EURCAD,h4,close,24")</f>
        <v>1.50898</v>
      </c>
      <c r="J26" s="34">
        <f>RTD("fxbluelabs.excelrtd", , "21422436","@bh,EURGBP,h4,close,24")</f>
        <v>0.85238999999999998</v>
      </c>
      <c r="K26" s="34">
        <f>RTD("fxbluelabs.excelrtd", , "21422436","@bh,EURCHF,h4,close,24")</f>
        <v>0.95296999999999998</v>
      </c>
      <c r="L26" s="35">
        <f>RTD("fxbluelabs.excelrtd", , "21422436","@bh,EURJPY,h4,close,24")</f>
        <v>162.364</v>
      </c>
      <c r="M26" s="34">
        <f>RTD("fxbluelabs.excelrtd", , "21422436","@bh,EURAUD,h4,close,24")</f>
        <v>1.6589799999999999</v>
      </c>
      <c r="N26" s="34">
        <f>RTD("fxbluelabs.excelrtd", , "21422436","@bh,EURNZD,h4,close,24")</f>
        <v>1.82501</v>
      </c>
      <c r="O26" s="34">
        <f>RTD("fxbluelabs.excelrtd", , "21422436","@bh,GBPUSD,h4,close,24")</f>
        <v>1.2897400000000001</v>
      </c>
      <c r="P26" s="34">
        <f>RTD("fxbluelabs.excelrtd", , "21422436","@bh,GBPAUD,h4,close,24")</f>
        <v>1.9461900000000001</v>
      </c>
      <c r="Q26" s="34">
        <f>RTD("fxbluelabs.excelrtd", , "21422436","@bh,GBPNZD,h4,close,24")</f>
        <v>2.1409699999999998</v>
      </c>
      <c r="R26" s="34">
        <f>RTD("fxbluelabs.excelrtd", , "21422436","@bh,GBPCAD,h4,close,24")</f>
        <v>1.77023</v>
      </c>
      <c r="S26" s="34">
        <f>RTD("fxbluelabs.excelrtd", , "21422436","@bh,GBPCHF,h4,close,24")</f>
        <v>1.11798</v>
      </c>
      <c r="T26" s="35">
        <f>RTD("fxbluelabs.excelrtd", , "21422436","@bh,GBPJPY,h4,close,24")</f>
        <v>190.47499999999999</v>
      </c>
      <c r="U26" s="35">
        <f>RTD("fxbluelabs.excelrtd", , "21422436","@bh,NZDJPY,h4,close,24")</f>
        <v>88.957999999999998</v>
      </c>
      <c r="V26" s="34">
        <f>RTD("fxbluelabs.excelrtd", , "21422436","@bh,NZDCHF,h4,close,24")</f>
        <v>0.52212999999999998</v>
      </c>
      <c r="W26" s="34">
        <f>RTD("fxbluelabs.excelrtd", , "21422436","@bh,NZDUSD,h4,close,24")</f>
        <v>0.60233000000000003</v>
      </c>
      <c r="X26" s="34">
        <f>RTD("fxbluelabs.excelrtd", , "21422436","@bh,NZDCAD,h4,close,24")</f>
        <v>0.82674000000000003</v>
      </c>
      <c r="Y26" s="35">
        <f>RTD("fxbluelabs.excelrtd", , "21422436","@bh,CADJPY,h4,close,24")</f>
        <v>107.598</v>
      </c>
      <c r="Z26" s="34">
        <f>RTD("fxbluelabs.excelrtd", , "21422436","@bh,CADCHF,h4,close,24")</f>
        <v>0.63153000000000004</v>
      </c>
      <c r="AA26" s="35">
        <f>RTD("fxbluelabs.excelrtd", , "21422436","@bh,CHFJPY,h4,close,24")</f>
        <v>170.37100000000001</v>
      </c>
      <c r="AB26" s="34">
        <f>RTD("fxbluelabs.excelrtd", , "21422436","@bh,USDCAD,h4,close,24")</f>
        <v>1.37262</v>
      </c>
      <c r="AC26" s="34">
        <f>RTD("fxbluelabs.excelrtd", , "21422436","@bh,USDCHF,h4,close,24")</f>
        <v>0.86684000000000005</v>
      </c>
      <c r="AD26" s="35">
        <f>RTD("fxbluelabs.excelrtd", , "21422436","@bh,USDJPY,h4,close,24")</f>
        <v>147.68799999999999</v>
      </c>
      <c r="AH26" s="13">
        <v>25</v>
      </c>
      <c r="AI26" s="27">
        <f t="shared" si="62"/>
        <v>-8.5943036352390492E-2</v>
      </c>
      <c r="AJ26" s="27">
        <f t="shared" si="62"/>
        <v>-0.1642691836456949</v>
      </c>
      <c r="AK26" s="27">
        <f t="shared" si="62"/>
        <v>-0.77157833902808493</v>
      </c>
      <c r="AL26" s="27">
        <f t="shared" si="62"/>
        <v>-0.2950774144275366</v>
      </c>
      <c r="AM26" s="27">
        <f t="shared" si="62"/>
        <v>-5.6040261081688074E-2</v>
      </c>
      <c r="AN26" s="27">
        <f t="shared" si="62"/>
        <v>0.11838630361532253</v>
      </c>
      <c r="AO26" s="27">
        <f t="shared" si="62"/>
        <v>0.14600671630894888</v>
      </c>
      <c r="AP26" s="27">
        <f t="shared" si="62"/>
        <v>2.4642681123698332E-2</v>
      </c>
      <c r="AQ26" s="27">
        <f t="shared" si="62"/>
        <v>-9.4352479897681224E-2</v>
      </c>
      <c r="AR26" s="27">
        <f t="shared" si="62"/>
        <v>-0.57256933600328375</v>
      </c>
      <c r="AS26" s="27">
        <f t="shared" si="62"/>
        <v>0.20052426222775147</v>
      </c>
      <c r="AT26" s="27">
        <f t="shared" si="62"/>
        <v>3.6725610357715578E-2</v>
      </c>
      <c r="AU26" s="27">
        <f t="shared" si="62"/>
        <v>9.2351868379187796E-2</v>
      </c>
      <c r="AV26" s="27">
        <f t="shared" si="62"/>
        <v>0.1734591984846818</v>
      </c>
      <c r="AW26" s="27">
        <f t="shared" si="62"/>
        <v>8.8752697614847137E-3</v>
      </c>
      <c r="AX26" s="27">
        <f t="shared" si="61"/>
        <v>0.11933579168835014</v>
      </c>
      <c r="AY26" s="27">
        <f t="shared" si="61"/>
        <v>-0.11971554157882631</v>
      </c>
      <c r="AZ26" s="27">
        <f t="shared" si="61"/>
        <v>-0.59857427644008498</v>
      </c>
      <c r="BA26" s="27">
        <f t="shared" si="61"/>
        <v>-0.60780764675649368</v>
      </c>
      <c r="BB26" s="27">
        <f t="shared" si="61"/>
        <v>-0.13006637210459132</v>
      </c>
      <c r="BC26" s="27">
        <f t="shared" si="61"/>
        <v>7.9754091551056894E-2</v>
      </c>
      <c r="BD26" s="27">
        <f t="shared" si="61"/>
        <v>0.10776775443483168</v>
      </c>
      <c r="BE26" s="27">
        <f t="shared" si="61"/>
        <v>-0.71695501730103905</v>
      </c>
      <c r="BF26" s="27">
        <f t="shared" si="61"/>
        <v>-0.2401074164757864</v>
      </c>
      <c r="BG26" s="27">
        <f t="shared" si="61"/>
        <v>-0.47957848497593225</v>
      </c>
      <c r="BH26" s="27">
        <f t="shared" si="61"/>
        <v>2.6963016942975513E-2</v>
      </c>
      <c r="BI26" s="27">
        <f t="shared" si="61"/>
        <v>-0.2106668815545602</v>
      </c>
      <c r="BJ26" s="27">
        <f t="shared" si="61"/>
        <v>-0.6892470732215783</v>
      </c>
      <c r="BN26">
        <v>25</v>
      </c>
      <c r="BO26" s="28">
        <f t="shared" si="30"/>
        <v>0.19208772867249918</v>
      </c>
      <c r="BP26" s="28">
        <f t="shared" si="1"/>
        <v>-0.39421535884968095</v>
      </c>
      <c r="BQ26" s="28">
        <f t="shared" si="2"/>
        <v>-0.6558485284862452</v>
      </c>
      <c r="BR26" s="28">
        <f t="shared" si="3"/>
        <v>-0.37118441019597193</v>
      </c>
      <c r="BS26" s="28">
        <f t="shared" si="4"/>
        <v>0.15307559555108485</v>
      </c>
      <c r="BT26" s="28">
        <f t="shared" si="5"/>
        <v>0.16212325817468889</v>
      </c>
      <c r="BU26" s="28">
        <f t="shared" si="6"/>
        <v>0.12145913860383445</v>
      </c>
      <c r="BV26" s="28">
        <f t="shared" si="7"/>
        <v>-0.1031226606063049</v>
      </c>
      <c r="BW26" s="28">
        <f t="shared" si="8"/>
        <v>-0.40270548215815571</v>
      </c>
      <c r="BX26" s="28">
        <f t="shared" si="9"/>
        <v>-0.69062412124878203</v>
      </c>
      <c r="BY26" s="28">
        <f t="shared" si="10"/>
        <v>-3.4012328298459821E-2</v>
      </c>
      <c r="BZ26" s="28">
        <f t="shared" si="11"/>
        <v>-0.42681229719548902</v>
      </c>
      <c r="CA26" s="28">
        <f t="shared" si="12"/>
        <v>0.26486283769432761</v>
      </c>
      <c r="CB26" s="28">
        <f t="shared" si="13"/>
        <v>6.7031588973188033E-2</v>
      </c>
      <c r="CC26" s="28">
        <f t="shared" si="14"/>
        <v>-0.3248390206583644</v>
      </c>
      <c r="CD26" s="28">
        <f t="shared" si="15"/>
        <v>0.22348890135912594</v>
      </c>
      <c r="CE26" s="28">
        <f t="shared" si="16"/>
        <v>-0.30163749349434138</v>
      </c>
      <c r="CF26" s="28">
        <f t="shared" si="17"/>
        <v>-0.58813536196148786</v>
      </c>
      <c r="CG26" s="28">
        <f t="shared" si="18"/>
        <v>-0.2601011037528379</v>
      </c>
      <c r="CH26" s="28">
        <f t="shared" si="19"/>
        <v>2.5896413716943373E-2</v>
      </c>
      <c r="CI26" s="28">
        <f t="shared" si="20"/>
        <v>0.59048923106413875</v>
      </c>
      <c r="CJ26" s="28">
        <f t="shared" si="21"/>
        <v>0.55151134089638931</v>
      </c>
      <c r="CK26" s="28">
        <f t="shared" si="22"/>
        <v>-0.81099399988149334</v>
      </c>
      <c r="CL26" s="28">
        <f t="shared" si="23"/>
        <v>-0.52527516126057461</v>
      </c>
      <c r="CM26" s="28">
        <f t="shared" si="24"/>
        <v>-0.28762593296421396</v>
      </c>
      <c r="CN26" s="28">
        <f t="shared" si="25"/>
        <v>-4.0044347506546174E-2</v>
      </c>
      <c r="CO26" s="28">
        <f t="shared" si="26"/>
        <v>-0.5653238888037142</v>
      </c>
      <c r="CP26" s="28">
        <f t="shared" si="27"/>
        <v>-0.85177394062544887</v>
      </c>
      <c r="CU26" s="21">
        <v>25</v>
      </c>
      <c r="CV26" s="29">
        <f t="shared" si="31"/>
        <v>-1.3736944927286681</v>
      </c>
      <c r="CW26" s="29">
        <f t="shared" si="32"/>
        <v>-2.6667052325413638</v>
      </c>
      <c r="CX26" s="29">
        <f t="shared" si="33"/>
        <v>-2.3457597900459564</v>
      </c>
      <c r="CY26" s="29">
        <f t="shared" si="34"/>
        <v>1.3273289279710259</v>
      </c>
      <c r="CZ26" s="29">
        <f t="shared" si="35"/>
        <v>-0.55610588748124712</v>
      </c>
      <c r="DA26" s="29">
        <f t="shared" si="36"/>
        <v>-1.1091042339830424</v>
      </c>
      <c r="DB26" s="29">
        <f t="shared" si="37"/>
        <v>2.0536625586281678</v>
      </c>
      <c r="DC26" s="29">
        <f t="shared" si="38"/>
        <v>4.1451029889205095</v>
      </c>
      <c r="DF26" s="30">
        <v>25</v>
      </c>
      <c r="DG26" s="31">
        <f t="shared" si="60"/>
        <v>-4.0044347506546174E-2</v>
      </c>
      <c r="DH26" s="31">
        <f t="shared" si="39"/>
        <v>0.12145913860383445</v>
      </c>
      <c r="DI26" s="31">
        <f t="shared" si="40"/>
        <v>-0.5653238888037142</v>
      </c>
      <c r="DJ26" s="31">
        <f t="shared" si="41"/>
        <v>-0.40270548215815571</v>
      </c>
      <c r="DK26" s="31">
        <f t="shared" si="42"/>
        <v>-0.26486283769432761</v>
      </c>
      <c r="DL26" s="31">
        <f t="shared" si="43"/>
        <v>-0.1031226606063049</v>
      </c>
      <c r="DM26" s="31">
        <f t="shared" si="44"/>
        <v>-0.19208772867249918</v>
      </c>
      <c r="DN26" s="31">
        <f t="shared" si="45"/>
        <v>-3.4012328298459821E-2</v>
      </c>
      <c r="DO26" s="31">
        <f t="shared" si="46"/>
        <v>-0.59048923106413875</v>
      </c>
      <c r="DP26" s="31">
        <f t="shared" si="47"/>
        <v>-0.42681229719548902</v>
      </c>
      <c r="DQ26" s="31">
        <f t="shared" si="48"/>
        <v>-0.85177394062544887</v>
      </c>
      <c r="DR26" s="31">
        <f t="shared" si="49"/>
        <v>-0.69062412124878203</v>
      </c>
      <c r="DS26" s="49">
        <f t="shared" si="50"/>
        <v>-0.16212325817468889</v>
      </c>
      <c r="DT26" s="49">
        <f t="shared" si="51"/>
        <v>0.16212325817468889</v>
      </c>
      <c r="DX26">
        <v>25</v>
      </c>
      <c r="DY26" s="19">
        <f t="shared" si="52"/>
        <v>1.2930107398126958</v>
      </c>
      <c r="EM26" s="21">
        <v>25</v>
      </c>
      <c r="EN26" s="16">
        <f t="shared" si="53"/>
        <v>-1.3736944927286681</v>
      </c>
      <c r="EO26" s="16">
        <f t="shared" si="28"/>
        <v>-2.6667052325413638</v>
      </c>
      <c r="EP26" s="16">
        <f t="shared" si="54"/>
        <v>-2.3457597900459564</v>
      </c>
      <c r="EQ26" s="16">
        <f t="shared" si="55"/>
        <v>1.3273289279710259</v>
      </c>
      <c r="ER26" s="16">
        <f t="shared" si="56"/>
        <v>-0.55610588748124712</v>
      </c>
      <c r="ES26" s="16">
        <f t="shared" si="57"/>
        <v>-1.1091042339830424</v>
      </c>
      <c r="ET26" s="16">
        <f t="shared" si="58"/>
        <v>2.0536625586281678</v>
      </c>
      <c r="EU26" s="16">
        <f t="shared" si="59"/>
        <v>4.1451029889205095</v>
      </c>
      <c r="FK26" s="20"/>
      <c r="FL26" s="20"/>
    </row>
    <row r="27" spans="1:168" ht="14.4" thickBot="1" x14ac:dyDescent="0.35">
      <c r="A27" s="37" t="s">
        <v>51</v>
      </c>
      <c r="B27" s="38">
        <v>25</v>
      </c>
      <c r="C27" s="34">
        <f>RTD("fxbluelabs.excelrtd", , "21422436","@bh,AUDUSD,h4,close,25")</f>
        <v>0.66322999999999999</v>
      </c>
      <c r="D27" s="34">
        <f>RTD("fxbluelabs.excelrtd", , "21422436","@bh,AUDNZD,h4,close,25")</f>
        <v>1.10185</v>
      </c>
      <c r="E27" s="35">
        <f>RTD("fxbluelabs.excelrtd", , "21422436","@bh,AUDJPY,h4,close,25")</f>
        <v>98.629000000000005</v>
      </c>
      <c r="F27" s="34">
        <f>RTD("fxbluelabs.excelrtd", , "21422436","@bh,AUDCHF,h4,close,25")</f>
        <v>0.57611999999999997</v>
      </c>
      <c r="G27" s="34">
        <f>RTD("fxbluelabs.excelrtd", , "21422436","@bh,AUDCAD,h4,close,25")</f>
        <v>0.91005999999999998</v>
      </c>
      <c r="H27" s="34">
        <f>RTD("fxbluelabs.excelrtd", , "21422436","@bh,EURUSD,h4,close,25")</f>
        <v>1.0981000000000001</v>
      </c>
      <c r="I27" s="34">
        <f>RTD("fxbluelabs.excelrtd", , "21422436","@bh,EURCAD,h4,close,25")</f>
        <v>1.50678</v>
      </c>
      <c r="J27" s="34">
        <f>RTD("fxbluelabs.excelrtd", , "21422436","@bh,EURGBP,h4,close,25")</f>
        <v>0.85218000000000005</v>
      </c>
      <c r="K27" s="34">
        <f>RTD("fxbluelabs.excelrtd", , "21422436","@bh,EURCHF,h4,close,25")</f>
        <v>0.95387</v>
      </c>
      <c r="L27" s="35">
        <f>RTD("fxbluelabs.excelrtd", , "21422436","@bh,EURJPY,h4,close,25")</f>
        <v>163.29900000000001</v>
      </c>
      <c r="M27" s="34">
        <f>RTD("fxbluelabs.excelrtd", , "21422436","@bh,EURAUD,h4,close,25")</f>
        <v>1.6556599999999999</v>
      </c>
      <c r="N27" s="34">
        <f>RTD("fxbluelabs.excelrtd", , "21422436","@bh,EURNZD,h4,close,25")</f>
        <v>1.8243400000000001</v>
      </c>
      <c r="O27" s="34">
        <f>RTD("fxbluelabs.excelrtd", , "21422436","@bh,GBPUSD,h4,close,25")</f>
        <v>1.2885500000000001</v>
      </c>
      <c r="P27" s="34">
        <f>RTD("fxbluelabs.excelrtd", , "21422436","@bh,GBPAUD,h4,close,25")</f>
        <v>1.94282</v>
      </c>
      <c r="Q27" s="34">
        <f>RTD("fxbluelabs.excelrtd", , "21422436","@bh,GBPNZD,h4,close,25")</f>
        <v>2.1407799999999999</v>
      </c>
      <c r="R27" s="34">
        <f>RTD("fxbluelabs.excelrtd", , "21422436","@bh,GBPCAD,h4,close,25")</f>
        <v>1.7681199999999999</v>
      </c>
      <c r="S27" s="34">
        <f>RTD("fxbluelabs.excelrtd", , "21422436","@bh,GBPCHF,h4,close,25")</f>
        <v>1.1193200000000001</v>
      </c>
      <c r="T27" s="35">
        <f>RTD("fxbluelabs.excelrtd", , "21422436","@bh,GBPJPY,h4,close,25")</f>
        <v>191.62200000000001</v>
      </c>
      <c r="U27" s="35">
        <f>RTD("fxbluelabs.excelrtd", , "21422436","@bh,NZDJPY,h4,close,25")</f>
        <v>89.501999999999995</v>
      </c>
      <c r="V27" s="34">
        <f>RTD("fxbluelabs.excelrtd", , "21422436","@bh,NZDCHF,h4,close,25")</f>
        <v>0.52281</v>
      </c>
      <c r="W27" s="34">
        <f>RTD("fxbluelabs.excelrtd", , "21422436","@bh,NZDUSD,h4,close,25")</f>
        <v>0.60185</v>
      </c>
      <c r="X27" s="34">
        <f>RTD("fxbluelabs.excelrtd", , "21422436","@bh,NZDCAD,h4,close,25")</f>
        <v>0.82584999999999997</v>
      </c>
      <c r="Y27" s="35">
        <f>RTD("fxbluelabs.excelrtd", , "21422436","@bh,CADJPY,h4,close,25")</f>
        <v>108.375</v>
      </c>
      <c r="Z27" s="34">
        <f>RTD("fxbluelabs.excelrtd", , "21422436","@bh,CADCHF,h4,close,25")</f>
        <v>0.63305</v>
      </c>
      <c r="AA27" s="35">
        <f>RTD("fxbluelabs.excelrtd", , "21422436","@bh,CHFJPY,h4,close,25")</f>
        <v>171.19200000000001</v>
      </c>
      <c r="AB27" s="34">
        <f>RTD("fxbluelabs.excelrtd", , "21422436","@bh,USDCAD,h4,close,25")</f>
        <v>1.37225</v>
      </c>
      <c r="AC27" s="34">
        <f>RTD("fxbluelabs.excelrtd", , "21422436","@bh,USDCHF,h4,close,25")</f>
        <v>0.86867000000000005</v>
      </c>
      <c r="AD27" s="35">
        <f>RTD("fxbluelabs.excelrtd", , "21422436","@bh,USDJPY,h4,close,25")</f>
        <v>148.71299999999999</v>
      </c>
      <c r="AH27" s="21">
        <v>26</v>
      </c>
      <c r="AI27" s="22">
        <f t="shared" si="62"/>
        <v>9.2058796897165715E-2</v>
      </c>
      <c r="AJ27" s="22">
        <f t="shared" si="62"/>
        <v>1.8154586302362635E-2</v>
      </c>
      <c r="AK27" s="22">
        <f t="shared" si="62"/>
        <v>-9.1242725927130931E-3</v>
      </c>
      <c r="AL27" s="22">
        <f t="shared" si="62"/>
        <v>-0.18711018711020111</v>
      </c>
      <c r="AM27" s="22">
        <f t="shared" si="62"/>
        <v>7.1474912305772798E-2</v>
      </c>
      <c r="AN27" s="22">
        <f t="shared" si="62"/>
        <v>-1.0926772413532623E-2</v>
      </c>
      <c r="AO27" s="22">
        <f t="shared" si="62"/>
        <v>-3.1182617349475566E-2</v>
      </c>
      <c r="AP27" s="22">
        <f t="shared" si="62"/>
        <v>-0.1078419880435964</v>
      </c>
      <c r="AQ27" s="22">
        <f t="shared" si="62"/>
        <v>-0.29476632974109113</v>
      </c>
      <c r="AR27" s="22">
        <f t="shared" si="62"/>
        <v>-0.11254992873876642</v>
      </c>
      <c r="AS27" s="22">
        <f t="shared" si="62"/>
        <v>-0.10377825242250815</v>
      </c>
      <c r="AT27" s="22">
        <f t="shared" si="62"/>
        <v>-8.4342892194441854E-2</v>
      </c>
      <c r="AU27" s="22">
        <f t="shared" si="62"/>
        <v>9.7880042570053283E-2</v>
      </c>
      <c r="AV27" s="22">
        <f t="shared" si="62"/>
        <v>4.6326561076383988E-3</v>
      </c>
      <c r="AW27" s="22">
        <f t="shared" si="62"/>
        <v>2.5698172626308878E-2</v>
      </c>
      <c r="AX27" s="22">
        <f t="shared" si="61"/>
        <v>7.7543512098478637E-2</v>
      </c>
      <c r="AY27" s="22">
        <f t="shared" si="61"/>
        <v>-0.18192195191551508</v>
      </c>
      <c r="AZ27" s="22">
        <f t="shared" si="61"/>
        <v>-4.1747116839645961E-3</v>
      </c>
      <c r="BA27" s="22">
        <f t="shared" si="61"/>
        <v>-3.6857094990787126E-2</v>
      </c>
      <c r="BB27" s="22">
        <f t="shared" si="61"/>
        <v>-0.2137690149447464</v>
      </c>
      <c r="BC27" s="22">
        <f t="shared" si="61"/>
        <v>6.6505943968734882E-2</v>
      </c>
      <c r="BD27" s="22">
        <f t="shared" si="61"/>
        <v>4.7246383834468234E-2</v>
      </c>
      <c r="BE27" s="22">
        <f t="shared" si="61"/>
        <v>-8.2054875350345405E-2</v>
      </c>
      <c r="BF27" s="22">
        <f t="shared" si="61"/>
        <v>-0.2599653379549457</v>
      </c>
      <c r="BG27" s="22">
        <f t="shared" si="61"/>
        <v>0.18492942250520991</v>
      </c>
      <c r="BH27" s="22">
        <f t="shared" si="61"/>
        <v>-1.8943395676528911E-2</v>
      </c>
      <c r="BI27" s="22">
        <f t="shared" si="61"/>
        <v>-0.28353651537066055</v>
      </c>
      <c r="BJ27" s="22">
        <f t="shared" si="61"/>
        <v>-0.10210593490747673</v>
      </c>
      <c r="BN27">
        <v>26</v>
      </c>
      <c r="BO27" s="23">
        <f t="shared" si="30"/>
        <v>0.27803076502488966</v>
      </c>
      <c r="BP27" s="23">
        <f t="shared" si="1"/>
        <v>-0.22994617520398608</v>
      </c>
      <c r="BQ27" s="23">
        <f t="shared" si="2"/>
        <v>0.11572981054183967</v>
      </c>
      <c r="BR27" s="23">
        <f t="shared" si="3"/>
        <v>-7.6106995768435298E-2</v>
      </c>
      <c r="BS27" s="23">
        <f t="shared" si="4"/>
        <v>0.20911585663277293</v>
      </c>
      <c r="BT27" s="23">
        <f t="shared" si="5"/>
        <v>4.3736954559366367E-2</v>
      </c>
      <c r="BU27" s="23">
        <f t="shared" si="6"/>
        <v>-2.4547577705114423E-2</v>
      </c>
      <c r="BV27" s="23">
        <f t="shared" si="7"/>
        <v>-0.12776534173000323</v>
      </c>
      <c r="BW27" s="23">
        <f t="shared" si="8"/>
        <v>-0.30835300226047446</v>
      </c>
      <c r="BX27" s="23">
        <f t="shared" si="9"/>
        <v>-0.11805478524549833</v>
      </c>
      <c r="BY27" s="23">
        <f t="shared" si="10"/>
        <v>-0.23453659052621129</v>
      </c>
      <c r="BZ27" s="23">
        <f t="shared" si="11"/>
        <v>-0.46353790755320462</v>
      </c>
      <c r="CA27" s="23">
        <f t="shared" si="12"/>
        <v>0.17251096931513984</v>
      </c>
      <c r="CB27" s="23">
        <f t="shared" si="13"/>
        <v>-0.10642760951149377</v>
      </c>
      <c r="CC27" s="23">
        <f t="shared" si="14"/>
        <v>-0.33371429041984912</v>
      </c>
      <c r="CD27" s="23">
        <f t="shared" si="15"/>
        <v>0.1041531096707758</v>
      </c>
      <c r="CE27" s="23">
        <f t="shared" si="16"/>
        <v>-0.18192195191551508</v>
      </c>
      <c r="CF27" s="23">
        <f t="shared" si="17"/>
        <v>1.0438914478597166E-2</v>
      </c>
      <c r="CG27" s="23">
        <f t="shared" si="18"/>
        <v>0.34770654300365578</v>
      </c>
      <c r="CH27" s="23">
        <f t="shared" si="19"/>
        <v>0.15596278582153469</v>
      </c>
      <c r="CI27" s="23">
        <f t="shared" si="20"/>
        <v>0.51073513951308191</v>
      </c>
      <c r="CJ27" s="23">
        <f t="shared" si="21"/>
        <v>0.44374358646155765</v>
      </c>
      <c r="CK27" s="23">
        <f t="shared" si="22"/>
        <v>-9.4038982580454303E-2</v>
      </c>
      <c r="CL27" s="23">
        <f t="shared" si="23"/>
        <v>-0.28516774478478818</v>
      </c>
      <c r="CM27" s="23">
        <f t="shared" si="24"/>
        <v>0.19195255201171829</v>
      </c>
      <c r="CN27" s="23">
        <f t="shared" si="25"/>
        <v>-6.7007364449521684E-2</v>
      </c>
      <c r="CO27" s="23">
        <f t="shared" si="26"/>
        <v>-0.35465700724915394</v>
      </c>
      <c r="CP27" s="23">
        <f t="shared" si="27"/>
        <v>-0.16252686740387054</v>
      </c>
      <c r="CU27" s="13">
        <v>26</v>
      </c>
      <c r="CV27" s="24">
        <f t="shared" si="31"/>
        <v>-1.23305825046114</v>
      </c>
      <c r="CW27" s="24">
        <f t="shared" si="32"/>
        <v>-1.5892050675150242</v>
      </c>
      <c r="CX27" s="24">
        <f t="shared" si="33"/>
        <v>-1.0446643379757128</v>
      </c>
      <c r="CY27" s="24">
        <f t="shared" si="34"/>
        <v>0.95702872338376233</v>
      </c>
      <c r="CZ27" s="24">
        <f t="shared" si="35"/>
        <v>-0.2071955166523419</v>
      </c>
      <c r="DA27" s="24">
        <f t="shared" si="36"/>
        <v>0.63778746126478603</v>
      </c>
      <c r="DB27" s="24">
        <f t="shared" si="37"/>
        <v>2.4853464279768698</v>
      </c>
      <c r="DC27" s="24">
        <f t="shared" si="38"/>
        <v>-0.29120718480598773</v>
      </c>
      <c r="DF27" s="25">
        <v>26</v>
      </c>
      <c r="DG27" s="26">
        <f t="shared" si="60"/>
        <v>-6.7007364449521684E-2</v>
      </c>
      <c r="DH27" s="26">
        <f t="shared" si="39"/>
        <v>-2.4547577705114423E-2</v>
      </c>
      <c r="DI27" s="26">
        <f t="shared" si="40"/>
        <v>-0.35465700724915394</v>
      </c>
      <c r="DJ27" s="26">
        <f t="shared" si="41"/>
        <v>-0.30835300226047446</v>
      </c>
      <c r="DK27" s="26">
        <f t="shared" si="42"/>
        <v>-0.17251096931513984</v>
      </c>
      <c r="DL27" s="26">
        <f t="shared" si="43"/>
        <v>-0.12776534173000323</v>
      </c>
      <c r="DM27" s="26">
        <f t="shared" si="44"/>
        <v>-0.27803076502488966</v>
      </c>
      <c r="DN27" s="26">
        <f t="shared" si="45"/>
        <v>-0.23453659052621129</v>
      </c>
      <c r="DO27" s="26">
        <f t="shared" si="46"/>
        <v>-0.51073513951308191</v>
      </c>
      <c r="DP27" s="26">
        <f t="shared" si="47"/>
        <v>-0.46353790755320462</v>
      </c>
      <c r="DQ27" s="26">
        <f t="shared" si="48"/>
        <v>-0.16252686740387054</v>
      </c>
      <c r="DR27" s="26">
        <f t="shared" si="49"/>
        <v>-0.11805478524549833</v>
      </c>
      <c r="DS27" s="47">
        <f t="shared" si="50"/>
        <v>-4.3736954559366367E-2</v>
      </c>
      <c r="DT27" s="47">
        <f t="shared" si="51"/>
        <v>4.3736954559366367E-2</v>
      </c>
      <c r="DX27">
        <v>26</v>
      </c>
      <c r="DY27" s="19">
        <f t="shared" si="52"/>
        <v>0.35614681705388418</v>
      </c>
      <c r="EM27" s="13">
        <v>26</v>
      </c>
      <c r="EN27" s="16">
        <f t="shared" si="53"/>
        <v>-1.23305825046114</v>
      </c>
      <c r="EO27" s="16">
        <f t="shared" si="28"/>
        <v>-1.5892050675150242</v>
      </c>
      <c r="EP27" s="16">
        <f t="shared" si="54"/>
        <v>-1.0446643379757128</v>
      </c>
      <c r="EQ27" s="16">
        <f t="shared" si="55"/>
        <v>0.95702872338376233</v>
      </c>
      <c r="ER27" s="16">
        <f t="shared" si="56"/>
        <v>-0.2071955166523419</v>
      </c>
      <c r="ES27" s="16">
        <f t="shared" si="57"/>
        <v>0.63778746126478603</v>
      </c>
      <c r="ET27" s="16">
        <f t="shared" si="58"/>
        <v>2.4853464279768698</v>
      </c>
      <c r="EU27" s="16">
        <f t="shared" si="59"/>
        <v>-0.29120718480598773</v>
      </c>
      <c r="FK27" s="20"/>
      <c r="FL27" s="20"/>
    </row>
    <row r="28" spans="1:168" ht="14.4" thickBot="1" x14ac:dyDescent="0.35">
      <c r="A28" s="37" t="s">
        <v>51</v>
      </c>
      <c r="B28" s="38">
        <v>26</v>
      </c>
      <c r="C28" s="34">
        <f>RTD("fxbluelabs.excelrtd", , "21422436","@bh,AUDUSD,h4,close,26")</f>
        <v>0.66261999999999999</v>
      </c>
      <c r="D28" s="34">
        <f>RTD("fxbluelabs.excelrtd", , "21422436","@bh,AUDNZD,h4,close,26")</f>
        <v>1.10165</v>
      </c>
      <c r="E28" s="35">
        <f>RTD("fxbluelabs.excelrtd", , "21422436","@bh,AUDJPY,h4,close,26")</f>
        <v>98.638000000000005</v>
      </c>
      <c r="F28" s="34">
        <f>RTD("fxbluelabs.excelrtd", , "21422436","@bh,AUDCHF,h4,close,26")</f>
        <v>0.57720000000000005</v>
      </c>
      <c r="G28" s="34">
        <f>RTD("fxbluelabs.excelrtd", , "21422436","@bh,AUDCAD,h4,close,26")</f>
        <v>0.90941000000000005</v>
      </c>
      <c r="H28" s="34">
        <f>RTD("fxbluelabs.excelrtd", , "21422436","@bh,EURUSD,h4,close,26")</f>
        <v>1.09822</v>
      </c>
      <c r="I28" s="34">
        <f>RTD("fxbluelabs.excelrtd", , "21422436","@bh,EURCAD,h4,close,26")</f>
        <v>1.50725</v>
      </c>
      <c r="J28" s="34">
        <f>RTD("fxbluelabs.excelrtd", , "21422436","@bh,EURGBP,h4,close,26")</f>
        <v>0.85309999999999997</v>
      </c>
      <c r="K28" s="34">
        <f>RTD("fxbluelabs.excelrtd", , "21422436","@bh,EURCHF,h4,close,26")</f>
        <v>0.95669000000000004</v>
      </c>
      <c r="L28" s="35">
        <f>RTD("fxbluelabs.excelrtd", , "21422436","@bh,EURJPY,h4,close,26")</f>
        <v>163.483</v>
      </c>
      <c r="M28" s="34">
        <f>RTD("fxbluelabs.excelrtd", , "21422436","@bh,EURAUD,h4,close,26")</f>
        <v>1.6573800000000001</v>
      </c>
      <c r="N28" s="34">
        <f>RTD("fxbluelabs.excelrtd", , "21422436","@bh,EURNZD,h4,close,26")</f>
        <v>1.8258799999999999</v>
      </c>
      <c r="O28" s="34">
        <f>RTD("fxbluelabs.excelrtd", , "21422436","@bh,GBPUSD,h4,close,26")</f>
        <v>1.28729</v>
      </c>
      <c r="P28" s="34">
        <f>RTD("fxbluelabs.excelrtd", , "21422436","@bh,GBPAUD,h4,close,26")</f>
        <v>1.9427300000000001</v>
      </c>
      <c r="Q28" s="34">
        <f>RTD("fxbluelabs.excelrtd", , "21422436","@bh,GBPNZD,h4,close,26")</f>
        <v>2.1402299999999999</v>
      </c>
      <c r="R28" s="34">
        <f>RTD("fxbluelabs.excelrtd", , "21422436","@bh,GBPCAD,h4,close,26")</f>
        <v>1.76675</v>
      </c>
      <c r="S28" s="34">
        <f>RTD("fxbluelabs.excelrtd", , "21422436","@bh,GBPCHF,h4,close,26")</f>
        <v>1.1213599999999999</v>
      </c>
      <c r="T28" s="35">
        <f>RTD("fxbluelabs.excelrtd", , "21422436","@bh,GBPJPY,h4,close,26")</f>
        <v>191.63</v>
      </c>
      <c r="U28" s="35">
        <f>RTD("fxbluelabs.excelrtd", , "21422436","@bh,NZDJPY,h4,close,26")</f>
        <v>89.534999999999997</v>
      </c>
      <c r="V28" s="34">
        <f>RTD("fxbluelabs.excelrtd", , "21422436","@bh,NZDCHF,h4,close,26")</f>
        <v>0.52393000000000001</v>
      </c>
      <c r="W28" s="34">
        <f>RTD("fxbluelabs.excelrtd", , "21422436","@bh,NZDUSD,h4,close,26")</f>
        <v>0.60145000000000004</v>
      </c>
      <c r="X28" s="34">
        <f>RTD("fxbluelabs.excelrtd", , "21422436","@bh,NZDCAD,h4,close,26")</f>
        <v>0.82545999999999997</v>
      </c>
      <c r="Y28" s="35">
        <f>RTD("fxbluelabs.excelrtd", , "21422436","@bh,CADJPY,h4,close,26")</f>
        <v>108.464</v>
      </c>
      <c r="Z28" s="34">
        <f>RTD("fxbluelabs.excelrtd", , "21422436","@bh,CADCHF,h4,close,26")</f>
        <v>0.63470000000000004</v>
      </c>
      <c r="AA28" s="35">
        <f>RTD("fxbluelabs.excelrtd", , "21422436","@bh,CHFJPY,h4,close,26")</f>
        <v>170.876</v>
      </c>
      <c r="AB28" s="34">
        <f>RTD("fxbluelabs.excelrtd", , "21422436","@bh,USDCAD,h4,close,26")</f>
        <v>1.3725099999999999</v>
      </c>
      <c r="AC28" s="34">
        <f>RTD("fxbluelabs.excelrtd", , "21422436","@bh,USDCHF,h4,close,26")</f>
        <v>0.87114000000000003</v>
      </c>
      <c r="AD28" s="35">
        <f>RTD("fxbluelabs.excelrtd", , "21422436","@bh,USDJPY,h4,close,26")</f>
        <v>148.86500000000001</v>
      </c>
      <c r="AH28" s="21">
        <v>27</v>
      </c>
      <c r="AI28" s="27">
        <f>IF(C28=0,0,(C28-C29)*100/C29)</f>
        <v>0.18597196812772393</v>
      </c>
      <c r="AJ28" s="27">
        <f t="shared" si="62"/>
        <v>-0.24810076150634872</v>
      </c>
      <c r="AK28" s="27">
        <f t="shared" si="62"/>
        <v>0.12485408313455276</v>
      </c>
      <c r="AL28" s="27">
        <f t="shared" si="62"/>
        <v>0.11100319134176581</v>
      </c>
      <c r="AM28" s="27">
        <f t="shared" si="62"/>
        <v>0.13764094432700014</v>
      </c>
      <c r="AN28" s="27">
        <f t="shared" si="62"/>
        <v>5.4663726972898993E-2</v>
      </c>
      <c r="AO28" s="27">
        <f t="shared" si="62"/>
        <v>6.635039644361144E-3</v>
      </c>
      <c r="AP28" s="27">
        <f t="shared" si="62"/>
        <v>-1.9923353686406822E-2</v>
      </c>
      <c r="AQ28" s="27">
        <f t="shared" si="62"/>
        <v>-1.3586672519383319E-2</v>
      </c>
      <c r="AR28" s="27">
        <f t="shared" si="62"/>
        <v>-5.504856506731908E-3</v>
      </c>
      <c r="AS28" s="27">
        <f t="shared" si="62"/>
        <v>-0.13075833810370313</v>
      </c>
      <c r="AT28" s="27">
        <f t="shared" si="62"/>
        <v>-0.37919501535876277</v>
      </c>
      <c r="AU28" s="27">
        <f t="shared" si="62"/>
        <v>7.4630926745086562E-2</v>
      </c>
      <c r="AV28" s="27">
        <f t="shared" si="62"/>
        <v>-0.11106026561913217</v>
      </c>
      <c r="AW28" s="27">
        <f t="shared" si="62"/>
        <v>-0.35941246304615798</v>
      </c>
      <c r="AX28" s="27">
        <f t="shared" si="61"/>
        <v>2.6609597572297167E-2</v>
      </c>
      <c r="AY28" s="27">
        <f t="shared" si="61"/>
        <v>0</v>
      </c>
      <c r="AZ28" s="27">
        <f t="shared" si="61"/>
        <v>1.4613626162561762E-2</v>
      </c>
      <c r="BA28" s="27">
        <f t="shared" si="61"/>
        <v>0.38456363799444293</v>
      </c>
      <c r="BB28" s="27">
        <f t="shared" si="61"/>
        <v>0.36973180076628109</v>
      </c>
      <c r="BC28" s="27">
        <f t="shared" si="61"/>
        <v>0.44422919554434703</v>
      </c>
      <c r="BD28" s="27">
        <f t="shared" si="61"/>
        <v>0.39649720262708943</v>
      </c>
      <c r="BE28" s="27">
        <f t="shared" si="61"/>
        <v>-1.1984107230108898E-2</v>
      </c>
      <c r="BF28" s="27">
        <f t="shared" si="61"/>
        <v>-2.520240682984248E-2</v>
      </c>
      <c r="BG28" s="27">
        <f t="shared" si="61"/>
        <v>7.023129506508366E-3</v>
      </c>
      <c r="BH28" s="27">
        <f t="shared" si="61"/>
        <v>-4.8063968772992779E-2</v>
      </c>
      <c r="BI28" s="27">
        <f t="shared" si="61"/>
        <v>-7.1120491878493383E-2</v>
      </c>
      <c r="BJ28" s="27">
        <f t="shared" si="61"/>
        <v>-6.0420932496393812E-2</v>
      </c>
      <c r="BN28">
        <v>27</v>
      </c>
      <c r="BO28" s="28">
        <f t="shared" si="30"/>
        <v>0.18597196812772393</v>
      </c>
      <c r="BP28" s="28">
        <f t="shared" si="1"/>
        <v>-0.24810076150634872</v>
      </c>
      <c r="BQ28" s="28">
        <f t="shared" si="2"/>
        <v>0.12485408313455276</v>
      </c>
      <c r="BR28" s="28">
        <f t="shared" si="3"/>
        <v>0.11100319134176581</v>
      </c>
      <c r="BS28" s="28">
        <f t="shared" si="4"/>
        <v>0.13764094432700014</v>
      </c>
      <c r="BT28" s="28">
        <f t="shared" si="5"/>
        <v>5.4663726972898993E-2</v>
      </c>
      <c r="BU28" s="28">
        <f t="shared" si="6"/>
        <v>6.635039644361144E-3</v>
      </c>
      <c r="BV28" s="28">
        <f t="shared" si="7"/>
        <v>-1.9923353686406822E-2</v>
      </c>
      <c r="BW28" s="28">
        <f t="shared" si="8"/>
        <v>-1.3586672519383319E-2</v>
      </c>
      <c r="BX28" s="28">
        <f t="shared" si="9"/>
        <v>-5.504856506731908E-3</v>
      </c>
      <c r="BY28" s="28">
        <f t="shared" si="10"/>
        <v>-0.13075833810370313</v>
      </c>
      <c r="BZ28" s="28">
        <f t="shared" si="11"/>
        <v>-0.37919501535876277</v>
      </c>
      <c r="CA28" s="28">
        <f t="shared" si="12"/>
        <v>7.4630926745086562E-2</v>
      </c>
      <c r="CB28" s="28">
        <f t="shared" si="13"/>
        <v>-0.11106026561913217</v>
      </c>
      <c r="CC28" s="28">
        <f t="shared" si="14"/>
        <v>-0.35941246304615798</v>
      </c>
      <c r="CD28" s="28">
        <f t="shared" si="15"/>
        <v>2.6609597572297167E-2</v>
      </c>
      <c r="CE28" s="28">
        <f t="shared" si="16"/>
        <v>0</v>
      </c>
      <c r="CF28" s="28">
        <f t="shared" si="17"/>
        <v>1.4613626162561762E-2</v>
      </c>
      <c r="CG28" s="28">
        <f t="shared" si="18"/>
        <v>0.38456363799444293</v>
      </c>
      <c r="CH28" s="28">
        <f t="shared" si="19"/>
        <v>0.36973180076628109</v>
      </c>
      <c r="CI28" s="28">
        <f t="shared" si="20"/>
        <v>0.44422919554434703</v>
      </c>
      <c r="CJ28" s="28">
        <f t="shared" si="21"/>
        <v>0.39649720262708943</v>
      </c>
      <c r="CK28" s="28">
        <f t="shared" si="22"/>
        <v>-1.1984107230108898E-2</v>
      </c>
      <c r="CL28" s="28">
        <f t="shared" si="23"/>
        <v>-2.520240682984248E-2</v>
      </c>
      <c r="CM28" s="28">
        <f t="shared" si="24"/>
        <v>7.023129506508366E-3</v>
      </c>
      <c r="CN28" s="28">
        <f t="shared" si="25"/>
        <v>-4.8063968772992779E-2</v>
      </c>
      <c r="CO28" s="28">
        <f t="shared" si="26"/>
        <v>-7.1120491878493383E-2</v>
      </c>
      <c r="CP28" s="28">
        <f t="shared" si="27"/>
        <v>-6.0420932496393812E-2</v>
      </c>
      <c r="CU28" s="21">
        <v>27</v>
      </c>
      <c r="CV28" s="29">
        <f t="shared" si="31"/>
        <v>-0.48766946955772783</v>
      </c>
      <c r="CW28" s="29">
        <f t="shared" si="32"/>
        <v>-0.93910121053793638</v>
      </c>
      <c r="CX28" s="29">
        <f t="shared" si="33"/>
        <v>-0.55650532945770648</v>
      </c>
      <c r="CY28" s="29">
        <f t="shared" si="34"/>
        <v>-0.38900469820366179</v>
      </c>
      <c r="CZ28" s="29">
        <f t="shared" si="35"/>
        <v>-0.33469522449893779</v>
      </c>
      <c r="DA28" s="29">
        <f t="shared" si="36"/>
        <v>0.55318802914752918</v>
      </c>
      <c r="DB28" s="29">
        <f t="shared" si="37"/>
        <v>2.5817300768434297</v>
      </c>
      <c r="DC28" s="29">
        <f t="shared" si="38"/>
        <v>-0.4531445805648312</v>
      </c>
      <c r="DF28" s="30">
        <v>27</v>
      </c>
      <c r="DG28" s="31">
        <f t="shared" si="60"/>
        <v>-4.8063968772992779E-2</v>
      </c>
      <c r="DH28" s="31">
        <f t="shared" si="39"/>
        <v>6.635039644361144E-3</v>
      </c>
      <c r="DI28" s="31">
        <f t="shared" si="40"/>
        <v>-7.1120491878493383E-2</v>
      </c>
      <c r="DJ28" s="31">
        <f t="shared" si="41"/>
        <v>-1.3586672519383319E-2</v>
      </c>
      <c r="DK28" s="31">
        <f t="shared" si="42"/>
        <v>-7.4630926745086562E-2</v>
      </c>
      <c r="DL28" s="31">
        <f t="shared" si="43"/>
        <v>-1.9923353686406822E-2</v>
      </c>
      <c r="DM28" s="31">
        <f t="shared" si="44"/>
        <v>-0.18597196812772393</v>
      </c>
      <c r="DN28" s="31">
        <f t="shared" si="45"/>
        <v>-0.13075833810370313</v>
      </c>
      <c r="DO28" s="31">
        <f t="shared" si="46"/>
        <v>-0.44422919554434703</v>
      </c>
      <c r="DP28" s="31">
        <f t="shared" si="47"/>
        <v>-0.37919501535876277</v>
      </c>
      <c r="DQ28" s="31">
        <f t="shared" si="48"/>
        <v>-6.0420932496393812E-2</v>
      </c>
      <c r="DR28" s="31">
        <f t="shared" si="49"/>
        <v>-5.504856506731908E-3</v>
      </c>
      <c r="DS28" s="49">
        <f t="shared" si="50"/>
        <v>-5.4663726972898993E-2</v>
      </c>
      <c r="DT28" s="49">
        <f t="shared" si="51"/>
        <v>5.4663726972898993E-2</v>
      </c>
      <c r="DX28">
        <v>27</v>
      </c>
      <c r="DY28" s="19">
        <f t="shared" si="52"/>
        <v>0.45143174098020855</v>
      </c>
      <c r="EM28" s="21">
        <v>27</v>
      </c>
      <c r="EN28" s="16">
        <f t="shared" si="53"/>
        <v>-0.48766946955772783</v>
      </c>
      <c r="EO28" s="16">
        <f t="shared" si="28"/>
        <v>-0.93910121053793638</v>
      </c>
      <c r="EP28" s="16">
        <f t="shared" si="54"/>
        <v>-0.55650532945770648</v>
      </c>
      <c r="EQ28" s="16">
        <f t="shared" si="55"/>
        <v>-0.38900469820366179</v>
      </c>
      <c r="ER28" s="16">
        <f t="shared" si="56"/>
        <v>-0.33469522449893779</v>
      </c>
      <c r="ES28" s="16">
        <f t="shared" si="57"/>
        <v>0.55318802914752918</v>
      </c>
      <c r="ET28" s="16">
        <f t="shared" si="58"/>
        <v>2.5817300768434297</v>
      </c>
      <c r="EU28" s="16">
        <f t="shared" si="59"/>
        <v>-0.4531445805648312</v>
      </c>
      <c r="FK28" s="20"/>
      <c r="FL28" s="20"/>
    </row>
    <row r="29" spans="1:168" ht="14.4" thickBot="1" x14ac:dyDescent="0.35">
      <c r="A29" s="37" t="s">
        <v>51</v>
      </c>
      <c r="B29" s="38">
        <v>27</v>
      </c>
      <c r="C29" s="34">
        <f>RTD("fxbluelabs.excelrtd", , "21422436","@bh,AUDUSD,h4,close,27")</f>
        <v>0.66139000000000003</v>
      </c>
      <c r="D29" s="34">
        <f>RTD("fxbluelabs.excelrtd", , "21422436","@bh,AUDNZD,h4,close,27")</f>
        <v>1.10439</v>
      </c>
      <c r="E29" s="35">
        <f>RTD("fxbluelabs.excelrtd", , "21422436","@bh,AUDJPY,h4,close,27")</f>
        <v>98.515000000000001</v>
      </c>
      <c r="F29" s="34">
        <f>RTD("fxbluelabs.excelrtd", , "21422436","@bh,AUDCHF,h4,close,27")</f>
        <v>0.57655999999999996</v>
      </c>
      <c r="G29" s="34">
        <f>RTD("fxbluelabs.excelrtd", , "21422436","@bh,AUDCAD,h4,close,27")</f>
        <v>0.90815999999999997</v>
      </c>
      <c r="H29" s="34">
        <f>RTD("fxbluelabs.excelrtd", , "21422436","@bh,EURUSD,h4,close,27")</f>
        <v>1.09762</v>
      </c>
      <c r="I29" s="34">
        <f>RTD("fxbluelabs.excelrtd", , "21422436","@bh,EURCAD,h4,close,27")</f>
        <v>1.50715</v>
      </c>
      <c r="J29" s="34">
        <f>RTD("fxbluelabs.excelrtd", , "21422436","@bh,EURGBP,h4,close,27")</f>
        <v>0.85326999999999997</v>
      </c>
      <c r="K29" s="34">
        <f>RTD("fxbluelabs.excelrtd", , "21422436","@bh,EURCHF,h4,close,27")</f>
        <v>0.95682</v>
      </c>
      <c r="L29" s="35">
        <f>RTD("fxbluelabs.excelrtd", , "21422436","@bh,EURJPY,h4,close,27")</f>
        <v>163.49199999999999</v>
      </c>
      <c r="M29" s="34">
        <f>RTD("fxbluelabs.excelrtd", , "21422436","@bh,EURAUD,h4,close,27")</f>
        <v>1.6595500000000001</v>
      </c>
      <c r="N29" s="34">
        <f>RTD("fxbluelabs.excelrtd", , "21422436","@bh,EURNZD,h4,close,27")</f>
        <v>1.83283</v>
      </c>
      <c r="O29" s="34">
        <f>RTD("fxbluelabs.excelrtd", , "21422436","@bh,GBPUSD,h4,close,27")</f>
        <v>1.28633</v>
      </c>
      <c r="P29" s="34">
        <f>RTD("fxbluelabs.excelrtd", , "21422436","@bh,GBPAUD,h4,close,27")</f>
        <v>1.94489</v>
      </c>
      <c r="Q29" s="34">
        <f>RTD("fxbluelabs.excelrtd", , "21422436","@bh,GBPNZD,h4,close,27")</f>
        <v>2.1479499999999998</v>
      </c>
      <c r="R29" s="34">
        <f>RTD("fxbluelabs.excelrtd", , "21422436","@bh,GBPCAD,h4,close,27")</f>
        <v>1.7662800000000001</v>
      </c>
      <c r="S29" s="34">
        <f>RTD("fxbluelabs.excelrtd", , "21422436","@bh,GBPCHF,h4,close,27")</f>
        <v>1.1213599999999999</v>
      </c>
      <c r="T29" s="35">
        <f>RTD("fxbluelabs.excelrtd", , "21422436","@bh,GBPJPY,h4,close,27")</f>
        <v>191.602</v>
      </c>
      <c r="U29" s="35">
        <f>RTD("fxbluelabs.excelrtd", , "21422436","@bh,NZDJPY,h4,close,27")</f>
        <v>89.191999999999993</v>
      </c>
      <c r="V29" s="34">
        <f>RTD("fxbluelabs.excelrtd", , "21422436","@bh,NZDCHF,h4,close,27")</f>
        <v>0.52200000000000002</v>
      </c>
      <c r="W29" s="34">
        <f>RTD("fxbluelabs.excelrtd", , "21422436","@bh,NZDUSD,h4,close,27")</f>
        <v>0.59879000000000004</v>
      </c>
      <c r="X29" s="34">
        <f>RTD("fxbluelabs.excelrtd", , "21422436","@bh,NZDCAD,h4,close,27")</f>
        <v>0.82220000000000004</v>
      </c>
      <c r="Y29" s="35">
        <f>RTD("fxbluelabs.excelrtd", , "21422436","@bh,CADJPY,h4,close,27")</f>
        <v>108.477</v>
      </c>
      <c r="Z29" s="34">
        <f>RTD("fxbluelabs.excelrtd", , "21422436","@bh,CADCHF,h4,close,27")</f>
        <v>0.63485999999999998</v>
      </c>
      <c r="AA29" s="35">
        <f>RTD("fxbluelabs.excelrtd", , "21422436","@bh,CHFJPY,h4,close,27")</f>
        <v>170.864</v>
      </c>
      <c r="AB29" s="34">
        <f>RTD("fxbluelabs.excelrtd", , "21422436","@bh,USDCAD,h4,close,27")</f>
        <v>1.37317</v>
      </c>
      <c r="AC29" s="34">
        <f>RTD("fxbluelabs.excelrtd", , "21422436","@bh,USDCHF,h4,close,27")</f>
        <v>0.87175999999999998</v>
      </c>
      <c r="AD29" s="35">
        <f>RTD("fxbluelabs.excelrtd", , "21422436","@bh,USDJPY,h4,close,27")</f>
        <v>148.95500000000001</v>
      </c>
      <c r="AH29" s="21">
        <v>28</v>
      </c>
      <c r="AI29" s="22">
        <f>0</f>
        <v>0</v>
      </c>
      <c r="AJ29" s="22">
        <f>0</f>
        <v>0</v>
      </c>
      <c r="AK29" s="22">
        <f>0</f>
        <v>0</v>
      </c>
      <c r="AL29" s="22">
        <f>0</f>
        <v>0</v>
      </c>
      <c r="AM29" s="22">
        <f>0</f>
        <v>0</v>
      </c>
      <c r="AN29" s="22">
        <f>0</f>
        <v>0</v>
      </c>
      <c r="AO29" s="22">
        <f>0</f>
        <v>0</v>
      </c>
      <c r="AP29" s="22">
        <f>0</f>
        <v>0</v>
      </c>
      <c r="AQ29" s="22">
        <f>0</f>
        <v>0</v>
      </c>
      <c r="AR29" s="22">
        <f>0</f>
        <v>0</v>
      </c>
      <c r="AS29" s="22">
        <f>0</f>
        <v>0</v>
      </c>
      <c r="AT29" s="22">
        <f>0</f>
        <v>0</v>
      </c>
      <c r="AU29" s="22">
        <f>0</f>
        <v>0</v>
      </c>
      <c r="AV29" s="22">
        <f>0</f>
        <v>0</v>
      </c>
      <c r="AW29" s="22">
        <f>0</f>
        <v>0</v>
      </c>
      <c r="AX29" s="22">
        <f>0</f>
        <v>0</v>
      </c>
      <c r="AY29" s="22">
        <f>0</f>
        <v>0</v>
      </c>
      <c r="AZ29" s="22">
        <f>0</f>
        <v>0</v>
      </c>
      <c r="BA29" s="22">
        <f>0</f>
        <v>0</v>
      </c>
      <c r="BB29" s="22">
        <f>0</f>
        <v>0</v>
      </c>
      <c r="BC29" s="22">
        <f>0</f>
        <v>0</v>
      </c>
      <c r="BD29" s="22">
        <f>0</f>
        <v>0</v>
      </c>
      <c r="BE29" s="22">
        <f>0</f>
        <v>0</v>
      </c>
      <c r="BF29" s="22">
        <f>0</f>
        <v>0</v>
      </c>
      <c r="BG29" s="22">
        <f>0</f>
        <v>0</v>
      </c>
      <c r="BH29" s="22">
        <f>0</f>
        <v>0</v>
      </c>
      <c r="BI29" s="22">
        <f>0</f>
        <v>0</v>
      </c>
      <c r="BJ29" s="22">
        <f>0</f>
        <v>0</v>
      </c>
      <c r="BN29">
        <v>28</v>
      </c>
      <c r="BO29" s="23">
        <f t="shared" ref="BO29:BO37" si="63">AI29+SUM(AI30:AI130)</f>
        <v>0</v>
      </c>
      <c r="BP29" s="23">
        <f t="shared" ref="BP29:BP37" si="64">AJ29+SUM(AJ30:AJ130)</f>
        <v>0</v>
      </c>
      <c r="BQ29" s="23">
        <f t="shared" ref="BQ29:BQ37" si="65">AK29+SUM(AK30:AK130)</f>
        <v>0</v>
      </c>
      <c r="BR29" s="23">
        <f t="shared" ref="BR29:BR37" si="66">AL29+SUM(AL30:AL130)</f>
        <v>0</v>
      </c>
      <c r="BS29" s="23">
        <f t="shared" ref="BS29:BS37" si="67">AM29+SUM(AM30:AM130)</f>
        <v>0</v>
      </c>
      <c r="BT29" s="23">
        <f t="shared" ref="BT29:BT37" si="68">AN29+SUM(AN30:AN130)</f>
        <v>0</v>
      </c>
      <c r="BU29" s="23">
        <f t="shared" ref="BU29:BU37" si="69">AO29+SUM(AO30:AO130)</f>
        <v>0</v>
      </c>
      <c r="BV29" s="23">
        <f t="shared" ref="BV29:BV37" si="70">AP29+SUM(AP30:AP130)</f>
        <v>0</v>
      </c>
      <c r="BW29" s="23">
        <f t="shared" ref="BW29:BW37" si="71">AQ29+SUM(AQ30:AQ130)</f>
        <v>0</v>
      </c>
      <c r="BX29" s="23">
        <f t="shared" ref="BX29:BX37" si="72">AR29+SUM(AR30:AR130)</f>
        <v>0</v>
      </c>
      <c r="BY29" s="23">
        <f t="shared" ref="BY29:BY37" si="73">AS29+SUM(AS30:AS130)</f>
        <v>0</v>
      </c>
      <c r="BZ29" s="23">
        <f t="shared" ref="BZ29:BZ37" si="74">AT29+SUM(AT30:AT130)</f>
        <v>0</v>
      </c>
      <c r="CA29" s="23">
        <f t="shared" ref="CA29:CA37" si="75">AU29+SUM(AU30:AU130)</f>
        <v>0</v>
      </c>
      <c r="CB29" s="23">
        <f t="shared" ref="CB29:CB37" si="76">AV29+SUM(AV30:AV130)</f>
        <v>0</v>
      </c>
      <c r="CC29" s="23">
        <f t="shared" ref="CC29:CC37" si="77">AW29+SUM(AW30:AW130)</f>
        <v>0</v>
      </c>
      <c r="CD29" s="23">
        <f t="shared" ref="CD29:CD37" si="78">AX29+SUM(AX30:AX130)</f>
        <v>0</v>
      </c>
      <c r="CE29" s="23">
        <f t="shared" ref="CE29:CE37" si="79">AY29+SUM(AY30:AY130)</f>
        <v>0</v>
      </c>
      <c r="CF29" s="23">
        <f t="shared" ref="CF29:CF37" si="80">AZ29+SUM(AZ30:AZ130)</f>
        <v>0</v>
      </c>
      <c r="CG29" s="23">
        <f t="shared" ref="CG29:CG37" si="81">BA29+SUM(BA30:BA130)</f>
        <v>0</v>
      </c>
      <c r="CH29" s="23">
        <f t="shared" ref="CH29:CH37" si="82">BB29+SUM(BB30:BB130)</f>
        <v>0</v>
      </c>
      <c r="CI29" s="23">
        <f t="shared" ref="CI29:CI37" si="83">BC29+SUM(BC30:BC130)</f>
        <v>0</v>
      </c>
      <c r="CJ29" s="23">
        <f t="shared" ref="CJ29:CJ37" si="84">BD29+SUM(BD30:BD130)</f>
        <v>0</v>
      </c>
      <c r="CK29" s="23">
        <f t="shared" ref="CK29:CK37" si="85">BE29+SUM(BE30:BE130)</f>
        <v>0</v>
      </c>
      <c r="CL29" s="23">
        <f t="shared" ref="CL29:CL37" si="86">BF29+SUM(BF30:BF130)</f>
        <v>0</v>
      </c>
      <c r="CM29" s="23">
        <f t="shared" ref="CM29:CM37" si="87">BG29+SUM(BG30:BG130)</f>
        <v>0</v>
      </c>
      <c r="CN29" s="23">
        <f t="shared" ref="CN29:CN37" si="88">BH29+SUM(BH30:BH130)</f>
        <v>0</v>
      </c>
      <c r="CO29" s="23">
        <f t="shared" ref="CO29:CO37" si="89">BI29+SUM(BI30:BI130)</f>
        <v>0</v>
      </c>
      <c r="CP29" s="23">
        <f t="shared" ref="CP29:CP37" si="90">BJ29+SUM(BJ30:BJ130)</f>
        <v>0</v>
      </c>
      <c r="CU29" s="21">
        <v>28</v>
      </c>
      <c r="CV29" s="24">
        <f t="shared" ref="CV29:CV37" si="91">BT29+BU29+BV29+BW29+BX29+BY29+BZ29</f>
        <v>0</v>
      </c>
      <c r="CW29" s="24">
        <f t="shared" ref="CW29:CW37" si="92">CN29+CO29+CP29-CI29-CA29-BT29-BO29</f>
        <v>0</v>
      </c>
      <c r="CX29" s="24">
        <f t="shared" ref="CX29:CX37" si="93">CK29+CL29-CN29-CJ29-CD29-BU29-BS29</f>
        <v>0</v>
      </c>
      <c r="CY29" s="24">
        <f t="shared" ref="CY29:CY37" si="94">CM29-CO29-CH29-CE29-BW29-BR29</f>
        <v>0</v>
      </c>
      <c r="CZ29" s="24">
        <f t="shared" ref="CZ29:CZ37" si="95">CA29+CB29+CC29+CD29+CE29+CF29-BV29</f>
        <v>0</v>
      </c>
      <c r="DA29" s="24">
        <f t="shared" ref="DA29:DA37" si="96">BO29+BP29+BQ29+BR29+BS29-BY29-CB29</f>
        <v>0</v>
      </c>
      <c r="DB29" s="24">
        <f t="shared" ref="DB29:DB37" si="97">CG29+CH29+CI29+CJ29-CC29-BZ29-BP29</f>
        <v>0</v>
      </c>
      <c r="DC29" s="24">
        <f t="shared" ref="DC29:DC37" si="98">-BQ29-BX29-CF29-CG29-CK29-CM29-CP29</f>
        <v>0</v>
      </c>
      <c r="DF29" s="17">
        <v>28</v>
      </c>
      <c r="DG29" s="26">
        <f t="shared" ref="DG29:DG37" si="99">CN29</f>
        <v>0</v>
      </c>
      <c r="DH29" s="26">
        <f t="shared" ref="DH29:DH37" si="100">BU29</f>
        <v>0</v>
      </c>
      <c r="DI29" s="26">
        <f t="shared" ref="DI29:DI37" si="101">CO29</f>
        <v>0</v>
      </c>
      <c r="DJ29" s="26">
        <f t="shared" ref="DJ29:DJ37" si="102">BW29</f>
        <v>0</v>
      </c>
      <c r="DK29" s="26">
        <f t="shared" ref="DK29:DK37" si="103">-(CA29)</f>
        <v>0</v>
      </c>
      <c r="DL29" s="26">
        <f t="shared" ref="DL29:DL37" si="104">BV29</f>
        <v>0</v>
      </c>
      <c r="DM29" s="26">
        <f t="shared" ref="DM29:DM37" si="105">-(BO29)</f>
        <v>0</v>
      </c>
      <c r="DN29" s="26">
        <f t="shared" ref="DN29:DN37" si="106">BY29</f>
        <v>0</v>
      </c>
      <c r="DO29" s="26">
        <f t="shared" ref="DO29:DO37" si="107">-(CI29)</f>
        <v>0</v>
      </c>
      <c r="DP29" s="26">
        <f t="shared" ref="DP29:DP37" si="108">BZ29</f>
        <v>0</v>
      </c>
      <c r="DQ29" s="26">
        <f t="shared" ref="DQ29:DQ37" si="109">CP29</f>
        <v>0</v>
      </c>
      <c r="DR29" s="26">
        <f t="shared" ref="DR29:DR37" si="110">BX29</f>
        <v>0</v>
      </c>
      <c r="DS29" s="47">
        <f t="shared" ref="DS29:DS37" si="111">-(BT29)</f>
        <v>0</v>
      </c>
      <c r="DT29" s="47">
        <f t="shared" ref="DT29:DT37" si="112">BT29</f>
        <v>0</v>
      </c>
      <c r="DX29">
        <v>28</v>
      </c>
      <c r="DY29" s="19">
        <f t="shared" ref="DY29:DY37" si="113">SUM(IF($EB$2="Buy", EN29, IF($EB$2="Sell", -EN29, 0)),
     IF($EC$2="Buy", EO29, IF($EC$2="Sell", -EO29, 0)),
     IF($ED$2="Buy", EP29, IF($ED$2="Sell", -EP29, 0)),
     IF($EE$2="Buy", EQ29, IF($EE$2="Sell", -EQ29, 0)),
     IF($EF$2="Buy", ER29, IF($EF$2="Sell", -ER29, 0)),
     IF($EG$2="Buy", ES29, IF($EG$2="Sell", -ES29, 0)),
     IF($EH$2="Buy", ET29, IF($EH$2="Sell", -ET29, 0)),
     IF($EI$2="Buy", EU29, IF($EI$2="Sell", -EU29, 0)))</f>
        <v>0</v>
      </c>
      <c r="EM29" s="21">
        <v>28</v>
      </c>
      <c r="EN29" s="16">
        <f t="shared" ref="EN29:EN37" si="114">BT29+BU29+BV29+BW29+BX29+BY29+BZ29</f>
        <v>0</v>
      </c>
      <c r="EO29" s="16">
        <f t="shared" ref="EO29:EO37" si="115">CN29+CO29+CP29-CI29-CA29-BT29-BO29</f>
        <v>0</v>
      </c>
      <c r="EP29" s="16">
        <f t="shared" ref="EP29:EP37" si="116">CK29+CL29-CN29-CJ29-CD29-BU29-BS29</f>
        <v>0</v>
      </c>
      <c r="EQ29" s="16">
        <f t="shared" ref="EQ29:EQ37" si="117">CM29-CO29-CH29-CE29-BW29-BR29</f>
        <v>0</v>
      </c>
      <c r="ER29" s="16">
        <f t="shared" ref="ER29:ER37" si="118">CA29+CB29+CC29+CD29+CE29+CF29-BV29</f>
        <v>0</v>
      </c>
      <c r="ES29" s="16">
        <f t="shared" ref="ES29:ES37" si="119">BO29+BP29+BQ29+BR29+BS29-BY29-CB29</f>
        <v>0</v>
      </c>
      <c r="ET29" s="16">
        <f t="shared" ref="ET29:ET37" si="120">CG29+CH29+CI29+CJ29-CC29-BZ29-BP29</f>
        <v>0</v>
      </c>
      <c r="EU29" s="16">
        <f t="shared" ref="EU29:EU37" si="121">-BQ29-BX29-CF29-CG29-CK29-CM29-CP29</f>
        <v>0</v>
      </c>
      <c r="FK29" s="20"/>
      <c r="FL29" s="20"/>
    </row>
    <row r="30" spans="1:168" ht="14.4" thickBot="1" x14ac:dyDescent="0.35"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H30" s="13">
        <v>29</v>
      </c>
      <c r="AI30" s="27">
        <f t="shared" ref="AI30:AR36" si="122">IF(C30=0,0,(C30-C31)*100/C31)</f>
        <v>0</v>
      </c>
      <c r="AJ30" s="27">
        <f t="shared" si="122"/>
        <v>0</v>
      </c>
      <c r="AK30" s="27">
        <f t="shared" si="122"/>
        <v>0</v>
      </c>
      <c r="AL30" s="27">
        <f t="shared" si="122"/>
        <v>0</v>
      </c>
      <c r="AM30" s="27">
        <f t="shared" si="122"/>
        <v>0</v>
      </c>
      <c r="AN30" s="27">
        <f t="shared" si="122"/>
        <v>0</v>
      </c>
      <c r="AO30" s="27">
        <f t="shared" si="122"/>
        <v>0</v>
      </c>
      <c r="AP30" s="27">
        <f t="shared" si="122"/>
        <v>0</v>
      </c>
      <c r="AQ30" s="27">
        <f t="shared" si="122"/>
        <v>0</v>
      </c>
      <c r="AR30" s="27">
        <f t="shared" si="122"/>
        <v>0</v>
      </c>
      <c r="AS30" s="27">
        <f t="shared" ref="AS30:BB36" si="123">IF(M30=0,0,(M30-M31)*100/M31)</f>
        <v>0</v>
      </c>
      <c r="AT30" s="27">
        <f t="shared" si="123"/>
        <v>0</v>
      </c>
      <c r="AU30" s="27">
        <f t="shared" si="123"/>
        <v>0</v>
      </c>
      <c r="AV30" s="27">
        <f t="shared" si="123"/>
        <v>0</v>
      </c>
      <c r="AW30" s="27">
        <f t="shared" si="123"/>
        <v>0</v>
      </c>
      <c r="AX30" s="27">
        <f t="shared" si="123"/>
        <v>0</v>
      </c>
      <c r="AY30" s="27">
        <f t="shared" si="123"/>
        <v>0</v>
      </c>
      <c r="AZ30" s="27">
        <f t="shared" si="123"/>
        <v>0</v>
      </c>
      <c r="BA30" s="27">
        <f t="shared" si="123"/>
        <v>0</v>
      </c>
      <c r="BB30" s="27">
        <f t="shared" si="123"/>
        <v>0</v>
      </c>
      <c r="BC30" s="27">
        <f t="shared" ref="BC30:BJ36" si="124">IF(W30=0,0,(W30-W31)*100/W31)</f>
        <v>0</v>
      </c>
      <c r="BD30" s="27">
        <f t="shared" si="124"/>
        <v>0</v>
      </c>
      <c r="BE30" s="27">
        <f t="shared" si="124"/>
        <v>0</v>
      </c>
      <c r="BF30" s="27">
        <f t="shared" si="124"/>
        <v>0</v>
      </c>
      <c r="BG30" s="27">
        <f t="shared" si="124"/>
        <v>0</v>
      </c>
      <c r="BH30" s="27">
        <f t="shared" si="124"/>
        <v>0</v>
      </c>
      <c r="BI30" s="27">
        <f t="shared" si="124"/>
        <v>0</v>
      </c>
      <c r="BJ30" s="27">
        <f t="shared" si="124"/>
        <v>0</v>
      </c>
      <c r="BN30">
        <v>29</v>
      </c>
      <c r="BO30" s="28">
        <f t="shared" si="63"/>
        <v>0</v>
      </c>
      <c r="BP30" s="28">
        <f t="shared" si="64"/>
        <v>0</v>
      </c>
      <c r="BQ30" s="28">
        <f t="shared" si="65"/>
        <v>0</v>
      </c>
      <c r="BR30" s="28">
        <f t="shared" si="66"/>
        <v>0</v>
      </c>
      <c r="BS30" s="28">
        <f t="shared" si="67"/>
        <v>0</v>
      </c>
      <c r="BT30" s="28">
        <f t="shared" si="68"/>
        <v>0</v>
      </c>
      <c r="BU30" s="28">
        <f t="shared" si="69"/>
        <v>0</v>
      </c>
      <c r="BV30" s="28">
        <f t="shared" si="70"/>
        <v>0</v>
      </c>
      <c r="BW30" s="28">
        <f t="shared" si="71"/>
        <v>0</v>
      </c>
      <c r="BX30" s="28">
        <f t="shared" si="72"/>
        <v>0</v>
      </c>
      <c r="BY30" s="28">
        <f t="shared" si="73"/>
        <v>0</v>
      </c>
      <c r="BZ30" s="28">
        <f t="shared" si="74"/>
        <v>0</v>
      </c>
      <c r="CA30" s="28">
        <f t="shared" si="75"/>
        <v>0</v>
      </c>
      <c r="CB30" s="28">
        <f t="shared" si="76"/>
        <v>0</v>
      </c>
      <c r="CC30" s="28">
        <f t="shared" si="77"/>
        <v>0</v>
      </c>
      <c r="CD30" s="28">
        <f t="shared" si="78"/>
        <v>0</v>
      </c>
      <c r="CE30" s="28">
        <f t="shared" si="79"/>
        <v>0</v>
      </c>
      <c r="CF30" s="28">
        <f t="shared" si="80"/>
        <v>0</v>
      </c>
      <c r="CG30" s="28">
        <f t="shared" si="81"/>
        <v>0</v>
      </c>
      <c r="CH30" s="28">
        <f t="shared" si="82"/>
        <v>0</v>
      </c>
      <c r="CI30" s="28">
        <f t="shared" si="83"/>
        <v>0</v>
      </c>
      <c r="CJ30" s="28">
        <f t="shared" si="84"/>
        <v>0</v>
      </c>
      <c r="CK30" s="28">
        <f t="shared" si="85"/>
        <v>0</v>
      </c>
      <c r="CL30" s="28">
        <f t="shared" si="86"/>
        <v>0</v>
      </c>
      <c r="CM30" s="28">
        <f t="shared" si="87"/>
        <v>0</v>
      </c>
      <c r="CN30" s="28">
        <f t="shared" si="88"/>
        <v>0</v>
      </c>
      <c r="CO30" s="28">
        <f t="shared" si="89"/>
        <v>0</v>
      </c>
      <c r="CP30" s="28">
        <f t="shared" si="90"/>
        <v>0</v>
      </c>
      <c r="CU30" s="21">
        <v>29</v>
      </c>
      <c r="CV30" s="29">
        <f t="shared" si="91"/>
        <v>0</v>
      </c>
      <c r="CW30" s="29">
        <f t="shared" si="92"/>
        <v>0</v>
      </c>
      <c r="CX30" s="29">
        <f t="shared" si="93"/>
        <v>0</v>
      </c>
      <c r="CY30" s="29">
        <f t="shared" si="94"/>
        <v>0</v>
      </c>
      <c r="CZ30" s="29">
        <f t="shared" si="95"/>
        <v>0</v>
      </c>
      <c r="DA30" s="29">
        <f t="shared" si="96"/>
        <v>0</v>
      </c>
      <c r="DB30" s="29">
        <f t="shared" si="97"/>
        <v>0</v>
      </c>
      <c r="DC30" s="29">
        <f t="shared" si="98"/>
        <v>0</v>
      </c>
      <c r="DF30" s="25">
        <v>29</v>
      </c>
      <c r="DG30" s="31">
        <f t="shared" si="99"/>
        <v>0</v>
      </c>
      <c r="DH30" s="31">
        <f t="shared" si="100"/>
        <v>0</v>
      </c>
      <c r="DI30" s="31">
        <f t="shared" si="101"/>
        <v>0</v>
      </c>
      <c r="DJ30" s="31">
        <f t="shared" si="102"/>
        <v>0</v>
      </c>
      <c r="DK30" s="31">
        <f t="shared" si="103"/>
        <v>0</v>
      </c>
      <c r="DL30" s="31">
        <f t="shared" si="104"/>
        <v>0</v>
      </c>
      <c r="DM30" s="31">
        <f t="shared" si="105"/>
        <v>0</v>
      </c>
      <c r="DN30" s="31">
        <f t="shared" si="106"/>
        <v>0</v>
      </c>
      <c r="DO30" s="31">
        <f t="shared" si="107"/>
        <v>0</v>
      </c>
      <c r="DP30" s="31">
        <f t="shared" si="108"/>
        <v>0</v>
      </c>
      <c r="DQ30" s="31">
        <f t="shared" si="109"/>
        <v>0</v>
      </c>
      <c r="DR30" s="31">
        <f t="shared" si="110"/>
        <v>0</v>
      </c>
      <c r="DS30" s="49">
        <f t="shared" si="111"/>
        <v>0</v>
      </c>
      <c r="DT30" s="49">
        <f t="shared" si="112"/>
        <v>0</v>
      </c>
      <c r="DX30">
        <v>29</v>
      </c>
      <c r="DY30" s="19">
        <f t="shared" si="113"/>
        <v>0</v>
      </c>
      <c r="EM30" s="21">
        <v>29</v>
      </c>
      <c r="EN30" s="16">
        <f t="shared" si="114"/>
        <v>0</v>
      </c>
      <c r="EO30" s="16">
        <f t="shared" si="115"/>
        <v>0</v>
      </c>
      <c r="EP30" s="16">
        <f t="shared" si="116"/>
        <v>0</v>
      </c>
      <c r="EQ30" s="16">
        <f t="shared" si="117"/>
        <v>0</v>
      </c>
      <c r="ER30" s="16">
        <f t="shared" si="118"/>
        <v>0</v>
      </c>
      <c r="ES30" s="16">
        <f t="shared" si="119"/>
        <v>0</v>
      </c>
      <c r="ET30" s="16">
        <f t="shared" si="120"/>
        <v>0</v>
      </c>
      <c r="EU30" s="16">
        <f t="shared" si="121"/>
        <v>0</v>
      </c>
      <c r="FK30" s="20"/>
      <c r="FL30" s="20"/>
    </row>
    <row r="31" spans="1:168" ht="14.4" thickBot="1" x14ac:dyDescent="0.35"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H31" s="21">
        <v>30</v>
      </c>
      <c r="AI31" s="22">
        <f t="shared" si="122"/>
        <v>0</v>
      </c>
      <c r="AJ31" s="22">
        <f t="shared" si="122"/>
        <v>0</v>
      </c>
      <c r="AK31" s="22">
        <f t="shared" si="122"/>
        <v>0</v>
      </c>
      <c r="AL31" s="22">
        <f t="shared" si="122"/>
        <v>0</v>
      </c>
      <c r="AM31" s="22">
        <f t="shared" si="122"/>
        <v>0</v>
      </c>
      <c r="AN31" s="22">
        <f t="shared" si="122"/>
        <v>0</v>
      </c>
      <c r="AO31" s="22">
        <f t="shared" si="122"/>
        <v>0</v>
      </c>
      <c r="AP31" s="22">
        <f t="shared" si="122"/>
        <v>0</v>
      </c>
      <c r="AQ31" s="22">
        <f t="shared" si="122"/>
        <v>0</v>
      </c>
      <c r="AR31" s="22">
        <f t="shared" si="122"/>
        <v>0</v>
      </c>
      <c r="AS31" s="22">
        <f t="shared" si="123"/>
        <v>0</v>
      </c>
      <c r="AT31" s="22">
        <f t="shared" si="123"/>
        <v>0</v>
      </c>
      <c r="AU31" s="22">
        <f t="shared" si="123"/>
        <v>0</v>
      </c>
      <c r="AV31" s="22">
        <f t="shared" si="123"/>
        <v>0</v>
      </c>
      <c r="AW31" s="22">
        <f t="shared" si="123"/>
        <v>0</v>
      </c>
      <c r="AX31" s="22">
        <f t="shared" si="123"/>
        <v>0</v>
      </c>
      <c r="AY31" s="22">
        <f t="shared" si="123"/>
        <v>0</v>
      </c>
      <c r="AZ31" s="22">
        <f t="shared" si="123"/>
        <v>0</v>
      </c>
      <c r="BA31" s="22">
        <f t="shared" si="123"/>
        <v>0</v>
      </c>
      <c r="BB31" s="22">
        <f t="shared" si="123"/>
        <v>0</v>
      </c>
      <c r="BC31" s="22">
        <f t="shared" si="124"/>
        <v>0</v>
      </c>
      <c r="BD31" s="22">
        <f t="shared" si="124"/>
        <v>0</v>
      </c>
      <c r="BE31" s="22">
        <f t="shared" si="124"/>
        <v>0</v>
      </c>
      <c r="BF31" s="22">
        <f t="shared" si="124"/>
        <v>0</v>
      </c>
      <c r="BG31" s="22">
        <f t="shared" si="124"/>
        <v>0</v>
      </c>
      <c r="BH31" s="22">
        <f t="shared" si="124"/>
        <v>0</v>
      </c>
      <c r="BI31" s="22">
        <f t="shared" si="124"/>
        <v>0</v>
      </c>
      <c r="BJ31" s="22">
        <f t="shared" si="124"/>
        <v>0</v>
      </c>
      <c r="BN31">
        <v>30</v>
      </c>
      <c r="BO31" s="23">
        <f t="shared" si="63"/>
        <v>0</v>
      </c>
      <c r="BP31" s="23">
        <f t="shared" si="64"/>
        <v>0</v>
      </c>
      <c r="BQ31" s="23">
        <f t="shared" si="65"/>
        <v>0</v>
      </c>
      <c r="BR31" s="23">
        <f t="shared" si="66"/>
        <v>0</v>
      </c>
      <c r="BS31" s="23">
        <f t="shared" si="67"/>
        <v>0</v>
      </c>
      <c r="BT31" s="23">
        <f t="shared" si="68"/>
        <v>0</v>
      </c>
      <c r="BU31" s="23">
        <f t="shared" si="69"/>
        <v>0</v>
      </c>
      <c r="BV31" s="23">
        <f t="shared" si="70"/>
        <v>0</v>
      </c>
      <c r="BW31" s="23">
        <f t="shared" si="71"/>
        <v>0</v>
      </c>
      <c r="BX31" s="23">
        <f t="shared" si="72"/>
        <v>0</v>
      </c>
      <c r="BY31" s="23">
        <f t="shared" si="73"/>
        <v>0</v>
      </c>
      <c r="BZ31" s="23">
        <f t="shared" si="74"/>
        <v>0</v>
      </c>
      <c r="CA31" s="23">
        <f t="shared" si="75"/>
        <v>0</v>
      </c>
      <c r="CB31" s="23">
        <f t="shared" si="76"/>
        <v>0</v>
      </c>
      <c r="CC31" s="23">
        <f t="shared" si="77"/>
        <v>0</v>
      </c>
      <c r="CD31" s="23">
        <f t="shared" si="78"/>
        <v>0</v>
      </c>
      <c r="CE31" s="23">
        <f t="shared" si="79"/>
        <v>0</v>
      </c>
      <c r="CF31" s="23">
        <f t="shared" si="80"/>
        <v>0</v>
      </c>
      <c r="CG31" s="23">
        <f t="shared" si="81"/>
        <v>0</v>
      </c>
      <c r="CH31" s="23">
        <f t="shared" si="82"/>
        <v>0</v>
      </c>
      <c r="CI31" s="23">
        <f t="shared" si="83"/>
        <v>0</v>
      </c>
      <c r="CJ31" s="23">
        <f t="shared" si="84"/>
        <v>0</v>
      </c>
      <c r="CK31" s="23">
        <f t="shared" si="85"/>
        <v>0</v>
      </c>
      <c r="CL31" s="23">
        <f t="shared" si="86"/>
        <v>0</v>
      </c>
      <c r="CM31" s="23">
        <f t="shared" si="87"/>
        <v>0</v>
      </c>
      <c r="CN31" s="23">
        <f t="shared" si="88"/>
        <v>0</v>
      </c>
      <c r="CO31" s="23">
        <f t="shared" si="89"/>
        <v>0</v>
      </c>
      <c r="CP31" s="23">
        <f t="shared" si="90"/>
        <v>0</v>
      </c>
      <c r="CU31" s="21">
        <v>30</v>
      </c>
      <c r="CV31" s="24">
        <f t="shared" si="91"/>
        <v>0</v>
      </c>
      <c r="CW31" s="24">
        <f t="shared" si="92"/>
        <v>0</v>
      </c>
      <c r="CX31" s="24">
        <f t="shared" si="93"/>
        <v>0</v>
      </c>
      <c r="CY31" s="24">
        <f t="shared" si="94"/>
        <v>0</v>
      </c>
      <c r="CZ31" s="24">
        <f t="shared" si="95"/>
        <v>0</v>
      </c>
      <c r="DA31" s="24">
        <f t="shared" si="96"/>
        <v>0</v>
      </c>
      <c r="DB31" s="24">
        <f t="shared" si="97"/>
        <v>0</v>
      </c>
      <c r="DC31" s="24">
        <f t="shared" si="98"/>
        <v>0</v>
      </c>
      <c r="DF31" s="30">
        <v>30</v>
      </c>
      <c r="DG31" s="26">
        <f t="shared" si="99"/>
        <v>0</v>
      </c>
      <c r="DH31" s="26">
        <f t="shared" si="100"/>
        <v>0</v>
      </c>
      <c r="DI31" s="26">
        <f t="shared" si="101"/>
        <v>0</v>
      </c>
      <c r="DJ31" s="26">
        <f t="shared" si="102"/>
        <v>0</v>
      </c>
      <c r="DK31" s="26">
        <f t="shared" si="103"/>
        <v>0</v>
      </c>
      <c r="DL31" s="26">
        <f t="shared" si="104"/>
        <v>0</v>
      </c>
      <c r="DM31" s="26">
        <f t="shared" si="105"/>
        <v>0</v>
      </c>
      <c r="DN31" s="26">
        <f t="shared" si="106"/>
        <v>0</v>
      </c>
      <c r="DO31" s="26">
        <f t="shared" si="107"/>
        <v>0</v>
      </c>
      <c r="DP31" s="26">
        <f t="shared" si="108"/>
        <v>0</v>
      </c>
      <c r="DQ31" s="26">
        <f t="shared" si="109"/>
        <v>0</v>
      </c>
      <c r="DR31" s="26">
        <f t="shared" si="110"/>
        <v>0</v>
      </c>
      <c r="DS31" s="47">
        <f t="shared" si="111"/>
        <v>0</v>
      </c>
      <c r="DT31" s="47">
        <f t="shared" si="112"/>
        <v>0</v>
      </c>
      <c r="DX31">
        <v>30</v>
      </c>
      <c r="DY31" s="19">
        <f t="shared" si="113"/>
        <v>0</v>
      </c>
      <c r="EM31" s="21">
        <v>30</v>
      </c>
      <c r="EN31" s="16">
        <f t="shared" si="114"/>
        <v>0</v>
      </c>
      <c r="EO31" s="16">
        <f t="shared" si="115"/>
        <v>0</v>
      </c>
      <c r="EP31" s="16">
        <f t="shared" si="116"/>
        <v>0</v>
      </c>
      <c r="EQ31" s="16">
        <f t="shared" si="117"/>
        <v>0</v>
      </c>
      <c r="ER31" s="16">
        <f t="shared" si="118"/>
        <v>0</v>
      </c>
      <c r="ES31" s="16">
        <f t="shared" si="119"/>
        <v>0</v>
      </c>
      <c r="ET31" s="16">
        <f t="shared" si="120"/>
        <v>0</v>
      </c>
      <c r="EU31" s="16">
        <f t="shared" si="121"/>
        <v>0</v>
      </c>
      <c r="FK31" s="20"/>
      <c r="FL31" s="20"/>
    </row>
    <row r="32" spans="1:168" ht="14.4" thickBot="1" x14ac:dyDescent="0.35"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H32" s="21">
        <v>31</v>
      </c>
      <c r="AI32" s="27">
        <f t="shared" si="122"/>
        <v>0</v>
      </c>
      <c r="AJ32" s="27">
        <f t="shared" si="122"/>
        <v>0</v>
      </c>
      <c r="AK32" s="27">
        <f t="shared" si="122"/>
        <v>0</v>
      </c>
      <c r="AL32" s="27">
        <f t="shared" si="122"/>
        <v>0</v>
      </c>
      <c r="AM32" s="27">
        <f t="shared" si="122"/>
        <v>0</v>
      </c>
      <c r="AN32" s="27">
        <f t="shared" si="122"/>
        <v>0</v>
      </c>
      <c r="AO32" s="27">
        <f t="shared" si="122"/>
        <v>0</v>
      </c>
      <c r="AP32" s="27">
        <f t="shared" si="122"/>
        <v>0</v>
      </c>
      <c r="AQ32" s="27">
        <f t="shared" si="122"/>
        <v>0</v>
      </c>
      <c r="AR32" s="27">
        <f t="shared" si="122"/>
        <v>0</v>
      </c>
      <c r="AS32" s="27">
        <f t="shared" si="123"/>
        <v>0</v>
      </c>
      <c r="AT32" s="27">
        <f t="shared" si="123"/>
        <v>0</v>
      </c>
      <c r="AU32" s="27">
        <f t="shared" si="123"/>
        <v>0</v>
      </c>
      <c r="AV32" s="27">
        <f t="shared" si="123"/>
        <v>0</v>
      </c>
      <c r="AW32" s="27">
        <f t="shared" si="123"/>
        <v>0</v>
      </c>
      <c r="AX32" s="27">
        <f t="shared" si="123"/>
        <v>0</v>
      </c>
      <c r="AY32" s="27">
        <f t="shared" si="123"/>
        <v>0</v>
      </c>
      <c r="AZ32" s="27">
        <f t="shared" si="123"/>
        <v>0</v>
      </c>
      <c r="BA32" s="27">
        <f t="shared" si="123"/>
        <v>0</v>
      </c>
      <c r="BB32" s="27">
        <f t="shared" si="123"/>
        <v>0</v>
      </c>
      <c r="BC32" s="27">
        <f t="shared" si="124"/>
        <v>0</v>
      </c>
      <c r="BD32" s="27">
        <f t="shared" si="124"/>
        <v>0</v>
      </c>
      <c r="BE32" s="27">
        <f t="shared" si="124"/>
        <v>0</v>
      </c>
      <c r="BF32" s="27">
        <f t="shared" si="124"/>
        <v>0</v>
      </c>
      <c r="BG32" s="27">
        <f t="shared" si="124"/>
        <v>0</v>
      </c>
      <c r="BH32" s="27">
        <f t="shared" si="124"/>
        <v>0</v>
      </c>
      <c r="BI32" s="27">
        <f t="shared" si="124"/>
        <v>0</v>
      </c>
      <c r="BJ32" s="27">
        <f t="shared" si="124"/>
        <v>0</v>
      </c>
      <c r="BN32">
        <v>31</v>
      </c>
      <c r="BO32" s="28">
        <f t="shared" si="63"/>
        <v>0</v>
      </c>
      <c r="BP32" s="28">
        <f t="shared" si="64"/>
        <v>0</v>
      </c>
      <c r="BQ32" s="28">
        <f t="shared" si="65"/>
        <v>0</v>
      </c>
      <c r="BR32" s="28">
        <f t="shared" si="66"/>
        <v>0</v>
      </c>
      <c r="BS32" s="28">
        <f t="shared" si="67"/>
        <v>0</v>
      </c>
      <c r="BT32" s="28">
        <f t="shared" si="68"/>
        <v>0</v>
      </c>
      <c r="BU32" s="28">
        <f t="shared" si="69"/>
        <v>0</v>
      </c>
      <c r="BV32" s="28">
        <f t="shared" si="70"/>
        <v>0</v>
      </c>
      <c r="BW32" s="28">
        <f t="shared" si="71"/>
        <v>0</v>
      </c>
      <c r="BX32" s="28">
        <f t="shared" si="72"/>
        <v>0</v>
      </c>
      <c r="BY32" s="28">
        <f t="shared" si="73"/>
        <v>0</v>
      </c>
      <c r="BZ32" s="28">
        <f t="shared" si="74"/>
        <v>0</v>
      </c>
      <c r="CA32" s="28">
        <f t="shared" si="75"/>
        <v>0</v>
      </c>
      <c r="CB32" s="28">
        <f t="shared" si="76"/>
        <v>0</v>
      </c>
      <c r="CC32" s="28">
        <f t="shared" si="77"/>
        <v>0</v>
      </c>
      <c r="CD32" s="28">
        <f t="shared" si="78"/>
        <v>0</v>
      </c>
      <c r="CE32" s="28">
        <f t="shared" si="79"/>
        <v>0</v>
      </c>
      <c r="CF32" s="28">
        <f t="shared" si="80"/>
        <v>0</v>
      </c>
      <c r="CG32" s="28">
        <f t="shared" si="81"/>
        <v>0</v>
      </c>
      <c r="CH32" s="28">
        <f t="shared" si="82"/>
        <v>0</v>
      </c>
      <c r="CI32" s="28">
        <f t="shared" si="83"/>
        <v>0</v>
      </c>
      <c r="CJ32" s="28">
        <f t="shared" si="84"/>
        <v>0</v>
      </c>
      <c r="CK32" s="28">
        <f t="shared" si="85"/>
        <v>0</v>
      </c>
      <c r="CL32" s="28">
        <f t="shared" si="86"/>
        <v>0</v>
      </c>
      <c r="CM32" s="28">
        <f t="shared" si="87"/>
        <v>0</v>
      </c>
      <c r="CN32" s="28">
        <f t="shared" si="88"/>
        <v>0</v>
      </c>
      <c r="CO32" s="28">
        <f t="shared" si="89"/>
        <v>0</v>
      </c>
      <c r="CP32" s="28">
        <f t="shared" si="90"/>
        <v>0</v>
      </c>
      <c r="CU32" s="13">
        <v>31</v>
      </c>
      <c r="CV32" s="29">
        <f t="shared" si="91"/>
        <v>0</v>
      </c>
      <c r="CW32" s="29">
        <f t="shared" si="92"/>
        <v>0</v>
      </c>
      <c r="CX32" s="29">
        <f t="shared" si="93"/>
        <v>0</v>
      </c>
      <c r="CY32" s="29">
        <f t="shared" si="94"/>
        <v>0</v>
      </c>
      <c r="CZ32" s="29">
        <f t="shared" si="95"/>
        <v>0</v>
      </c>
      <c r="DA32" s="29">
        <f t="shared" si="96"/>
        <v>0</v>
      </c>
      <c r="DB32" s="29">
        <f t="shared" si="97"/>
        <v>0</v>
      </c>
      <c r="DC32" s="29">
        <f t="shared" si="98"/>
        <v>0</v>
      </c>
      <c r="DF32" s="25">
        <v>31</v>
      </c>
      <c r="DG32" s="31">
        <f t="shared" si="99"/>
        <v>0</v>
      </c>
      <c r="DH32" s="31">
        <f t="shared" si="100"/>
        <v>0</v>
      </c>
      <c r="DI32" s="31">
        <f t="shared" si="101"/>
        <v>0</v>
      </c>
      <c r="DJ32" s="31">
        <f t="shared" si="102"/>
        <v>0</v>
      </c>
      <c r="DK32" s="31">
        <f t="shared" si="103"/>
        <v>0</v>
      </c>
      <c r="DL32" s="31">
        <f t="shared" si="104"/>
        <v>0</v>
      </c>
      <c r="DM32" s="31">
        <f t="shared" si="105"/>
        <v>0</v>
      </c>
      <c r="DN32" s="31">
        <f t="shared" si="106"/>
        <v>0</v>
      </c>
      <c r="DO32" s="31">
        <f t="shared" si="107"/>
        <v>0</v>
      </c>
      <c r="DP32" s="31">
        <f t="shared" si="108"/>
        <v>0</v>
      </c>
      <c r="DQ32" s="31">
        <f t="shared" si="109"/>
        <v>0</v>
      </c>
      <c r="DR32" s="31">
        <f t="shared" si="110"/>
        <v>0</v>
      </c>
      <c r="DS32" s="49">
        <f t="shared" si="111"/>
        <v>0</v>
      </c>
      <c r="DT32" s="49">
        <f t="shared" si="112"/>
        <v>0</v>
      </c>
      <c r="DX32">
        <v>31</v>
      </c>
      <c r="DY32" s="19">
        <f t="shared" si="113"/>
        <v>0</v>
      </c>
      <c r="EM32" s="13">
        <v>31</v>
      </c>
      <c r="EN32" s="16">
        <f t="shared" si="114"/>
        <v>0</v>
      </c>
      <c r="EO32" s="16">
        <f t="shared" si="115"/>
        <v>0</v>
      </c>
      <c r="EP32" s="16">
        <f t="shared" si="116"/>
        <v>0</v>
      </c>
      <c r="EQ32" s="16">
        <f t="shared" si="117"/>
        <v>0</v>
      </c>
      <c r="ER32" s="16">
        <f t="shared" si="118"/>
        <v>0</v>
      </c>
      <c r="ES32" s="16">
        <f t="shared" si="119"/>
        <v>0</v>
      </c>
      <c r="ET32" s="16">
        <f t="shared" si="120"/>
        <v>0</v>
      </c>
      <c r="EU32" s="16">
        <f t="shared" si="121"/>
        <v>0</v>
      </c>
      <c r="FK32" s="20"/>
      <c r="FL32" s="20"/>
    </row>
    <row r="33" spans="3:168" ht="14.4" thickBot="1" x14ac:dyDescent="0.35"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H33" s="21">
        <v>32</v>
      </c>
      <c r="AI33" s="22">
        <f t="shared" si="122"/>
        <v>0</v>
      </c>
      <c r="AJ33" s="22">
        <f t="shared" si="122"/>
        <v>0</v>
      </c>
      <c r="AK33" s="22">
        <f t="shared" si="122"/>
        <v>0</v>
      </c>
      <c r="AL33" s="22">
        <f t="shared" si="122"/>
        <v>0</v>
      </c>
      <c r="AM33" s="22">
        <f t="shared" si="122"/>
        <v>0</v>
      </c>
      <c r="AN33" s="22">
        <f t="shared" si="122"/>
        <v>0</v>
      </c>
      <c r="AO33" s="22">
        <f t="shared" si="122"/>
        <v>0</v>
      </c>
      <c r="AP33" s="22">
        <f t="shared" si="122"/>
        <v>0</v>
      </c>
      <c r="AQ33" s="22">
        <f t="shared" si="122"/>
        <v>0</v>
      </c>
      <c r="AR33" s="22">
        <f t="shared" si="122"/>
        <v>0</v>
      </c>
      <c r="AS33" s="22">
        <f t="shared" si="123"/>
        <v>0</v>
      </c>
      <c r="AT33" s="22">
        <f t="shared" si="123"/>
        <v>0</v>
      </c>
      <c r="AU33" s="22">
        <f t="shared" si="123"/>
        <v>0</v>
      </c>
      <c r="AV33" s="22">
        <f t="shared" si="123"/>
        <v>0</v>
      </c>
      <c r="AW33" s="22">
        <f t="shared" si="123"/>
        <v>0</v>
      </c>
      <c r="AX33" s="22">
        <f t="shared" si="123"/>
        <v>0</v>
      </c>
      <c r="AY33" s="22">
        <f t="shared" si="123"/>
        <v>0</v>
      </c>
      <c r="AZ33" s="22">
        <f t="shared" si="123"/>
        <v>0</v>
      </c>
      <c r="BA33" s="22">
        <f t="shared" si="123"/>
        <v>0</v>
      </c>
      <c r="BB33" s="22">
        <f t="shared" si="123"/>
        <v>0</v>
      </c>
      <c r="BC33" s="22">
        <f t="shared" si="124"/>
        <v>0</v>
      </c>
      <c r="BD33" s="22">
        <f t="shared" si="124"/>
        <v>0</v>
      </c>
      <c r="BE33" s="22">
        <f t="shared" si="124"/>
        <v>0</v>
      </c>
      <c r="BF33" s="22">
        <f t="shared" si="124"/>
        <v>0</v>
      </c>
      <c r="BG33" s="22">
        <f t="shared" si="124"/>
        <v>0</v>
      </c>
      <c r="BH33" s="22">
        <f t="shared" si="124"/>
        <v>0</v>
      </c>
      <c r="BI33" s="22">
        <f t="shared" si="124"/>
        <v>0</v>
      </c>
      <c r="BJ33" s="22">
        <f t="shared" si="124"/>
        <v>0</v>
      </c>
      <c r="BN33">
        <v>32</v>
      </c>
      <c r="BO33" s="23">
        <f t="shared" si="63"/>
        <v>0</v>
      </c>
      <c r="BP33" s="23">
        <f t="shared" si="64"/>
        <v>0</v>
      </c>
      <c r="BQ33" s="23">
        <f t="shared" si="65"/>
        <v>0</v>
      </c>
      <c r="BR33" s="23">
        <f t="shared" si="66"/>
        <v>0</v>
      </c>
      <c r="BS33" s="23">
        <f t="shared" si="67"/>
        <v>0</v>
      </c>
      <c r="BT33" s="23">
        <f t="shared" si="68"/>
        <v>0</v>
      </c>
      <c r="BU33" s="23">
        <f t="shared" si="69"/>
        <v>0</v>
      </c>
      <c r="BV33" s="23">
        <f t="shared" si="70"/>
        <v>0</v>
      </c>
      <c r="BW33" s="23">
        <f t="shared" si="71"/>
        <v>0</v>
      </c>
      <c r="BX33" s="23">
        <f t="shared" si="72"/>
        <v>0</v>
      </c>
      <c r="BY33" s="23">
        <f t="shared" si="73"/>
        <v>0</v>
      </c>
      <c r="BZ33" s="23">
        <f t="shared" si="74"/>
        <v>0</v>
      </c>
      <c r="CA33" s="23">
        <f t="shared" si="75"/>
        <v>0</v>
      </c>
      <c r="CB33" s="23">
        <f t="shared" si="76"/>
        <v>0</v>
      </c>
      <c r="CC33" s="23">
        <f t="shared" si="77"/>
        <v>0</v>
      </c>
      <c r="CD33" s="23">
        <f t="shared" si="78"/>
        <v>0</v>
      </c>
      <c r="CE33" s="23">
        <f t="shared" si="79"/>
        <v>0</v>
      </c>
      <c r="CF33" s="23">
        <f t="shared" si="80"/>
        <v>0</v>
      </c>
      <c r="CG33" s="23">
        <f t="shared" si="81"/>
        <v>0</v>
      </c>
      <c r="CH33" s="23">
        <f t="shared" si="82"/>
        <v>0</v>
      </c>
      <c r="CI33" s="23">
        <f t="shared" si="83"/>
        <v>0</v>
      </c>
      <c r="CJ33" s="23">
        <f t="shared" si="84"/>
        <v>0</v>
      </c>
      <c r="CK33" s="23">
        <f t="shared" si="85"/>
        <v>0</v>
      </c>
      <c r="CL33" s="23">
        <f t="shared" si="86"/>
        <v>0</v>
      </c>
      <c r="CM33" s="23">
        <f t="shared" si="87"/>
        <v>0</v>
      </c>
      <c r="CN33" s="23">
        <f t="shared" si="88"/>
        <v>0</v>
      </c>
      <c r="CO33" s="23">
        <f t="shared" si="89"/>
        <v>0</v>
      </c>
      <c r="CP33" s="23">
        <f t="shared" si="90"/>
        <v>0</v>
      </c>
      <c r="CU33" s="21">
        <v>32</v>
      </c>
      <c r="CV33" s="24">
        <f t="shared" si="91"/>
        <v>0</v>
      </c>
      <c r="CW33" s="24">
        <f t="shared" si="92"/>
        <v>0</v>
      </c>
      <c r="CX33" s="24">
        <f t="shared" si="93"/>
        <v>0</v>
      </c>
      <c r="CY33" s="24">
        <f t="shared" si="94"/>
        <v>0</v>
      </c>
      <c r="CZ33" s="24">
        <f t="shared" si="95"/>
        <v>0</v>
      </c>
      <c r="DA33" s="24">
        <f t="shared" si="96"/>
        <v>0</v>
      </c>
      <c r="DB33" s="24">
        <f t="shared" si="97"/>
        <v>0</v>
      </c>
      <c r="DC33" s="24">
        <f t="shared" si="98"/>
        <v>0</v>
      </c>
      <c r="DF33" s="30">
        <v>32</v>
      </c>
      <c r="DG33" s="26">
        <f t="shared" si="99"/>
        <v>0</v>
      </c>
      <c r="DH33" s="26">
        <f t="shared" si="100"/>
        <v>0</v>
      </c>
      <c r="DI33" s="26">
        <f t="shared" si="101"/>
        <v>0</v>
      </c>
      <c r="DJ33" s="26">
        <f t="shared" si="102"/>
        <v>0</v>
      </c>
      <c r="DK33" s="26">
        <f t="shared" si="103"/>
        <v>0</v>
      </c>
      <c r="DL33" s="26">
        <f t="shared" si="104"/>
        <v>0</v>
      </c>
      <c r="DM33" s="26">
        <f t="shared" si="105"/>
        <v>0</v>
      </c>
      <c r="DN33" s="26">
        <f t="shared" si="106"/>
        <v>0</v>
      </c>
      <c r="DO33" s="26">
        <f t="shared" si="107"/>
        <v>0</v>
      </c>
      <c r="DP33" s="26">
        <f t="shared" si="108"/>
        <v>0</v>
      </c>
      <c r="DQ33" s="26">
        <f t="shared" si="109"/>
        <v>0</v>
      </c>
      <c r="DR33" s="26">
        <f t="shared" si="110"/>
        <v>0</v>
      </c>
      <c r="DS33" s="47">
        <f t="shared" si="111"/>
        <v>0</v>
      </c>
      <c r="DT33" s="47">
        <f t="shared" si="112"/>
        <v>0</v>
      </c>
      <c r="DX33">
        <v>32</v>
      </c>
      <c r="DY33" s="19">
        <f t="shared" si="113"/>
        <v>0</v>
      </c>
      <c r="EM33" s="21">
        <v>32</v>
      </c>
      <c r="EN33" s="16">
        <f t="shared" si="114"/>
        <v>0</v>
      </c>
      <c r="EO33" s="16">
        <f t="shared" si="115"/>
        <v>0</v>
      </c>
      <c r="EP33" s="16">
        <f t="shared" si="116"/>
        <v>0</v>
      </c>
      <c r="EQ33" s="16">
        <f t="shared" si="117"/>
        <v>0</v>
      </c>
      <c r="ER33" s="16">
        <f t="shared" si="118"/>
        <v>0</v>
      </c>
      <c r="ES33" s="16">
        <f t="shared" si="119"/>
        <v>0</v>
      </c>
      <c r="ET33" s="16">
        <f t="shared" si="120"/>
        <v>0</v>
      </c>
      <c r="EU33" s="16">
        <f t="shared" si="121"/>
        <v>0</v>
      </c>
      <c r="FK33" s="20"/>
      <c r="FL33" s="20"/>
    </row>
    <row r="34" spans="3:168" ht="14.4" thickBot="1" x14ac:dyDescent="0.35"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H34" s="13">
        <v>33</v>
      </c>
      <c r="AI34" s="27">
        <f t="shared" si="122"/>
        <v>0</v>
      </c>
      <c r="AJ34" s="27">
        <f t="shared" si="122"/>
        <v>0</v>
      </c>
      <c r="AK34" s="27">
        <f t="shared" si="122"/>
        <v>0</v>
      </c>
      <c r="AL34" s="27">
        <f t="shared" si="122"/>
        <v>0</v>
      </c>
      <c r="AM34" s="27">
        <f t="shared" si="122"/>
        <v>0</v>
      </c>
      <c r="AN34" s="27">
        <f t="shared" si="122"/>
        <v>0</v>
      </c>
      <c r="AO34" s="27">
        <f t="shared" si="122"/>
        <v>0</v>
      </c>
      <c r="AP34" s="27">
        <f t="shared" si="122"/>
        <v>0</v>
      </c>
      <c r="AQ34" s="27">
        <f t="shared" si="122"/>
        <v>0</v>
      </c>
      <c r="AR34" s="27">
        <f t="shared" si="122"/>
        <v>0</v>
      </c>
      <c r="AS34" s="27">
        <f t="shared" si="123"/>
        <v>0</v>
      </c>
      <c r="AT34" s="27">
        <f t="shared" si="123"/>
        <v>0</v>
      </c>
      <c r="AU34" s="27">
        <f t="shared" si="123"/>
        <v>0</v>
      </c>
      <c r="AV34" s="27">
        <f t="shared" si="123"/>
        <v>0</v>
      </c>
      <c r="AW34" s="27">
        <f t="shared" si="123"/>
        <v>0</v>
      </c>
      <c r="AX34" s="27">
        <f t="shared" si="123"/>
        <v>0</v>
      </c>
      <c r="AY34" s="27">
        <f t="shared" si="123"/>
        <v>0</v>
      </c>
      <c r="AZ34" s="27">
        <f t="shared" si="123"/>
        <v>0</v>
      </c>
      <c r="BA34" s="27">
        <f t="shared" si="123"/>
        <v>0</v>
      </c>
      <c r="BB34" s="27">
        <f t="shared" si="123"/>
        <v>0</v>
      </c>
      <c r="BC34" s="27">
        <f t="shared" si="124"/>
        <v>0</v>
      </c>
      <c r="BD34" s="27">
        <f t="shared" si="124"/>
        <v>0</v>
      </c>
      <c r="BE34" s="27">
        <f t="shared" si="124"/>
        <v>0</v>
      </c>
      <c r="BF34" s="27">
        <f t="shared" si="124"/>
        <v>0</v>
      </c>
      <c r="BG34" s="27">
        <f t="shared" si="124"/>
        <v>0</v>
      </c>
      <c r="BH34" s="27">
        <f t="shared" si="124"/>
        <v>0</v>
      </c>
      <c r="BI34" s="27">
        <f t="shared" si="124"/>
        <v>0</v>
      </c>
      <c r="BJ34" s="27">
        <f t="shared" si="124"/>
        <v>0</v>
      </c>
      <c r="BN34">
        <v>33</v>
      </c>
      <c r="BO34" s="28">
        <f t="shared" si="63"/>
        <v>0</v>
      </c>
      <c r="BP34" s="28">
        <f t="shared" si="64"/>
        <v>0</v>
      </c>
      <c r="BQ34" s="28">
        <f t="shared" si="65"/>
        <v>0</v>
      </c>
      <c r="BR34" s="28">
        <f t="shared" si="66"/>
        <v>0</v>
      </c>
      <c r="BS34" s="28">
        <f t="shared" si="67"/>
        <v>0</v>
      </c>
      <c r="BT34" s="28">
        <f t="shared" si="68"/>
        <v>0</v>
      </c>
      <c r="BU34" s="28">
        <f t="shared" si="69"/>
        <v>0</v>
      </c>
      <c r="BV34" s="28">
        <f t="shared" si="70"/>
        <v>0</v>
      </c>
      <c r="BW34" s="28">
        <f t="shared" si="71"/>
        <v>0</v>
      </c>
      <c r="BX34" s="28">
        <f t="shared" si="72"/>
        <v>0</v>
      </c>
      <c r="BY34" s="28">
        <f t="shared" si="73"/>
        <v>0</v>
      </c>
      <c r="BZ34" s="28">
        <f t="shared" si="74"/>
        <v>0</v>
      </c>
      <c r="CA34" s="28">
        <f t="shared" si="75"/>
        <v>0</v>
      </c>
      <c r="CB34" s="28">
        <f t="shared" si="76"/>
        <v>0</v>
      </c>
      <c r="CC34" s="28">
        <f t="shared" si="77"/>
        <v>0</v>
      </c>
      <c r="CD34" s="28">
        <f t="shared" si="78"/>
        <v>0</v>
      </c>
      <c r="CE34" s="28">
        <f t="shared" si="79"/>
        <v>0</v>
      </c>
      <c r="CF34" s="28">
        <f t="shared" si="80"/>
        <v>0</v>
      </c>
      <c r="CG34" s="28">
        <f t="shared" si="81"/>
        <v>0</v>
      </c>
      <c r="CH34" s="28">
        <f t="shared" si="82"/>
        <v>0</v>
      </c>
      <c r="CI34" s="28">
        <f t="shared" si="83"/>
        <v>0</v>
      </c>
      <c r="CJ34" s="28">
        <f t="shared" si="84"/>
        <v>0</v>
      </c>
      <c r="CK34" s="28">
        <f t="shared" si="85"/>
        <v>0</v>
      </c>
      <c r="CL34" s="28">
        <f t="shared" si="86"/>
        <v>0</v>
      </c>
      <c r="CM34" s="28">
        <f t="shared" si="87"/>
        <v>0</v>
      </c>
      <c r="CN34" s="28">
        <f t="shared" si="88"/>
        <v>0</v>
      </c>
      <c r="CO34" s="28">
        <f t="shared" si="89"/>
        <v>0</v>
      </c>
      <c r="CP34" s="28">
        <f t="shared" si="90"/>
        <v>0</v>
      </c>
      <c r="CU34" s="21">
        <v>33</v>
      </c>
      <c r="CV34" s="29">
        <f t="shared" si="91"/>
        <v>0</v>
      </c>
      <c r="CW34" s="29">
        <f t="shared" si="92"/>
        <v>0</v>
      </c>
      <c r="CX34" s="29">
        <f t="shared" si="93"/>
        <v>0</v>
      </c>
      <c r="CY34" s="29">
        <f t="shared" si="94"/>
        <v>0</v>
      </c>
      <c r="CZ34" s="29">
        <f t="shared" si="95"/>
        <v>0</v>
      </c>
      <c r="DA34" s="29">
        <f t="shared" si="96"/>
        <v>0</v>
      </c>
      <c r="DB34" s="29">
        <f t="shared" si="97"/>
        <v>0</v>
      </c>
      <c r="DC34" s="29">
        <f t="shared" si="98"/>
        <v>0</v>
      </c>
      <c r="DF34" s="25">
        <v>33</v>
      </c>
      <c r="DG34" s="31">
        <f t="shared" si="99"/>
        <v>0</v>
      </c>
      <c r="DH34" s="31">
        <f t="shared" si="100"/>
        <v>0</v>
      </c>
      <c r="DI34" s="31">
        <f t="shared" si="101"/>
        <v>0</v>
      </c>
      <c r="DJ34" s="31">
        <f t="shared" si="102"/>
        <v>0</v>
      </c>
      <c r="DK34" s="31">
        <f t="shared" si="103"/>
        <v>0</v>
      </c>
      <c r="DL34" s="31">
        <f t="shared" si="104"/>
        <v>0</v>
      </c>
      <c r="DM34" s="31">
        <f t="shared" si="105"/>
        <v>0</v>
      </c>
      <c r="DN34" s="31">
        <f t="shared" si="106"/>
        <v>0</v>
      </c>
      <c r="DO34" s="31">
        <f t="shared" si="107"/>
        <v>0</v>
      </c>
      <c r="DP34" s="31">
        <f t="shared" si="108"/>
        <v>0</v>
      </c>
      <c r="DQ34" s="31">
        <f t="shared" si="109"/>
        <v>0</v>
      </c>
      <c r="DR34" s="31">
        <f t="shared" si="110"/>
        <v>0</v>
      </c>
      <c r="DS34" s="49">
        <f t="shared" si="111"/>
        <v>0</v>
      </c>
      <c r="DT34" s="49">
        <f t="shared" si="112"/>
        <v>0</v>
      </c>
      <c r="DX34">
        <v>33</v>
      </c>
      <c r="DY34" s="19">
        <f t="shared" si="113"/>
        <v>0</v>
      </c>
      <c r="EM34" s="21">
        <v>33</v>
      </c>
      <c r="EN34" s="16">
        <f t="shared" si="114"/>
        <v>0</v>
      </c>
      <c r="EO34" s="16">
        <f t="shared" si="115"/>
        <v>0</v>
      </c>
      <c r="EP34" s="16">
        <f t="shared" si="116"/>
        <v>0</v>
      </c>
      <c r="EQ34" s="16">
        <f t="shared" si="117"/>
        <v>0</v>
      </c>
      <c r="ER34" s="16">
        <f t="shared" si="118"/>
        <v>0</v>
      </c>
      <c r="ES34" s="16">
        <f t="shared" si="119"/>
        <v>0</v>
      </c>
      <c r="ET34" s="16">
        <f t="shared" si="120"/>
        <v>0</v>
      </c>
      <c r="EU34" s="16">
        <f t="shared" si="121"/>
        <v>0</v>
      </c>
      <c r="FK34" s="20"/>
      <c r="FL34" s="20"/>
    </row>
    <row r="35" spans="3:168" ht="14.4" thickBot="1" x14ac:dyDescent="0.35"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H35" s="21">
        <v>34</v>
      </c>
      <c r="AI35" s="22">
        <f t="shared" si="122"/>
        <v>0</v>
      </c>
      <c r="AJ35" s="22">
        <f t="shared" si="122"/>
        <v>0</v>
      </c>
      <c r="AK35" s="22">
        <f t="shared" si="122"/>
        <v>0</v>
      </c>
      <c r="AL35" s="22">
        <f t="shared" si="122"/>
        <v>0</v>
      </c>
      <c r="AM35" s="22">
        <f t="shared" si="122"/>
        <v>0</v>
      </c>
      <c r="AN35" s="22">
        <f t="shared" si="122"/>
        <v>0</v>
      </c>
      <c r="AO35" s="22">
        <f t="shared" si="122"/>
        <v>0</v>
      </c>
      <c r="AP35" s="22">
        <f t="shared" si="122"/>
        <v>0</v>
      </c>
      <c r="AQ35" s="22">
        <f t="shared" si="122"/>
        <v>0</v>
      </c>
      <c r="AR35" s="22">
        <f t="shared" si="122"/>
        <v>0</v>
      </c>
      <c r="AS35" s="22">
        <f t="shared" si="123"/>
        <v>0</v>
      </c>
      <c r="AT35" s="22">
        <f t="shared" si="123"/>
        <v>0</v>
      </c>
      <c r="AU35" s="22">
        <f t="shared" si="123"/>
        <v>0</v>
      </c>
      <c r="AV35" s="22">
        <f t="shared" si="123"/>
        <v>0</v>
      </c>
      <c r="AW35" s="22">
        <f t="shared" si="123"/>
        <v>0</v>
      </c>
      <c r="AX35" s="22">
        <f t="shared" si="123"/>
        <v>0</v>
      </c>
      <c r="AY35" s="22">
        <f t="shared" si="123"/>
        <v>0</v>
      </c>
      <c r="AZ35" s="22">
        <f t="shared" si="123"/>
        <v>0</v>
      </c>
      <c r="BA35" s="22">
        <f t="shared" si="123"/>
        <v>0</v>
      </c>
      <c r="BB35" s="22">
        <f t="shared" si="123"/>
        <v>0</v>
      </c>
      <c r="BC35" s="22">
        <f t="shared" si="124"/>
        <v>0</v>
      </c>
      <c r="BD35" s="22">
        <f t="shared" si="124"/>
        <v>0</v>
      </c>
      <c r="BE35" s="22">
        <f t="shared" si="124"/>
        <v>0</v>
      </c>
      <c r="BF35" s="22">
        <f t="shared" si="124"/>
        <v>0</v>
      </c>
      <c r="BG35" s="22">
        <f t="shared" si="124"/>
        <v>0</v>
      </c>
      <c r="BH35" s="22">
        <f t="shared" si="124"/>
        <v>0</v>
      </c>
      <c r="BI35" s="22">
        <f t="shared" si="124"/>
        <v>0</v>
      </c>
      <c r="BJ35" s="22">
        <f t="shared" si="124"/>
        <v>0</v>
      </c>
      <c r="BN35">
        <v>34</v>
      </c>
      <c r="BO35" s="23">
        <f t="shared" si="63"/>
        <v>0</v>
      </c>
      <c r="BP35" s="23">
        <f t="shared" si="64"/>
        <v>0</v>
      </c>
      <c r="BQ35" s="23">
        <f t="shared" si="65"/>
        <v>0</v>
      </c>
      <c r="BR35" s="23">
        <f t="shared" si="66"/>
        <v>0</v>
      </c>
      <c r="BS35" s="23">
        <f t="shared" si="67"/>
        <v>0</v>
      </c>
      <c r="BT35" s="23">
        <f t="shared" si="68"/>
        <v>0</v>
      </c>
      <c r="BU35" s="23">
        <f t="shared" si="69"/>
        <v>0</v>
      </c>
      <c r="BV35" s="23">
        <f t="shared" si="70"/>
        <v>0</v>
      </c>
      <c r="BW35" s="23">
        <f t="shared" si="71"/>
        <v>0</v>
      </c>
      <c r="BX35" s="23">
        <f t="shared" si="72"/>
        <v>0</v>
      </c>
      <c r="BY35" s="23">
        <f t="shared" si="73"/>
        <v>0</v>
      </c>
      <c r="BZ35" s="23">
        <f t="shared" si="74"/>
        <v>0</v>
      </c>
      <c r="CA35" s="23">
        <f t="shared" si="75"/>
        <v>0</v>
      </c>
      <c r="CB35" s="23">
        <f t="shared" si="76"/>
        <v>0</v>
      </c>
      <c r="CC35" s="23">
        <f t="shared" si="77"/>
        <v>0</v>
      </c>
      <c r="CD35" s="23">
        <f t="shared" si="78"/>
        <v>0</v>
      </c>
      <c r="CE35" s="23">
        <f t="shared" si="79"/>
        <v>0</v>
      </c>
      <c r="CF35" s="23">
        <f t="shared" si="80"/>
        <v>0</v>
      </c>
      <c r="CG35" s="23">
        <f t="shared" si="81"/>
        <v>0</v>
      </c>
      <c r="CH35" s="23">
        <f t="shared" si="82"/>
        <v>0</v>
      </c>
      <c r="CI35" s="23">
        <f t="shared" si="83"/>
        <v>0</v>
      </c>
      <c r="CJ35" s="23">
        <f t="shared" si="84"/>
        <v>0</v>
      </c>
      <c r="CK35" s="23">
        <f t="shared" si="85"/>
        <v>0</v>
      </c>
      <c r="CL35" s="23">
        <f t="shared" si="86"/>
        <v>0</v>
      </c>
      <c r="CM35" s="23">
        <f t="shared" si="87"/>
        <v>0</v>
      </c>
      <c r="CN35" s="23">
        <f t="shared" si="88"/>
        <v>0</v>
      </c>
      <c r="CO35" s="23">
        <f t="shared" si="89"/>
        <v>0</v>
      </c>
      <c r="CP35" s="23">
        <f t="shared" si="90"/>
        <v>0</v>
      </c>
      <c r="CU35" s="21">
        <v>34</v>
      </c>
      <c r="CV35" s="24">
        <f t="shared" si="91"/>
        <v>0</v>
      </c>
      <c r="CW35" s="24">
        <f t="shared" si="92"/>
        <v>0</v>
      </c>
      <c r="CX35" s="24">
        <f t="shared" si="93"/>
        <v>0</v>
      </c>
      <c r="CY35" s="24">
        <f t="shared" si="94"/>
        <v>0</v>
      </c>
      <c r="CZ35" s="24">
        <f t="shared" si="95"/>
        <v>0</v>
      </c>
      <c r="DA35" s="24">
        <f t="shared" si="96"/>
        <v>0</v>
      </c>
      <c r="DB35" s="24">
        <f t="shared" si="97"/>
        <v>0</v>
      </c>
      <c r="DC35" s="24">
        <f t="shared" si="98"/>
        <v>0</v>
      </c>
      <c r="DF35" s="30">
        <v>34</v>
      </c>
      <c r="DG35" s="26">
        <f t="shared" si="99"/>
        <v>0</v>
      </c>
      <c r="DH35" s="26">
        <f t="shared" si="100"/>
        <v>0</v>
      </c>
      <c r="DI35" s="26">
        <f t="shared" si="101"/>
        <v>0</v>
      </c>
      <c r="DJ35" s="26">
        <f t="shared" si="102"/>
        <v>0</v>
      </c>
      <c r="DK35" s="26">
        <f t="shared" si="103"/>
        <v>0</v>
      </c>
      <c r="DL35" s="26">
        <f t="shared" si="104"/>
        <v>0</v>
      </c>
      <c r="DM35" s="26">
        <f t="shared" si="105"/>
        <v>0</v>
      </c>
      <c r="DN35" s="26">
        <f t="shared" si="106"/>
        <v>0</v>
      </c>
      <c r="DO35" s="26">
        <f t="shared" si="107"/>
        <v>0</v>
      </c>
      <c r="DP35" s="26">
        <f t="shared" si="108"/>
        <v>0</v>
      </c>
      <c r="DQ35" s="26">
        <f t="shared" si="109"/>
        <v>0</v>
      </c>
      <c r="DR35" s="26">
        <f t="shared" si="110"/>
        <v>0</v>
      </c>
      <c r="DS35" s="47">
        <f t="shared" si="111"/>
        <v>0</v>
      </c>
      <c r="DT35" s="47">
        <f t="shared" si="112"/>
        <v>0</v>
      </c>
      <c r="DX35">
        <v>34</v>
      </c>
      <c r="DY35" s="19">
        <f t="shared" si="113"/>
        <v>0</v>
      </c>
      <c r="EM35" s="21">
        <v>34</v>
      </c>
      <c r="EN35" s="16">
        <f t="shared" si="114"/>
        <v>0</v>
      </c>
      <c r="EO35" s="16">
        <f t="shared" si="115"/>
        <v>0</v>
      </c>
      <c r="EP35" s="16">
        <f t="shared" si="116"/>
        <v>0</v>
      </c>
      <c r="EQ35" s="16">
        <f t="shared" si="117"/>
        <v>0</v>
      </c>
      <c r="ER35" s="16">
        <f t="shared" si="118"/>
        <v>0</v>
      </c>
      <c r="ES35" s="16">
        <f t="shared" si="119"/>
        <v>0</v>
      </c>
      <c r="ET35" s="16">
        <f t="shared" si="120"/>
        <v>0</v>
      </c>
      <c r="EU35" s="16">
        <f t="shared" si="121"/>
        <v>0</v>
      </c>
      <c r="FK35" s="20"/>
      <c r="FL35" s="20"/>
    </row>
    <row r="36" spans="3:168" ht="14.4" thickBot="1" x14ac:dyDescent="0.35"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H36" s="21">
        <v>35</v>
      </c>
      <c r="AI36" s="27">
        <f t="shared" si="122"/>
        <v>0</v>
      </c>
      <c r="AJ36" s="27">
        <f t="shared" si="122"/>
        <v>0</v>
      </c>
      <c r="AK36" s="27">
        <f t="shared" si="122"/>
        <v>0</v>
      </c>
      <c r="AL36" s="27">
        <f t="shared" si="122"/>
        <v>0</v>
      </c>
      <c r="AM36" s="27">
        <f t="shared" si="122"/>
        <v>0</v>
      </c>
      <c r="AN36" s="27">
        <f t="shared" si="122"/>
        <v>0</v>
      </c>
      <c r="AO36" s="27">
        <f t="shared" si="122"/>
        <v>0</v>
      </c>
      <c r="AP36" s="27">
        <f t="shared" si="122"/>
        <v>0</v>
      </c>
      <c r="AQ36" s="27">
        <f t="shared" si="122"/>
        <v>0</v>
      </c>
      <c r="AR36" s="27">
        <f t="shared" si="122"/>
        <v>0</v>
      </c>
      <c r="AS36" s="27">
        <f t="shared" si="123"/>
        <v>0</v>
      </c>
      <c r="AT36" s="27">
        <f t="shared" si="123"/>
        <v>0</v>
      </c>
      <c r="AU36" s="27">
        <f t="shared" si="123"/>
        <v>0</v>
      </c>
      <c r="AV36" s="27">
        <f t="shared" si="123"/>
        <v>0</v>
      </c>
      <c r="AW36" s="27">
        <f t="shared" si="123"/>
        <v>0</v>
      </c>
      <c r="AX36" s="27">
        <f t="shared" si="123"/>
        <v>0</v>
      </c>
      <c r="AY36" s="27">
        <f t="shared" si="123"/>
        <v>0</v>
      </c>
      <c r="AZ36" s="27">
        <f t="shared" si="123"/>
        <v>0</v>
      </c>
      <c r="BA36" s="27">
        <f t="shared" si="123"/>
        <v>0</v>
      </c>
      <c r="BB36" s="27">
        <f t="shared" si="123"/>
        <v>0</v>
      </c>
      <c r="BC36" s="27">
        <f t="shared" si="124"/>
        <v>0</v>
      </c>
      <c r="BD36" s="27">
        <f t="shared" si="124"/>
        <v>0</v>
      </c>
      <c r="BE36" s="27">
        <f t="shared" si="124"/>
        <v>0</v>
      </c>
      <c r="BF36" s="27">
        <f t="shared" si="124"/>
        <v>0</v>
      </c>
      <c r="BG36" s="27">
        <f t="shared" si="124"/>
        <v>0</v>
      </c>
      <c r="BH36" s="27">
        <f t="shared" si="124"/>
        <v>0</v>
      </c>
      <c r="BI36" s="27">
        <f t="shared" si="124"/>
        <v>0</v>
      </c>
      <c r="BJ36" s="27">
        <f t="shared" si="124"/>
        <v>0</v>
      </c>
      <c r="BN36">
        <v>35</v>
      </c>
      <c r="BO36" s="28">
        <f t="shared" si="63"/>
        <v>0</v>
      </c>
      <c r="BP36" s="28">
        <f t="shared" si="64"/>
        <v>0</v>
      </c>
      <c r="BQ36" s="28">
        <f t="shared" si="65"/>
        <v>0</v>
      </c>
      <c r="BR36" s="28">
        <f t="shared" si="66"/>
        <v>0</v>
      </c>
      <c r="BS36" s="28">
        <f t="shared" si="67"/>
        <v>0</v>
      </c>
      <c r="BT36" s="28">
        <f t="shared" si="68"/>
        <v>0</v>
      </c>
      <c r="BU36" s="28">
        <f t="shared" si="69"/>
        <v>0</v>
      </c>
      <c r="BV36" s="28">
        <f t="shared" si="70"/>
        <v>0</v>
      </c>
      <c r="BW36" s="28">
        <f t="shared" si="71"/>
        <v>0</v>
      </c>
      <c r="BX36" s="28">
        <f t="shared" si="72"/>
        <v>0</v>
      </c>
      <c r="BY36" s="28">
        <f t="shared" si="73"/>
        <v>0</v>
      </c>
      <c r="BZ36" s="28">
        <f t="shared" si="74"/>
        <v>0</v>
      </c>
      <c r="CA36" s="28">
        <f t="shared" si="75"/>
        <v>0</v>
      </c>
      <c r="CB36" s="28">
        <f t="shared" si="76"/>
        <v>0</v>
      </c>
      <c r="CC36" s="28">
        <f t="shared" si="77"/>
        <v>0</v>
      </c>
      <c r="CD36" s="28">
        <f t="shared" si="78"/>
        <v>0</v>
      </c>
      <c r="CE36" s="28">
        <f t="shared" si="79"/>
        <v>0</v>
      </c>
      <c r="CF36" s="28">
        <f t="shared" si="80"/>
        <v>0</v>
      </c>
      <c r="CG36" s="28">
        <f t="shared" si="81"/>
        <v>0</v>
      </c>
      <c r="CH36" s="28">
        <f t="shared" si="82"/>
        <v>0</v>
      </c>
      <c r="CI36" s="28">
        <f t="shared" si="83"/>
        <v>0</v>
      </c>
      <c r="CJ36" s="28">
        <f t="shared" si="84"/>
        <v>0</v>
      </c>
      <c r="CK36" s="28">
        <f t="shared" si="85"/>
        <v>0</v>
      </c>
      <c r="CL36" s="28">
        <f t="shared" si="86"/>
        <v>0</v>
      </c>
      <c r="CM36" s="28">
        <f t="shared" si="87"/>
        <v>0</v>
      </c>
      <c r="CN36" s="28">
        <f t="shared" si="88"/>
        <v>0</v>
      </c>
      <c r="CO36" s="28">
        <f t="shared" si="89"/>
        <v>0</v>
      </c>
      <c r="CP36" s="28">
        <f t="shared" si="90"/>
        <v>0</v>
      </c>
      <c r="CU36" s="21">
        <v>35</v>
      </c>
      <c r="CV36" s="29">
        <f t="shared" si="91"/>
        <v>0</v>
      </c>
      <c r="CW36" s="29">
        <f t="shared" si="92"/>
        <v>0</v>
      </c>
      <c r="CX36" s="29">
        <f t="shared" si="93"/>
        <v>0</v>
      </c>
      <c r="CY36" s="29">
        <f t="shared" si="94"/>
        <v>0</v>
      </c>
      <c r="CZ36" s="29">
        <f t="shared" si="95"/>
        <v>0</v>
      </c>
      <c r="DA36" s="29">
        <f t="shared" si="96"/>
        <v>0</v>
      </c>
      <c r="DB36" s="29">
        <f t="shared" si="97"/>
        <v>0</v>
      </c>
      <c r="DC36" s="29">
        <f t="shared" si="98"/>
        <v>0</v>
      </c>
      <c r="DF36" s="25">
        <v>35</v>
      </c>
      <c r="DG36" s="31">
        <f t="shared" si="99"/>
        <v>0</v>
      </c>
      <c r="DH36" s="31">
        <f t="shared" si="100"/>
        <v>0</v>
      </c>
      <c r="DI36" s="31">
        <f t="shared" si="101"/>
        <v>0</v>
      </c>
      <c r="DJ36" s="31">
        <f t="shared" si="102"/>
        <v>0</v>
      </c>
      <c r="DK36" s="31">
        <f t="shared" si="103"/>
        <v>0</v>
      </c>
      <c r="DL36" s="31">
        <f t="shared" si="104"/>
        <v>0</v>
      </c>
      <c r="DM36" s="31">
        <f t="shared" si="105"/>
        <v>0</v>
      </c>
      <c r="DN36" s="31">
        <f t="shared" si="106"/>
        <v>0</v>
      </c>
      <c r="DO36" s="31">
        <f t="shared" si="107"/>
        <v>0</v>
      </c>
      <c r="DP36" s="31">
        <f t="shared" si="108"/>
        <v>0</v>
      </c>
      <c r="DQ36" s="31">
        <f t="shared" si="109"/>
        <v>0</v>
      </c>
      <c r="DR36" s="31">
        <f t="shared" si="110"/>
        <v>0</v>
      </c>
      <c r="DS36" s="49">
        <f t="shared" si="111"/>
        <v>0</v>
      </c>
      <c r="DT36" s="49">
        <f t="shared" si="112"/>
        <v>0</v>
      </c>
      <c r="DX36">
        <v>35</v>
      </c>
      <c r="DY36" s="19">
        <f t="shared" si="113"/>
        <v>0</v>
      </c>
      <c r="EM36" s="21">
        <v>35</v>
      </c>
      <c r="EN36" s="16">
        <f t="shared" si="114"/>
        <v>0</v>
      </c>
      <c r="EO36" s="16">
        <f t="shared" si="115"/>
        <v>0</v>
      </c>
      <c r="EP36" s="16">
        <f t="shared" si="116"/>
        <v>0</v>
      </c>
      <c r="EQ36" s="16">
        <f t="shared" si="117"/>
        <v>0</v>
      </c>
      <c r="ER36" s="16">
        <f t="shared" si="118"/>
        <v>0</v>
      </c>
      <c r="ES36" s="16">
        <f t="shared" si="119"/>
        <v>0</v>
      </c>
      <c r="ET36" s="16">
        <f t="shared" si="120"/>
        <v>0</v>
      </c>
      <c r="EU36" s="16">
        <f t="shared" si="121"/>
        <v>0</v>
      </c>
      <c r="FK36" s="20"/>
      <c r="FL36" s="20"/>
    </row>
    <row r="37" spans="3:168" x14ac:dyDescent="0.3"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H37" s="21">
        <v>36</v>
      </c>
      <c r="AI37" s="22">
        <f>IF(C37=0,0,(C37-#REF!)*100/#REF!)</f>
        <v>0</v>
      </c>
      <c r="AJ37" s="22">
        <f>IF(D37=0,0,(D37-#REF!)*100/#REF!)</f>
        <v>0</v>
      </c>
      <c r="AK37" s="22">
        <f>IF(E37=0,0,(E37-#REF!)*100/#REF!)</f>
        <v>0</v>
      </c>
      <c r="AL37" s="22">
        <f>IF(F37=0,0,(F37-#REF!)*100/#REF!)</f>
        <v>0</v>
      </c>
      <c r="AM37" s="22">
        <f>IF(G37=0,0,(G37-#REF!)*100/#REF!)</f>
        <v>0</v>
      </c>
      <c r="AN37" s="22">
        <f>IF(H37=0,0,(H37-#REF!)*100/#REF!)</f>
        <v>0</v>
      </c>
      <c r="AO37" s="22">
        <f>IF(I37=0,0,(I37-#REF!)*100/#REF!)</f>
        <v>0</v>
      </c>
      <c r="AP37" s="22">
        <f>IF(J37=0,0,(J37-#REF!)*100/#REF!)</f>
        <v>0</v>
      </c>
      <c r="AQ37" s="22">
        <f>IF(K37=0,0,(K37-#REF!)*100/#REF!)</f>
        <v>0</v>
      </c>
      <c r="AR37" s="22">
        <f>IF(L37=0,0,(L37-#REF!)*100/#REF!)</f>
        <v>0</v>
      </c>
      <c r="AS37" s="22">
        <f>IF(M37=0,0,(M37-#REF!)*100/#REF!)</f>
        <v>0</v>
      </c>
      <c r="AT37" s="22">
        <f>IF(N37=0,0,(N37-#REF!)*100/#REF!)</f>
        <v>0</v>
      </c>
      <c r="AU37" s="22">
        <f>IF(O37=0,0,(O37-#REF!)*100/#REF!)</f>
        <v>0</v>
      </c>
      <c r="AV37" s="22">
        <f>IF(P37=0,0,(P37-#REF!)*100/#REF!)</f>
        <v>0</v>
      </c>
      <c r="AW37" s="22">
        <f>IF(Q37=0,0,(Q37-#REF!)*100/#REF!)</f>
        <v>0</v>
      </c>
      <c r="AX37" s="22">
        <f>IF(R37=0,0,(R37-#REF!)*100/#REF!)</f>
        <v>0</v>
      </c>
      <c r="AY37" s="22">
        <f>IF(S37=0,0,(S37-#REF!)*100/#REF!)</f>
        <v>0</v>
      </c>
      <c r="AZ37" s="22">
        <f>IF(T37=0,0,(T37-#REF!)*100/#REF!)</f>
        <v>0</v>
      </c>
      <c r="BA37" s="22">
        <f>IF(U37=0,0,(U37-#REF!)*100/#REF!)</f>
        <v>0</v>
      </c>
      <c r="BB37" s="22">
        <f>IF(V37=0,0,(V37-#REF!)*100/#REF!)</f>
        <v>0</v>
      </c>
      <c r="BC37" s="22">
        <f>IF(W37=0,0,(W37-#REF!)*100/#REF!)</f>
        <v>0</v>
      </c>
      <c r="BD37" s="22">
        <f>IF(X37=0,0,(X37-#REF!)*100/#REF!)</f>
        <v>0</v>
      </c>
      <c r="BE37" s="22">
        <f>IF(Y37=0,0,(Y37-#REF!)*100/#REF!)</f>
        <v>0</v>
      </c>
      <c r="BF37" s="22">
        <f>IF(Z37=0,0,(Z37-#REF!)*100/#REF!)</f>
        <v>0</v>
      </c>
      <c r="BG37" s="22">
        <f>IF(AA37=0,0,(AA37-#REF!)*100/#REF!)</f>
        <v>0</v>
      </c>
      <c r="BH37" s="22">
        <f>IF(AB37=0,0,(AB37-#REF!)*100/#REF!)</f>
        <v>0</v>
      </c>
      <c r="BI37" s="22">
        <f>IF(AC37=0,0,(AC37-#REF!)*100/#REF!)</f>
        <v>0</v>
      </c>
      <c r="BJ37" s="22">
        <f>IF(AD37=0,0,(AD37-#REF!)*100/#REF!)</f>
        <v>0</v>
      </c>
      <c r="BN37">
        <v>36</v>
      </c>
      <c r="BO37" s="23">
        <f t="shared" si="63"/>
        <v>0</v>
      </c>
      <c r="BP37" s="23">
        <f t="shared" si="64"/>
        <v>0</v>
      </c>
      <c r="BQ37" s="23">
        <f t="shared" si="65"/>
        <v>0</v>
      </c>
      <c r="BR37" s="23">
        <f t="shared" si="66"/>
        <v>0</v>
      </c>
      <c r="BS37" s="23">
        <f t="shared" si="67"/>
        <v>0</v>
      </c>
      <c r="BT37" s="23">
        <f t="shared" si="68"/>
        <v>0</v>
      </c>
      <c r="BU37" s="23">
        <f t="shared" si="69"/>
        <v>0</v>
      </c>
      <c r="BV37" s="23">
        <f t="shared" si="70"/>
        <v>0</v>
      </c>
      <c r="BW37" s="23">
        <f t="shared" si="71"/>
        <v>0</v>
      </c>
      <c r="BX37" s="23">
        <f t="shared" si="72"/>
        <v>0</v>
      </c>
      <c r="BY37" s="23">
        <f t="shared" si="73"/>
        <v>0</v>
      </c>
      <c r="BZ37" s="23">
        <f t="shared" si="74"/>
        <v>0</v>
      </c>
      <c r="CA37" s="23">
        <f t="shared" si="75"/>
        <v>0</v>
      </c>
      <c r="CB37" s="23">
        <f t="shared" si="76"/>
        <v>0</v>
      </c>
      <c r="CC37" s="23">
        <f t="shared" si="77"/>
        <v>0</v>
      </c>
      <c r="CD37" s="23">
        <f t="shared" si="78"/>
        <v>0</v>
      </c>
      <c r="CE37" s="23">
        <f t="shared" si="79"/>
        <v>0</v>
      </c>
      <c r="CF37" s="23">
        <f t="shared" si="80"/>
        <v>0</v>
      </c>
      <c r="CG37" s="23">
        <f t="shared" si="81"/>
        <v>0</v>
      </c>
      <c r="CH37" s="23">
        <f t="shared" si="82"/>
        <v>0</v>
      </c>
      <c r="CI37" s="23">
        <f t="shared" si="83"/>
        <v>0</v>
      </c>
      <c r="CJ37" s="23">
        <f t="shared" si="84"/>
        <v>0</v>
      </c>
      <c r="CK37" s="23">
        <f t="shared" si="85"/>
        <v>0</v>
      </c>
      <c r="CL37" s="23">
        <f t="shared" si="86"/>
        <v>0</v>
      </c>
      <c r="CM37" s="23">
        <f t="shared" si="87"/>
        <v>0</v>
      </c>
      <c r="CN37" s="23">
        <f t="shared" si="88"/>
        <v>0</v>
      </c>
      <c r="CO37" s="23">
        <f t="shared" si="89"/>
        <v>0</v>
      </c>
      <c r="CP37" s="23">
        <f t="shared" si="90"/>
        <v>0</v>
      </c>
      <c r="CU37" s="13">
        <v>36</v>
      </c>
      <c r="CV37" s="24">
        <f t="shared" si="91"/>
        <v>0</v>
      </c>
      <c r="CW37" s="24">
        <f t="shared" si="92"/>
        <v>0</v>
      </c>
      <c r="CX37" s="24">
        <f t="shared" si="93"/>
        <v>0</v>
      </c>
      <c r="CY37" s="24">
        <f t="shared" si="94"/>
        <v>0</v>
      </c>
      <c r="CZ37" s="24">
        <f t="shared" si="95"/>
        <v>0</v>
      </c>
      <c r="DA37" s="24">
        <f t="shared" si="96"/>
        <v>0</v>
      </c>
      <c r="DB37" s="24">
        <f t="shared" si="97"/>
        <v>0</v>
      </c>
      <c r="DC37" s="24">
        <f t="shared" si="98"/>
        <v>0</v>
      </c>
      <c r="DF37" s="30">
        <v>36</v>
      </c>
      <c r="DG37" s="26">
        <f t="shared" si="99"/>
        <v>0</v>
      </c>
      <c r="DH37" s="26">
        <f t="shared" si="100"/>
        <v>0</v>
      </c>
      <c r="DI37" s="26">
        <f t="shared" si="101"/>
        <v>0</v>
      </c>
      <c r="DJ37" s="26">
        <f t="shared" si="102"/>
        <v>0</v>
      </c>
      <c r="DK37" s="26">
        <f t="shared" si="103"/>
        <v>0</v>
      </c>
      <c r="DL37" s="26">
        <f t="shared" si="104"/>
        <v>0</v>
      </c>
      <c r="DM37" s="26">
        <f t="shared" si="105"/>
        <v>0</v>
      </c>
      <c r="DN37" s="26">
        <f t="shared" si="106"/>
        <v>0</v>
      </c>
      <c r="DO37" s="26">
        <f t="shared" si="107"/>
        <v>0</v>
      </c>
      <c r="DP37" s="26">
        <f t="shared" si="108"/>
        <v>0</v>
      </c>
      <c r="DQ37" s="26">
        <f t="shared" si="109"/>
        <v>0</v>
      </c>
      <c r="DR37" s="26">
        <f t="shared" si="110"/>
        <v>0</v>
      </c>
      <c r="DS37" s="47">
        <f t="shared" si="111"/>
        <v>0</v>
      </c>
      <c r="DT37" s="47">
        <f t="shared" si="112"/>
        <v>0</v>
      </c>
      <c r="DX37">
        <v>36</v>
      </c>
      <c r="DY37" s="19">
        <f t="shared" si="113"/>
        <v>0</v>
      </c>
      <c r="EM37" s="13">
        <v>36</v>
      </c>
      <c r="EN37" s="16">
        <f t="shared" si="114"/>
        <v>0</v>
      </c>
      <c r="EO37" s="16">
        <f t="shared" si="115"/>
        <v>0</v>
      </c>
      <c r="EP37" s="16">
        <f t="shared" si="116"/>
        <v>0</v>
      </c>
      <c r="EQ37" s="16">
        <f t="shared" si="117"/>
        <v>0</v>
      </c>
      <c r="ER37" s="16">
        <f t="shared" si="118"/>
        <v>0</v>
      </c>
      <c r="ES37" s="16">
        <f t="shared" si="119"/>
        <v>0</v>
      </c>
      <c r="ET37" s="16">
        <f t="shared" si="120"/>
        <v>0</v>
      </c>
      <c r="EU37" s="16">
        <f t="shared" si="121"/>
        <v>0</v>
      </c>
      <c r="FK37" s="20"/>
      <c r="FL37" s="20"/>
    </row>
    <row r="38" spans="3:168" x14ac:dyDescent="0.3">
      <c r="FK38" s="20"/>
      <c r="FL38" s="20"/>
    </row>
    <row r="39" spans="3:168" x14ac:dyDescent="0.3">
      <c r="FK39" s="20"/>
      <c r="FL39" s="20"/>
    </row>
    <row r="40" spans="3:168" x14ac:dyDescent="0.3">
      <c r="FK40" s="20"/>
      <c r="FL40" s="20"/>
    </row>
    <row r="41" spans="3:168" x14ac:dyDescent="0.3">
      <c r="FK41" s="20"/>
      <c r="FL41" s="20"/>
    </row>
    <row r="42" spans="3:168" x14ac:dyDescent="0.3">
      <c r="FK42" s="20"/>
      <c r="FL42" s="20"/>
    </row>
    <row r="43" spans="3:168" x14ac:dyDescent="0.3">
      <c r="FK43" s="20"/>
      <c r="FL43" s="20"/>
    </row>
    <row r="44" spans="3:168" x14ac:dyDescent="0.3">
      <c r="FK44" s="20"/>
      <c r="FL44" s="20"/>
    </row>
    <row r="45" spans="3:168" x14ac:dyDescent="0.3">
      <c r="FK45" s="20"/>
      <c r="FL45" s="20"/>
    </row>
    <row r="46" spans="3:168" x14ac:dyDescent="0.3">
      <c r="FK46" s="20"/>
      <c r="FL46" s="20"/>
    </row>
    <row r="47" spans="3:168" x14ac:dyDescent="0.3">
      <c r="FK47" s="20"/>
      <c r="FL47" s="20"/>
    </row>
    <row r="48" spans="3:168" x14ac:dyDescent="0.3">
      <c r="FK48" s="20"/>
      <c r="FL48" s="20"/>
    </row>
    <row r="49" spans="167:168" x14ac:dyDescent="0.3">
      <c r="FK49" s="20"/>
      <c r="FL49" s="20"/>
    </row>
    <row r="50" spans="167:168" x14ac:dyDescent="0.3">
      <c r="FK50" s="20"/>
      <c r="FL50" s="20"/>
    </row>
    <row r="51" spans="167:168" x14ac:dyDescent="0.3">
      <c r="FK51" s="20"/>
      <c r="FL51" s="20"/>
    </row>
    <row r="52" spans="167:168" x14ac:dyDescent="0.3">
      <c r="FK52" s="20"/>
      <c r="FL52" s="20"/>
    </row>
    <row r="53" spans="167:168" x14ac:dyDescent="0.3">
      <c r="FK53" s="20"/>
      <c r="FL53" s="20"/>
    </row>
    <row r="54" spans="167:168" x14ac:dyDescent="0.3">
      <c r="FK54" s="20"/>
      <c r="FL54" s="20"/>
    </row>
    <row r="55" spans="167:168" x14ac:dyDescent="0.3">
      <c r="FK55" s="20"/>
      <c r="FL55" s="20"/>
    </row>
    <row r="56" spans="167:168" x14ac:dyDescent="0.3">
      <c r="FK56" s="20"/>
      <c r="FL56" s="20"/>
    </row>
    <row r="57" spans="167:168" x14ac:dyDescent="0.3">
      <c r="FK57" s="20"/>
      <c r="FL57" s="20"/>
    </row>
    <row r="58" spans="167:168" x14ac:dyDescent="0.3">
      <c r="FK58" s="20"/>
      <c r="FL58" s="20"/>
    </row>
    <row r="59" spans="167:168" x14ac:dyDescent="0.3">
      <c r="FK59" s="20"/>
      <c r="FL59" s="20"/>
    </row>
    <row r="60" spans="167:168" x14ac:dyDescent="0.3">
      <c r="FK60" s="20"/>
      <c r="FL60" s="20"/>
    </row>
    <row r="61" spans="167:168" x14ac:dyDescent="0.3">
      <c r="FK61" s="20"/>
      <c r="FL61" s="20"/>
    </row>
    <row r="62" spans="167:168" x14ac:dyDescent="0.3">
      <c r="FK62" s="20"/>
      <c r="FL62" s="20"/>
    </row>
    <row r="63" spans="167:168" x14ac:dyDescent="0.3">
      <c r="FK63" s="20"/>
      <c r="FL63" s="20"/>
    </row>
    <row r="64" spans="167:168" x14ac:dyDescent="0.3">
      <c r="FK64" s="20"/>
      <c r="FL64" s="20"/>
    </row>
    <row r="65" spans="167:168" x14ac:dyDescent="0.3">
      <c r="FK65" s="20"/>
      <c r="FL65" s="20"/>
    </row>
    <row r="66" spans="167:168" x14ac:dyDescent="0.3">
      <c r="FK66" s="20"/>
      <c r="FL66" s="20"/>
    </row>
    <row r="67" spans="167:168" x14ac:dyDescent="0.3">
      <c r="FK67" s="20"/>
      <c r="FL67" s="20"/>
    </row>
    <row r="68" spans="167:168" x14ac:dyDescent="0.3">
      <c r="FK68" s="20"/>
      <c r="FL68" s="20"/>
    </row>
    <row r="69" spans="167:168" x14ac:dyDescent="0.3">
      <c r="FK69" s="20"/>
      <c r="FL69" s="20"/>
    </row>
    <row r="70" spans="167:168" x14ac:dyDescent="0.3">
      <c r="FK70" s="20"/>
      <c r="FL70" s="20"/>
    </row>
    <row r="71" spans="167:168" x14ac:dyDescent="0.3">
      <c r="FK71" s="20"/>
      <c r="FL71" s="20"/>
    </row>
    <row r="72" spans="167:168" x14ac:dyDescent="0.3">
      <c r="FK72" s="20"/>
      <c r="FL72" s="20"/>
    </row>
    <row r="73" spans="167:168" x14ac:dyDescent="0.3">
      <c r="FK73" s="20"/>
      <c r="FL73" s="20"/>
    </row>
    <row r="74" spans="167:168" x14ac:dyDescent="0.3">
      <c r="FK74" s="20"/>
      <c r="FL74" s="20"/>
    </row>
    <row r="75" spans="167:168" x14ac:dyDescent="0.3">
      <c r="FK75" s="20"/>
      <c r="FL75" s="20"/>
    </row>
    <row r="76" spans="167:168" x14ac:dyDescent="0.3">
      <c r="FK76" s="20"/>
      <c r="FL76" s="20"/>
    </row>
    <row r="77" spans="167:168" x14ac:dyDescent="0.3">
      <c r="FK77" s="20"/>
      <c r="FL77" s="20"/>
    </row>
    <row r="78" spans="167:168" x14ac:dyDescent="0.3">
      <c r="FK78" s="20"/>
      <c r="FL78" s="20"/>
    </row>
    <row r="79" spans="167:168" x14ac:dyDescent="0.3">
      <c r="FK79" s="20"/>
      <c r="FL79" s="20"/>
    </row>
    <row r="80" spans="167:168" x14ac:dyDescent="0.3">
      <c r="FK80" s="20"/>
      <c r="FL80" s="20"/>
    </row>
    <row r="81" spans="167:168" x14ac:dyDescent="0.3">
      <c r="FK81" s="20"/>
      <c r="FL81" s="20"/>
    </row>
    <row r="82" spans="167:168" x14ac:dyDescent="0.3">
      <c r="FK82" s="20"/>
      <c r="FL82" s="20"/>
    </row>
    <row r="83" spans="167:168" x14ac:dyDescent="0.3">
      <c r="FK83" s="20"/>
      <c r="FL83" s="20"/>
    </row>
    <row r="84" spans="167:168" x14ac:dyDescent="0.3">
      <c r="FK84" s="20"/>
      <c r="FL84" s="20"/>
    </row>
    <row r="85" spans="167:168" x14ac:dyDescent="0.3">
      <c r="FK85" s="20"/>
      <c r="FL85" s="20"/>
    </row>
    <row r="86" spans="167:168" x14ac:dyDescent="0.3">
      <c r="FK86" s="20"/>
      <c r="FL86" s="20"/>
    </row>
    <row r="87" spans="167:168" x14ac:dyDescent="0.3">
      <c r="FK87" s="20"/>
      <c r="FL87" s="20"/>
    </row>
    <row r="88" spans="167:168" x14ac:dyDescent="0.3">
      <c r="FK88" s="20"/>
      <c r="FL88" s="20"/>
    </row>
    <row r="89" spans="167:168" x14ac:dyDescent="0.3">
      <c r="FK89" s="20"/>
      <c r="FL89" s="20"/>
    </row>
    <row r="90" spans="167:168" x14ac:dyDescent="0.3">
      <c r="FK90" s="20"/>
      <c r="FL90" s="20"/>
    </row>
    <row r="91" spans="167:168" x14ac:dyDescent="0.3">
      <c r="FK91" s="20"/>
      <c r="FL91" s="20"/>
    </row>
    <row r="92" spans="167:168" x14ac:dyDescent="0.3">
      <c r="FK92" s="20"/>
      <c r="FL92" s="20"/>
    </row>
    <row r="93" spans="167:168" x14ac:dyDescent="0.3">
      <c r="FK93" s="20"/>
      <c r="FL93" s="20"/>
    </row>
    <row r="94" spans="167:168" x14ac:dyDescent="0.3">
      <c r="FK94" s="20"/>
      <c r="FL94" s="20"/>
    </row>
    <row r="95" spans="167:168" x14ac:dyDescent="0.3">
      <c r="FK95" s="20"/>
      <c r="FL95" s="20"/>
    </row>
    <row r="96" spans="167:168" x14ac:dyDescent="0.3">
      <c r="FK96" s="20"/>
      <c r="FL96" s="20"/>
    </row>
    <row r="97" spans="167:168" x14ac:dyDescent="0.3">
      <c r="FK97" s="20"/>
      <c r="FL97" s="20"/>
    </row>
    <row r="98" spans="167:168" x14ac:dyDescent="0.3">
      <c r="FK98" s="20"/>
      <c r="FL98" s="20"/>
    </row>
    <row r="99" spans="167:168" x14ac:dyDescent="0.3">
      <c r="FK99" s="20"/>
      <c r="FL99" s="20"/>
    </row>
    <row r="100" spans="167:168" x14ac:dyDescent="0.3">
      <c r="FK100" s="20"/>
      <c r="FL100" s="20"/>
    </row>
    <row r="101" spans="167:168" x14ac:dyDescent="0.3">
      <c r="FK101" s="20"/>
      <c r="FL101" s="20"/>
    </row>
    <row r="102" spans="167:168" x14ac:dyDescent="0.3">
      <c r="FK102" s="20"/>
      <c r="FL102" s="20"/>
    </row>
    <row r="103" spans="167:168" x14ac:dyDescent="0.3">
      <c r="FK103" s="20"/>
      <c r="FL103" s="20"/>
    </row>
    <row r="104" spans="167:168" x14ac:dyDescent="0.3">
      <c r="FK104" s="20"/>
      <c r="FL104" s="20"/>
    </row>
    <row r="105" spans="167:168" x14ac:dyDescent="0.3">
      <c r="FK105" s="20"/>
      <c r="FL105" s="20"/>
    </row>
    <row r="106" spans="167:168" x14ac:dyDescent="0.3">
      <c r="FK106" s="20"/>
      <c r="FL106" s="20"/>
    </row>
    <row r="107" spans="167:168" x14ac:dyDescent="0.3">
      <c r="FK107" s="20"/>
      <c r="FL107" s="20"/>
    </row>
    <row r="108" spans="167:168" x14ac:dyDescent="0.3">
      <c r="FK108" s="20"/>
      <c r="FL108" s="20"/>
    </row>
    <row r="109" spans="167:168" x14ac:dyDescent="0.3">
      <c r="FK109" s="20"/>
      <c r="FL109" s="20"/>
    </row>
    <row r="110" spans="167:168" x14ac:dyDescent="0.3">
      <c r="FK110" s="20"/>
      <c r="FL110" s="20"/>
    </row>
    <row r="111" spans="167:168" x14ac:dyDescent="0.3">
      <c r="FK111" s="20"/>
      <c r="FL111" s="20"/>
    </row>
    <row r="112" spans="167:168" x14ac:dyDescent="0.3">
      <c r="FK112" s="20"/>
      <c r="FL112" s="20"/>
    </row>
    <row r="113" spans="167:168" x14ac:dyDescent="0.3">
      <c r="FK113" s="20"/>
      <c r="FL113" s="20"/>
    </row>
    <row r="114" spans="167:168" x14ac:dyDescent="0.3">
      <c r="FK114" s="20"/>
      <c r="FL114" s="20"/>
    </row>
    <row r="115" spans="167:168" x14ac:dyDescent="0.3">
      <c r="FK115" s="20"/>
      <c r="FL115" s="20"/>
    </row>
    <row r="116" spans="167:168" x14ac:dyDescent="0.3">
      <c r="FK116" s="20"/>
      <c r="FL116" s="20"/>
    </row>
    <row r="117" spans="167:168" x14ac:dyDescent="0.3">
      <c r="FK117" s="20"/>
      <c r="FL117" s="20"/>
    </row>
    <row r="118" spans="167:168" x14ac:dyDescent="0.3">
      <c r="FK118" s="20"/>
      <c r="FL118" s="20"/>
    </row>
    <row r="119" spans="167:168" x14ac:dyDescent="0.3">
      <c r="FK119" s="20"/>
      <c r="FL119" s="20"/>
    </row>
  </sheetData>
  <conditionalFormatting sqref="EB2:EI2">
    <cfRule type="containsText" dxfId="12" priority="1" operator="containsText" text="Sell">
      <formula>NOT(ISERROR(SEARCH("Sell",EB2)))</formula>
    </cfRule>
    <cfRule type="containsText" dxfId="11" priority="2" operator="containsText" text="Buy">
      <formula>NOT(ISERROR(SEARCH("Buy",EB2)))</formula>
    </cfRule>
    <cfRule type="expression" dxfId="10" priority="3">
      <formula>"EC2=""Buy"""</formula>
    </cfRule>
  </conditionalFormatting>
  <conditionalFormatting sqref="EW2:EW9">
    <cfRule type="top10" dxfId="9" priority="40" bottom="1" rank="2"/>
    <cfRule type="top10" dxfId="8" priority="41" rank="2"/>
  </conditionalFormatting>
  <dataValidations count="1">
    <dataValidation type="list" allowBlank="1" showInputMessage="1" showErrorMessage="1" sqref="EB2:EI2" xr:uid="{53066ED2-17D8-4D3F-9704-30DAA979AF5F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51A5-7B57-4AC8-AB27-9E318D34D459}">
  <dimension ref="A1:FN119"/>
  <sheetViews>
    <sheetView topLeftCell="DV1" zoomScale="55" zoomScaleNormal="55" workbookViewId="0">
      <selection activeCell="EH37" sqref="EH37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84" width="14.6640625" bestFit="1" customWidth="1"/>
    <col min="85" max="91" width="14.6640625" hidden="1" customWidth="1"/>
    <col min="92" max="92" width="13.88671875" hidden="1" customWidth="1"/>
    <col min="93" max="94" width="14.6640625" hidden="1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8.6640625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27.21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32" t="s">
        <v>1</v>
      </c>
      <c r="D1" s="32" t="s">
        <v>2</v>
      </c>
      <c r="E1" s="33" t="s">
        <v>3</v>
      </c>
      <c r="F1" s="33" t="s">
        <v>4</v>
      </c>
      <c r="G1" s="33" t="s">
        <v>5</v>
      </c>
      <c r="H1" s="33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3" t="s">
        <v>13</v>
      </c>
      <c r="P1" s="33" t="s">
        <v>14</v>
      </c>
      <c r="Q1" s="33" t="s">
        <v>15</v>
      </c>
      <c r="R1" s="33" t="s">
        <v>16</v>
      </c>
      <c r="S1" s="33" t="s">
        <v>17</v>
      </c>
      <c r="T1" s="33" t="s">
        <v>18</v>
      </c>
      <c r="U1" s="33" t="s">
        <v>19</v>
      </c>
      <c r="V1" s="33" t="s">
        <v>20</v>
      </c>
      <c r="W1" s="33" t="s">
        <v>21</v>
      </c>
      <c r="X1" s="33" t="s">
        <v>22</v>
      </c>
      <c r="Y1" s="33" t="s">
        <v>23</v>
      </c>
      <c r="Z1" s="33" t="s">
        <v>24</v>
      </c>
      <c r="AA1" s="33" t="s">
        <v>25</v>
      </c>
      <c r="AB1" s="33" t="s">
        <v>26</v>
      </c>
      <c r="AC1" s="33" t="s">
        <v>27</v>
      </c>
      <c r="AD1" s="33" t="s">
        <v>28</v>
      </c>
      <c r="AH1" s="3" t="s">
        <v>29</v>
      </c>
      <c r="AI1" s="4" t="s">
        <v>1</v>
      </c>
      <c r="AJ1" s="4" t="s">
        <v>2</v>
      </c>
      <c r="AK1" s="5" t="s">
        <v>3</v>
      </c>
      <c r="AL1" s="5" t="s">
        <v>4</v>
      </c>
      <c r="AM1" s="5" t="s">
        <v>5</v>
      </c>
      <c r="AN1" s="5" t="s">
        <v>6</v>
      </c>
      <c r="AO1" s="5" t="s">
        <v>7</v>
      </c>
      <c r="AP1" s="5" t="s">
        <v>8</v>
      </c>
      <c r="AQ1" s="5" t="s">
        <v>9</v>
      </c>
      <c r="AR1" s="5" t="s">
        <v>10</v>
      </c>
      <c r="AS1" s="5" t="s">
        <v>11</v>
      </c>
      <c r="AT1" s="5" t="s">
        <v>12</v>
      </c>
      <c r="AU1" s="5" t="s">
        <v>13</v>
      </c>
      <c r="AV1" s="5" t="s">
        <v>14</v>
      </c>
      <c r="AW1" s="5" t="s">
        <v>15</v>
      </c>
      <c r="AX1" s="5" t="s">
        <v>16</v>
      </c>
      <c r="AY1" s="5" t="s">
        <v>17</v>
      </c>
      <c r="AZ1" s="5" t="s">
        <v>18</v>
      </c>
      <c r="BA1" s="5" t="s">
        <v>19</v>
      </c>
      <c r="BB1" s="5" t="s">
        <v>20</v>
      </c>
      <c r="BC1" s="5" t="s">
        <v>21</v>
      </c>
      <c r="BD1" s="5" t="s">
        <v>22</v>
      </c>
      <c r="BE1" s="5" t="s">
        <v>23</v>
      </c>
      <c r="BF1" s="5" t="s">
        <v>24</v>
      </c>
      <c r="BG1" s="5" t="s">
        <v>25</v>
      </c>
      <c r="BH1" s="5" t="s">
        <v>26</v>
      </c>
      <c r="BI1" s="5" t="s">
        <v>27</v>
      </c>
      <c r="BJ1" s="5" t="s">
        <v>28</v>
      </c>
      <c r="BN1" s="6" t="s">
        <v>29</v>
      </c>
      <c r="BO1" s="7" t="s">
        <v>1</v>
      </c>
      <c r="BP1" s="7" t="s">
        <v>2</v>
      </c>
      <c r="BQ1" s="8" t="s">
        <v>3</v>
      </c>
      <c r="BR1" s="8" t="s">
        <v>4</v>
      </c>
      <c r="BS1" s="8" t="s">
        <v>5</v>
      </c>
      <c r="BT1" s="8" t="s">
        <v>6</v>
      </c>
      <c r="BU1" s="8" t="s">
        <v>7</v>
      </c>
      <c r="BV1" s="8" t="s">
        <v>8</v>
      </c>
      <c r="BW1" s="8" t="s">
        <v>9</v>
      </c>
      <c r="BX1" s="8" t="s">
        <v>10</v>
      </c>
      <c r="BY1" s="8" t="s">
        <v>11</v>
      </c>
      <c r="BZ1" s="8" t="s">
        <v>12</v>
      </c>
      <c r="CA1" s="8" t="s">
        <v>13</v>
      </c>
      <c r="CB1" s="8" t="s">
        <v>14</v>
      </c>
      <c r="CC1" s="8" t="s">
        <v>15</v>
      </c>
      <c r="CD1" s="8" t="s">
        <v>16</v>
      </c>
      <c r="CE1" s="8" t="s">
        <v>17</v>
      </c>
      <c r="CF1" s="8" t="s">
        <v>18</v>
      </c>
      <c r="CG1" s="8" t="s">
        <v>19</v>
      </c>
      <c r="CH1" s="8" t="s">
        <v>20</v>
      </c>
      <c r="CI1" s="8" t="s">
        <v>21</v>
      </c>
      <c r="CJ1" s="8" t="s">
        <v>22</v>
      </c>
      <c r="CK1" s="8" t="s">
        <v>23</v>
      </c>
      <c r="CL1" s="8" t="s">
        <v>24</v>
      </c>
      <c r="CM1" s="8" t="s">
        <v>25</v>
      </c>
      <c r="CN1" s="8" t="s">
        <v>26</v>
      </c>
      <c r="CO1" s="8" t="s">
        <v>27</v>
      </c>
      <c r="CP1" s="8" t="s">
        <v>28</v>
      </c>
      <c r="CU1" s="9" t="s">
        <v>29</v>
      </c>
      <c r="CV1" s="9" t="s">
        <v>30</v>
      </c>
      <c r="CW1" s="9" t="s">
        <v>31</v>
      </c>
      <c r="CX1" s="9" t="s">
        <v>32</v>
      </c>
      <c r="CY1" s="9" t="s">
        <v>33</v>
      </c>
      <c r="CZ1" s="9" t="s">
        <v>34</v>
      </c>
      <c r="DA1" s="9" t="s">
        <v>35</v>
      </c>
      <c r="DB1" s="9" t="s">
        <v>36</v>
      </c>
      <c r="DC1" s="9" t="s">
        <v>37</v>
      </c>
      <c r="DF1" s="43" t="s">
        <v>29</v>
      </c>
      <c r="DG1" s="43" t="s">
        <v>26</v>
      </c>
      <c r="DH1" s="43" t="s">
        <v>7</v>
      </c>
      <c r="DI1" s="43" t="s">
        <v>27</v>
      </c>
      <c r="DJ1" s="43" t="s">
        <v>9</v>
      </c>
      <c r="DK1" s="43" t="s">
        <v>38</v>
      </c>
      <c r="DL1" s="43" t="s">
        <v>8</v>
      </c>
      <c r="DM1" s="43" t="s">
        <v>39</v>
      </c>
      <c r="DN1" s="43" t="s">
        <v>11</v>
      </c>
      <c r="DO1" s="43" t="s">
        <v>40</v>
      </c>
      <c r="DP1" s="43" t="s">
        <v>12</v>
      </c>
      <c r="DQ1" s="43" t="s">
        <v>28</v>
      </c>
      <c r="DR1" s="43" t="s">
        <v>10</v>
      </c>
      <c r="DS1" s="43" t="s">
        <v>41</v>
      </c>
      <c r="DT1" s="43" t="s">
        <v>56</v>
      </c>
      <c r="DX1" s="10" t="s">
        <v>29</v>
      </c>
      <c r="DY1" s="10" t="s">
        <v>43</v>
      </c>
      <c r="DZ1" s="10"/>
      <c r="EA1" s="10" t="s">
        <v>44</v>
      </c>
      <c r="EB1" s="10" t="s">
        <v>30</v>
      </c>
      <c r="EC1" s="10" t="s">
        <v>31</v>
      </c>
      <c r="ED1" s="10" t="s">
        <v>32</v>
      </c>
      <c r="EE1" s="10" t="s">
        <v>33</v>
      </c>
      <c r="EF1" s="10" t="s">
        <v>45</v>
      </c>
      <c r="EG1" s="10" t="s">
        <v>35</v>
      </c>
      <c r="EH1" s="10" t="s">
        <v>36</v>
      </c>
      <c r="EI1" s="10" t="s">
        <v>37</v>
      </c>
      <c r="EJ1" s="2" t="s">
        <v>46</v>
      </c>
      <c r="EM1" s="9" t="s">
        <v>29</v>
      </c>
      <c r="EN1" s="9" t="s">
        <v>30</v>
      </c>
      <c r="EO1" s="9" t="s">
        <v>31</v>
      </c>
      <c r="EP1" s="9" t="s">
        <v>32</v>
      </c>
      <c r="EQ1" s="9" t="s">
        <v>33</v>
      </c>
      <c r="ER1" s="9" t="s">
        <v>34</v>
      </c>
      <c r="ES1" s="9" t="s">
        <v>35</v>
      </c>
      <c r="ET1" s="9" t="s">
        <v>36</v>
      </c>
      <c r="EU1" s="9" t="s">
        <v>37</v>
      </c>
      <c r="EW1" s="11" t="s">
        <v>47</v>
      </c>
      <c r="FB1" s="9" t="s">
        <v>29</v>
      </c>
      <c r="FC1" s="9" t="s">
        <v>30</v>
      </c>
      <c r="FD1" s="9" t="s">
        <v>31</v>
      </c>
      <c r="FE1" s="9" t="s">
        <v>32</v>
      </c>
      <c r="FF1" s="9" t="s">
        <v>33</v>
      </c>
      <c r="FG1" s="9" t="s">
        <v>34</v>
      </c>
      <c r="FH1" s="9" t="s">
        <v>35</v>
      </c>
      <c r="FI1" s="9" t="s">
        <v>36</v>
      </c>
      <c r="FJ1" s="9" t="s">
        <v>37</v>
      </c>
    </row>
    <row r="2" spans="1:170" ht="14.4" thickBot="1" x14ac:dyDescent="0.35">
      <c r="A2" s="12">
        <f ca="1">NOW()</f>
        <v>45526.807172569446</v>
      </c>
      <c r="B2" s="12" t="s">
        <v>50</v>
      </c>
      <c r="C2" s="34">
        <f>RTD("fxbluelabs.excelrtd", , "21422436","@bh,AUDUSD,d1,close,0")</f>
        <v>0.67267999999999994</v>
      </c>
      <c r="D2" s="34">
        <f>RTD("fxbluelabs.excelrtd", , "21422436","@bh,AUDNZD,d1,close,0")</f>
        <v>1.09422</v>
      </c>
      <c r="E2" s="35">
        <f>RTD("fxbluelabs.excelrtd", , "21422436","@bh,AUDJPY,d1,close,0")</f>
        <v>98.289000000000001</v>
      </c>
      <c r="F2" s="34">
        <f>RTD("fxbluelabs.excelrtd", , "21422436","@bh,AUDCHF,d1,close,0")</f>
        <v>0.57330999999999999</v>
      </c>
      <c r="G2" s="34">
        <f>RTD("fxbluelabs.excelrtd", , "21422436","@bh,AUDCAD,d1,close,0")</f>
        <v>0.91422999999999999</v>
      </c>
      <c r="H2" s="34">
        <f>RTD("fxbluelabs.excelrtd", , "21422436","@bh,EURUSD,d1,close,0")</f>
        <v>1.1132200000000001</v>
      </c>
      <c r="I2" s="34">
        <f>RTD("fxbluelabs.excelrtd", , "21422436","@bh,EURCAD,d1,close,0")</f>
        <v>1.5129600000000001</v>
      </c>
      <c r="J2" s="34">
        <f>RTD("fxbluelabs.excelrtd", , "21422436","@bh,EURGBP,d1,close,0")</f>
        <v>0.84967000000000004</v>
      </c>
      <c r="K2" s="34">
        <f>RTD("fxbluelabs.excelrtd", , "21422436","@bh,EURCHF,d1,close,0")</f>
        <v>0.94874999999999998</v>
      </c>
      <c r="L2" s="35">
        <f>RTD("fxbluelabs.excelrtd", , "21422436","@bh,EURJPY,d1,close,0")</f>
        <v>162.654</v>
      </c>
      <c r="M2" s="34">
        <f>RTD("fxbluelabs.excelrtd", , "21422436","@bh,EURAUD,d1,close,0")</f>
        <v>1.65486</v>
      </c>
      <c r="N2" s="34">
        <f>RTD("fxbluelabs.excelrtd", , "21422436","@bh,EURNZD,d1,close,0")</f>
        <v>1.8108200000000001</v>
      </c>
      <c r="O2" s="34">
        <f>RTD("fxbluelabs.excelrtd", , "21422436","@bh,GBPUSD,d1,close,0")</f>
        <v>1.31026</v>
      </c>
      <c r="P2" s="34">
        <f>RTD("fxbluelabs.excelrtd", , "21422436","@bh,GBPAUD,d1,close,0")</f>
        <v>1.94763</v>
      </c>
      <c r="Q2" s="34">
        <f>RTD("fxbluelabs.excelrtd", , "21422436","@bh,GBPNZD,d1,close,0")</f>
        <v>2.1310600000000002</v>
      </c>
      <c r="R2" s="34">
        <f>RTD("fxbluelabs.excelrtd", , "21422436","@bh,GBPCAD,d1,close,0")</f>
        <v>1.7806200000000001</v>
      </c>
      <c r="S2" s="34">
        <f>RTD("fxbluelabs.excelrtd", , "21422436","@bh,GBPCHF,d1,close,0")</f>
        <v>1.1165400000000001</v>
      </c>
      <c r="T2" s="35">
        <f>RTD("fxbluelabs.excelrtd", , "21422436","@bh,GBPJPY,d1,close,0")</f>
        <v>191.417</v>
      </c>
      <c r="U2" s="35">
        <f>RTD("fxbluelabs.excelrtd", , "21422436","@bh,NZDJPY,d1,close,0")</f>
        <v>89.816000000000003</v>
      </c>
      <c r="V2" s="34">
        <f>RTD("fxbluelabs.excelrtd", , "21422436","@bh,NZDCHF,d1,close,0")</f>
        <v>0.52388999999999997</v>
      </c>
      <c r="W2" s="34">
        <f>RTD("fxbluelabs.excelrtd", , "21422436","@bh,NZDUSD,d1,close,0")</f>
        <v>0.61473</v>
      </c>
      <c r="X2" s="34">
        <f>RTD("fxbluelabs.excelrtd", , "21422436","@bh,NZDCAD,d1,close,0")</f>
        <v>0.83543000000000001</v>
      </c>
      <c r="Y2" s="35">
        <f>RTD("fxbluelabs.excelrtd", , "21422436","@bh,CADJPY,d1,close,0")</f>
        <v>107.508</v>
      </c>
      <c r="Z2" s="34">
        <f>RTD("fxbluelabs.excelrtd", , "21422436","@bh,CADCHF,d1,close,0")</f>
        <v>0.62709000000000004</v>
      </c>
      <c r="AA2" s="35">
        <f>RTD("fxbluelabs.excelrtd", , "21422436","@bh,CHFJPY,d1,close,0")</f>
        <v>171.43299999999999</v>
      </c>
      <c r="AB2" s="34">
        <f>RTD("fxbluelabs.excelrtd", , "21422436","@bh,USDCAD,d1,close,0")</f>
        <v>1.35917</v>
      </c>
      <c r="AC2" s="34">
        <f>RTD("fxbluelabs.excelrtd", , "21422436","@bh,USDCHF,d1,close,0")</f>
        <v>0.85228000000000004</v>
      </c>
      <c r="AD2" s="35">
        <f>RTD("fxbluelabs.excelrtd", , "21422436","@bh,USDJPY,d1,close,0")</f>
        <v>146.113</v>
      </c>
      <c r="AH2" s="13">
        <v>1</v>
      </c>
      <c r="AI2" s="14">
        <f>IF(C2=0,0,(C2-C3)*100/C3)</f>
        <v>-0.25652051422725186</v>
      </c>
      <c r="AJ2" s="14">
        <f t="shared" ref="AJ2:AY3" si="0">IF(D2=0,0,(D2-D3)*100/D3)</f>
        <v>-0.10407537248027306</v>
      </c>
      <c r="AK2" s="14">
        <f t="shared" si="0"/>
        <v>0.32253784205852887</v>
      </c>
      <c r="AL2" s="14">
        <f t="shared" si="0"/>
        <v>-0.18107425785671469</v>
      </c>
      <c r="AM2" s="14">
        <f t="shared" si="0"/>
        <v>-0.27053266572853329</v>
      </c>
      <c r="AN2" s="14">
        <f>IF(H2=0,0,(H2-H3)*100/H3)</f>
        <v>-0.15874581834813115</v>
      </c>
      <c r="AO2" s="14">
        <f t="shared" si="0"/>
        <v>-0.17418844022169278</v>
      </c>
      <c r="AP2" s="14">
        <f t="shared" si="0"/>
        <v>-0.24420311124155805</v>
      </c>
      <c r="AQ2" s="14">
        <f t="shared" si="0"/>
        <v>-9.0563494487207588E-2</v>
      </c>
      <c r="AR2" s="14">
        <f t="shared" si="0"/>
        <v>0.41548082799834662</v>
      </c>
      <c r="AS2" s="14">
        <f t="shared" si="0"/>
        <v>9.9805832289904445E-2</v>
      </c>
      <c r="AT2" s="14">
        <f t="shared" si="0"/>
        <v>-1.2699815024430714E-2</v>
      </c>
      <c r="AU2" s="14">
        <f t="shared" si="0"/>
        <v>8.9375062066007177E-2</v>
      </c>
      <c r="AV2" s="14">
        <f t="shared" si="0"/>
        <v>0.34157650695517328</v>
      </c>
      <c r="AW2" s="14">
        <f t="shared" si="0"/>
        <v>0.23281956248735999</v>
      </c>
      <c r="AX2" s="14">
        <f t="shared" si="0"/>
        <v>6.6312997347490271E-2</v>
      </c>
      <c r="AY2" s="14">
        <f t="shared" si="0"/>
        <v>0.14889494833524636</v>
      </c>
      <c r="AZ2" s="14">
        <f t="shared" ref="AY2:BJ17" si="1">IF(T2=0,0,(T2-T3)*100/T3)</f>
        <v>0.6541412293017409</v>
      </c>
      <c r="BA2" s="14">
        <f t="shared" si="1"/>
        <v>0.45858219806276601</v>
      </c>
      <c r="BB2" s="14">
        <f t="shared" si="1"/>
        <v>-5.3417784306629142E-2</v>
      </c>
      <c r="BC2" s="14">
        <f t="shared" si="1"/>
        <v>-0.15754425856748844</v>
      </c>
      <c r="BD2" s="14">
        <f t="shared" si="1"/>
        <v>-0.1684909899144427</v>
      </c>
      <c r="BE2" s="14">
        <f t="shared" si="1"/>
        <v>0.60075234405703959</v>
      </c>
      <c r="BF2" s="14">
        <f t="shared" si="1"/>
        <v>9.5771680314138283E-2</v>
      </c>
      <c r="BG2" s="14">
        <f t="shared" si="1"/>
        <v>0.5094861752773151</v>
      </c>
      <c r="BH2" s="14">
        <f t="shared" si="1"/>
        <v>-1.2506069121779944E-2</v>
      </c>
      <c r="BI2" s="14">
        <f t="shared" si="1"/>
        <v>7.1623985816102409E-2</v>
      </c>
      <c r="BJ2" s="14">
        <f t="shared" si="1"/>
        <v>0.57891403711658695</v>
      </c>
      <c r="BN2">
        <v>1</v>
      </c>
      <c r="BO2" s="15">
        <f>AI2+SUM(AI3:AI37)</f>
        <v>-7.039806536928167E-2</v>
      </c>
      <c r="BP2" s="15">
        <f t="shared" ref="BP2:BP28" si="2">AJ2+SUM(AJ3:AJ37)</f>
        <v>-1.674997720528874</v>
      </c>
      <c r="BQ2" s="15">
        <f t="shared" ref="BQ2:CP11" si="3">AK2+SUM(AK3:AK37)</f>
        <v>-8.0267159270279613</v>
      </c>
      <c r="BR2" s="15">
        <f t="shared" si="3"/>
        <v>-4.7638572068984217</v>
      </c>
      <c r="BS2" s="15">
        <f t="shared" si="3"/>
        <v>-0.67913946998435271</v>
      </c>
      <c r="BT2" s="15">
        <f t="shared" si="3"/>
        <v>2.1374153368743158</v>
      </c>
      <c r="BU2" s="15">
        <f t="shared" si="3"/>
        <v>1.5352604407336035</v>
      </c>
      <c r="BV2" s="15">
        <f t="shared" si="3"/>
        <v>1.1498804924335098</v>
      </c>
      <c r="BW2" s="15">
        <f t="shared" si="3"/>
        <v>-2.6084504292291242</v>
      </c>
      <c r="BX2" s="15">
        <f t="shared" si="3"/>
        <v>-5.8769612858800189</v>
      </c>
      <c r="BY2" s="15">
        <f t="shared" si="3"/>
        <v>2.2531127648133769</v>
      </c>
      <c r="BZ2" s="15">
        <f t="shared" si="3"/>
        <v>0.55964995011889707</v>
      </c>
      <c r="CA2" s="15">
        <f t="shared" si="3"/>
        <v>1.0149070391095993</v>
      </c>
      <c r="CB2" s="15">
        <f t="shared" si="3"/>
        <v>1.1088194418833601</v>
      </c>
      <c r="CC2" s="15">
        <f t="shared" si="3"/>
        <v>-0.58198852455157313</v>
      </c>
      <c r="CD2" s="15">
        <f t="shared" si="3"/>
        <v>0.40388778641581069</v>
      </c>
      <c r="CE2" s="15">
        <f t="shared" si="3"/>
        <v>-3.7117777996042332</v>
      </c>
      <c r="CF2" s="15">
        <f t="shared" si="3"/>
        <v>-6.9819070140874979</v>
      </c>
      <c r="CG2" s="15">
        <f t="shared" si="3"/>
        <v>-6.3408024984302376</v>
      </c>
      <c r="CH2" s="15">
        <f t="shared" si="3"/>
        <v>-3.0672336139437633</v>
      </c>
      <c r="CI2" s="15">
        <f t="shared" si="3"/>
        <v>1.6478148428846304</v>
      </c>
      <c r="CJ2" s="15">
        <f t="shared" si="3"/>
        <v>1.0321892667174715</v>
      </c>
      <c r="CK2" s="15">
        <f t="shared" si="3"/>
        <v>-7.3610058101623501</v>
      </c>
      <c r="CL2" s="15">
        <f t="shared" si="3"/>
        <v>-4.0938957243388838</v>
      </c>
      <c r="CM2" s="15">
        <f t="shared" si="3"/>
        <v>-3.2793562533599157</v>
      </c>
      <c r="CN2" s="15">
        <f t="shared" si="3"/>
        <v>-0.5889829709770017</v>
      </c>
      <c r="CO2" s="15">
        <f t="shared" si="3"/>
        <v>-4.7010006628037617</v>
      </c>
      <c r="CP2" s="15">
        <f t="shared" si="3"/>
        <v>-7.9608301321315507</v>
      </c>
      <c r="CU2" s="13">
        <v>1</v>
      </c>
      <c r="CV2" s="16">
        <f>BT2+BU2+BV2+BW2+BX2+BY2+BZ2</f>
        <v>-0.85009273013544029</v>
      </c>
      <c r="CW2" s="16">
        <f>CN2+CO2+CP2-CI2-CA2-BT2-BO2</f>
        <v>-17.980552919411579</v>
      </c>
      <c r="CX2" s="16">
        <f>CK2+CL2-CN2-CJ2-CD2-BU2-BS2</f>
        <v>-13.158116587406765</v>
      </c>
      <c r="CY2" s="16">
        <f>CM2-CO2-CH2-CE2-BW2-BR2</f>
        <v>15.572963459119389</v>
      </c>
      <c r="CZ2" s="16">
        <f>CA2+CB2+CC2+CD2+CE2+CF2-BV2</f>
        <v>-9.8979395632680447</v>
      </c>
      <c r="DA2" s="16">
        <f>BO2+BP2+BQ2+BR2+BS2-BY2-CB2</f>
        <v>-18.577040596505629</v>
      </c>
      <c r="DB2" s="16">
        <f>CG2+CH2+CI2+CJ2-CC2-BZ2-BP2</f>
        <v>-5.0306957078103487</v>
      </c>
      <c r="DC2" s="16">
        <f>-BQ2-BX2-CF2-CG2-CK2-CM2-CP2</f>
        <v>45.827578921079528</v>
      </c>
      <c r="DF2" s="44">
        <v>1</v>
      </c>
      <c r="DG2" s="45">
        <f>CN2</f>
        <v>-0.5889829709770017</v>
      </c>
      <c r="DH2" s="45">
        <f>BU2</f>
        <v>1.5352604407336035</v>
      </c>
      <c r="DI2" s="45">
        <f>CO2</f>
        <v>-4.7010006628037617</v>
      </c>
      <c r="DJ2" s="45">
        <f>BW2</f>
        <v>-2.6084504292291242</v>
      </c>
      <c r="DK2" s="45">
        <f>-(CA2)</f>
        <v>-1.0149070391095993</v>
      </c>
      <c r="DL2" s="45">
        <f>BV2</f>
        <v>1.1498804924335098</v>
      </c>
      <c r="DM2" s="45">
        <f>-(BO2)</f>
        <v>7.039806536928167E-2</v>
      </c>
      <c r="DN2" s="45">
        <f>BY2</f>
        <v>2.2531127648133769</v>
      </c>
      <c r="DO2" s="45">
        <f>-(CI2)</f>
        <v>-1.6478148428846304</v>
      </c>
      <c r="DP2" s="45">
        <f>BZ2</f>
        <v>0.55964995011889707</v>
      </c>
      <c r="DQ2" s="45">
        <f>CP2</f>
        <v>-7.9608301321315507</v>
      </c>
      <c r="DR2" s="45">
        <f>BX2</f>
        <v>-5.8769612858800189</v>
      </c>
      <c r="DS2" s="45">
        <f>-(BT2)</f>
        <v>-2.1374153368743158</v>
      </c>
      <c r="DT2" s="45">
        <f>BT2</f>
        <v>2.1374153368743158</v>
      </c>
      <c r="DX2">
        <v>1</v>
      </c>
      <c r="DY2" s="19">
        <f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17.130460189276139</v>
      </c>
      <c r="EB2" t="s">
        <v>48</v>
      </c>
      <c r="EC2" t="s">
        <v>49</v>
      </c>
      <c r="ED2" t="s">
        <v>57</v>
      </c>
      <c r="EJ2" t="s">
        <v>48</v>
      </c>
      <c r="EM2" s="13">
        <v>1</v>
      </c>
      <c r="EN2" s="16">
        <f>BT2+BU2+BV2+BW2+BX2+BY2+BZ2</f>
        <v>-0.85009273013544029</v>
      </c>
      <c r="EO2" s="16">
        <f t="shared" ref="EO2:EO37" si="4">CN2+CO2+CP2-CI2-CA2-BT2-BO2</f>
        <v>-17.980552919411579</v>
      </c>
      <c r="EP2" s="16">
        <f>CK2+CL2-CN2-CJ2-CD2-BU2-BS2</f>
        <v>-13.158116587406765</v>
      </c>
      <c r="EQ2" s="16">
        <f>CM2-CO2-CH2-CE2-BW2-BR2</f>
        <v>15.572963459119389</v>
      </c>
      <c r="ER2" s="16">
        <f>CA2+CB2+CC2+CD2+CE2+CF2-BV2</f>
        <v>-9.8979395632680447</v>
      </c>
      <c r="ES2" s="16">
        <f>BO2+BP2+BQ2+BR2+BS2-BY2-CB2</f>
        <v>-18.577040596505629</v>
      </c>
      <c r="ET2" s="16">
        <f>CG2+CH2+CI2+CJ2-CC2-BZ2-BP2</f>
        <v>-5.0306957078103487</v>
      </c>
      <c r="EU2" s="16">
        <f>-BQ2-BX2-CF2-CG2-CK2-CM2-CP2</f>
        <v>45.827578921079528</v>
      </c>
      <c r="EW2" s="20">
        <f>LARGE($EN$2:$EU$2,1)</f>
        <v>45.827578921079528</v>
      </c>
      <c r="EX2" s="39" t="str">
        <f>INDEX(EN1:EU1,MATCH(EW2,EN2:EU2,0))</f>
        <v>JPY</v>
      </c>
      <c r="FK2" s="20"/>
      <c r="FL2" s="20"/>
    </row>
    <row r="3" spans="1:170" ht="14.4" thickBot="1" x14ac:dyDescent="0.35">
      <c r="A3" s="37" t="s">
        <v>51</v>
      </c>
      <c r="B3" s="38">
        <v>1</v>
      </c>
      <c r="C3" s="34">
        <f>RTD("fxbluelabs.excelrtd", , "21422436","@bh,AUDUSD,d1,close,1")</f>
        <v>0.67440999999999995</v>
      </c>
      <c r="D3" s="34">
        <f>RTD("fxbluelabs.excelrtd", , "21422436","@bh,AUDNZD,d1,close,1")</f>
        <v>1.0953599999999999</v>
      </c>
      <c r="E3" s="35">
        <f>RTD("fxbluelabs.excelrtd", , "21422436","@bh,AUDJPY,d1,close,1")</f>
        <v>97.972999999999999</v>
      </c>
      <c r="F3" s="34">
        <f>RTD("fxbluelabs.excelrtd", , "21422436","@bh,AUDCHF,d1,close,1")</f>
        <v>0.57435000000000003</v>
      </c>
      <c r="G3" s="34">
        <f>RTD("fxbluelabs.excelrtd", , "21422436","@bh,AUDCAD,d1,close,1")</f>
        <v>0.91671000000000002</v>
      </c>
      <c r="H3" s="34">
        <f>RTD("fxbluelabs.excelrtd", , "21422436","@bh,EURUSD,d1,close,1")</f>
        <v>1.1149899999999999</v>
      </c>
      <c r="I3" s="34">
        <f>RTD("fxbluelabs.excelrtd", , "21422436","@bh,EURCAD,d1,close,1")</f>
        <v>1.5156000000000001</v>
      </c>
      <c r="J3" s="34">
        <f>RTD("fxbluelabs.excelrtd", , "21422436","@bh,EURGBP,d1,close,1")</f>
        <v>0.85175000000000001</v>
      </c>
      <c r="K3" s="34">
        <f>RTD("fxbluelabs.excelrtd", , "21422436","@bh,EURCHF,d1,close,1")</f>
        <v>0.94960999999999995</v>
      </c>
      <c r="L3" s="35">
        <f>RTD("fxbluelabs.excelrtd", , "21422436","@bh,EURJPY,d1,close,1")</f>
        <v>161.98099999999999</v>
      </c>
      <c r="M3" s="34">
        <f>RTD("fxbluelabs.excelrtd", , "21422436","@bh,EURAUD,d1,close,1")</f>
        <v>1.6532100000000001</v>
      </c>
      <c r="N3" s="34">
        <f>RTD("fxbluelabs.excelrtd", , "21422436","@bh,EURNZD,d1,close,1")</f>
        <v>1.81105</v>
      </c>
      <c r="O3" s="34">
        <f>RTD("fxbluelabs.excelrtd", , "21422436","@bh,GBPUSD,d1,close,1")</f>
        <v>1.3090900000000001</v>
      </c>
      <c r="P3" s="34">
        <f>RTD("fxbluelabs.excelrtd", , "21422436","@bh,GBPAUD,d1,close,1")</f>
        <v>1.9410000000000001</v>
      </c>
      <c r="Q3" s="34">
        <f>RTD("fxbluelabs.excelrtd", , "21422436","@bh,GBPNZD,d1,close,1")</f>
        <v>2.1261100000000002</v>
      </c>
      <c r="R3" s="34">
        <f>RTD("fxbluelabs.excelrtd", , "21422436","@bh,GBPCAD,d1,close,1")</f>
        <v>1.7794399999999999</v>
      </c>
      <c r="S3" s="34">
        <f>RTD("fxbluelabs.excelrtd", , "21422436","@bh,GBPCHF,d1,close,1")</f>
        <v>1.1148800000000001</v>
      </c>
      <c r="T3" s="35">
        <f>RTD("fxbluelabs.excelrtd", , "21422436","@bh,GBPJPY,d1,close,1")</f>
        <v>190.173</v>
      </c>
      <c r="U3" s="35">
        <f>RTD("fxbluelabs.excelrtd", , "21422436","@bh,NZDJPY,d1,close,1")</f>
        <v>89.406000000000006</v>
      </c>
      <c r="V3" s="34">
        <f>RTD("fxbluelabs.excelrtd", , "21422436","@bh,NZDCHF,d1,close,1")</f>
        <v>0.52417000000000002</v>
      </c>
      <c r="W3" s="34">
        <f>RTD("fxbluelabs.excelrtd", , "21422436","@bh,NZDUSD,d1,close,1")</f>
        <v>0.61570000000000003</v>
      </c>
      <c r="X3" s="34">
        <f>RTD("fxbluelabs.excelrtd", , "21422436","@bh,NZDCAD,d1,close,1")</f>
        <v>0.83684000000000003</v>
      </c>
      <c r="Y3" s="35">
        <f>RTD("fxbluelabs.excelrtd", , "21422436","@bh,CADJPY,d1,close,1")</f>
        <v>106.866</v>
      </c>
      <c r="Z3" s="34">
        <f>RTD("fxbluelabs.excelrtd", , "21422436","@bh,CADCHF,d1,close,1")</f>
        <v>0.62648999999999999</v>
      </c>
      <c r="AA3" s="35">
        <f>RTD("fxbluelabs.excelrtd", , "21422436","@bh,CHFJPY,d1,close,1")</f>
        <v>170.56399999999999</v>
      </c>
      <c r="AB3" s="34">
        <f>RTD("fxbluelabs.excelrtd", , "21422436","@bh,USDCAD,d1,close,1")</f>
        <v>1.35934</v>
      </c>
      <c r="AC3" s="34">
        <f>RTD("fxbluelabs.excelrtd", , "21422436","@bh,USDCHF,d1,close,1")</f>
        <v>0.85167000000000004</v>
      </c>
      <c r="AD3" s="35">
        <f>RTD("fxbluelabs.excelrtd", , "21422436","@bh,USDJPY,d1,close,1")</f>
        <v>145.27199999999999</v>
      </c>
      <c r="AH3" s="21">
        <v>2</v>
      </c>
      <c r="AI3" s="22">
        <f>IF(C3=0,0,(C3-C4)*100/C4)</f>
        <v>-3.8537359005148882E-2</v>
      </c>
      <c r="AJ3" s="22">
        <f t="shared" si="0"/>
        <v>-8.3008747844982383E-2</v>
      </c>
      <c r="AK3" s="22">
        <f t="shared" si="0"/>
        <v>-2.959123283197931E-2</v>
      </c>
      <c r="AL3" s="22">
        <f t="shared" si="0"/>
        <v>-0.31587899404688424</v>
      </c>
      <c r="AM3" s="22">
        <f t="shared" si="0"/>
        <v>-0.23507133762120211</v>
      </c>
      <c r="AN3" s="22">
        <f>IF(H3=0,0,(H3-H4)*100/H4)</f>
        <v>0.17879604672056928</v>
      </c>
      <c r="AO3" s="22">
        <f t="shared" si="0"/>
        <v>-1.9130675708653098E-2</v>
      </c>
      <c r="AP3" s="22">
        <f t="shared" si="0"/>
        <v>-0.25996229375739194</v>
      </c>
      <c r="AQ3" s="22">
        <f t="shared" si="0"/>
        <v>-9.5737070235247801E-2</v>
      </c>
      <c r="AR3" s="22">
        <f t="shared" si="0"/>
        <v>0.1880292187509677</v>
      </c>
      <c r="AS3" s="22">
        <f t="shared" si="0"/>
        <v>0.2194484690135233</v>
      </c>
      <c r="AT3" s="22">
        <f t="shared" si="0"/>
        <v>0.13657123267978039</v>
      </c>
      <c r="AU3" s="22">
        <f t="shared" si="0"/>
        <v>0.43886233379624895</v>
      </c>
      <c r="AV3" s="22">
        <f t="shared" si="0"/>
        <v>0.47936057647509739</v>
      </c>
      <c r="AW3" s="22">
        <f t="shared" si="0"/>
        <v>0.39049219959959197</v>
      </c>
      <c r="AX3" s="22">
        <f t="shared" si="0"/>
        <v>0.24054034261507326</v>
      </c>
      <c r="AY3" s="22">
        <f t="shared" si="1"/>
        <v>0.15991375437967073</v>
      </c>
      <c r="AZ3" s="22">
        <f t="shared" si="1"/>
        <v>0.44578485070960816</v>
      </c>
      <c r="BA3" s="22">
        <f t="shared" si="1"/>
        <v>3.4685314685321302E-2</v>
      </c>
      <c r="BB3" s="22">
        <f t="shared" si="1"/>
        <v>-0.24549918166939697</v>
      </c>
      <c r="BC3" s="22">
        <f t="shared" si="1"/>
        <v>5.5252210088404669E-2</v>
      </c>
      <c r="BD3" s="22">
        <f t="shared" si="1"/>
        <v>-0.1479572355861038</v>
      </c>
      <c r="BE3" s="22">
        <f t="shared" si="1"/>
        <v>0.20535036147289101</v>
      </c>
      <c r="BF3" s="22">
        <f t="shared" si="1"/>
        <v>-7.9746088454370229E-2</v>
      </c>
      <c r="BG3" s="22">
        <f t="shared" si="1"/>
        <v>0.28634089265450047</v>
      </c>
      <c r="BH3" s="22">
        <f t="shared" si="1"/>
        <v>-0.19749932086665353</v>
      </c>
      <c r="BI3" s="22">
        <f t="shared" si="1"/>
        <v>-0.27633689683031248</v>
      </c>
      <c r="BJ3" s="22">
        <f t="shared" si="1"/>
        <v>6.8841128443714837E-3</v>
      </c>
      <c r="BN3">
        <v>2</v>
      </c>
      <c r="BO3" s="23">
        <f t="shared" ref="BO3:BO28" si="5">AI3+SUM(AI4:AI38)</f>
        <v>0.1861224488579703</v>
      </c>
      <c r="BP3" s="23">
        <f t="shared" si="2"/>
        <v>-1.570922348048601</v>
      </c>
      <c r="BQ3" s="23">
        <f t="shared" si="3"/>
        <v>-8.3492537690864896</v>
      </c>
      <c r="BR3" s="23">
        <f t="shared" si="3"/>
        <v>-4.5827829490417082</v>
      </c>
      <c r="BS3" s="23">
        <f t="shared" si="3"/>
        <v>-0.40860680425581963</v>
      </c>
      <c r="BT3" s="23">
        <f t="shared" si="3"/>
        <v>2.2961611552224475</v>
      </c>
      <c r="BU3" s="23">
        <f t="shared" si="3"/>
        <v>1.7094488809552963</v>
      </c>
      <c r="BV3" s="23">
        <f t="shared" si="3"/>
        <v>1.3940836036750677</v>
      </c>
      <c r="BW3" s="23">
        <f t="shared" si="3"/>
        <v>-2.5178869347419166</v>
      </c>
      <c r="BX3" s="23">
        <f t="shared" si="3"/>
        <v>-6.2924421138783639</v>
      </c>
      <c r="BY3" s="23">
        <f t="shared" si="3"/>
        <v>2.1533069325234724</v>
      </c>
      <c r="BZ3" s="23">
        <f t="shared" si="3"/>
        <v>0.57234976514332803</v>
      </c>
      <c r="CA3" s="23">
        <f t="shared" si="3"/>
        <v>0.9255319770435928</v>
      </c>
      <c r="CB3" s="23">
        <f t="shared" si="3"/>
        <v>0.76724293492818685</v>
      </c>
      <c r="CC3" s="23">
        <f t="shared" si="3"/>
        <v>-0.81480808703893315</v>
      </c>
      <c r="CD3" s="23">
        <f t="shared" si="3"/>
        <v>0.3375747890683205</v>
      </c>
      <c r="CE3" s="23">
        <f t="shared" si="3"/>
        <v>-3.8606727479394789</v>
      </c>
      <c r="CF3" s="23">
        <f t="shared" si="3"/>
        <v>-7.6360482433892374</v>
      </c>
      <c r="CG3" s="23">
        <f t="shared" si="3"/>
        <v>-6.7993846964930036</v>
      </c>
      <c r="CH3" s="23">
        <f t="shared" si="3"/>
        <v>-3.0138158296371347</v>
      </c>
      <c r="CI3" s="23">
        <f t="shared" si="3"/>
        <v>1.8053591014521189</v>
      </c>
      <c r="CJ3" s="23">
        <f t="shared" si="3"/>
        <v>1.2006802566319144</v>
      </c>
      <c r="CK3" s="23">
        <f t="shared" si="3"/>
        <v>-7.9617581542193898</v>
      </c>
      <c r="CL3" s="23">
        <f t="shared" si="3"/>
        <v>-4.1896674046530231</v>
      </c>
      <c r="CM3" s="23">
        <f t="shared" si="3"/>
        <v>-3.7888424286372313</v>
      </c>
      <c r="CN3" s="23">
        <f t="shared" si="3"/>
        <v>-0.57647690185522216</v>
      </c>
      <c r="CO3" s="23">
        <f t="shared" si="3"/>
        <v>-4.7726246486198658</v>
      </c>
      <c r="CP3" s="23">
        <f t="shared" si="3"/>
        <v>-8.539744169248138</v>
      </c>
      <c r="CU3" s="21">
        <v>2</v>
      </c>
      <c r="CV3" s="24">
        <f t="shared" ref="CV3:CV37" si="6">BT3+BU3+BV3+BW3+BX3+BY3+BZ3</f>
        <v>-0.68497871110066844</v>
      </c>
      <c r="CW3" s="24">
        <f t="shared" ref="CW3:CW37" si="7">CN3+CO3+CP3-CI3-CA3-BT3-BO3</f>
        <v>-19.102020402299352</v>
      </c>
      <c r="CX3" s="24">
        <f t="shared" ref="CX3:CX37" si="8">CK3+CL3-CN3-CJ3-CD3-BU3-BS3</f>
        <v>-14.414045779416901</v>
      </c>
      <c r="CY3" s="24">
        <f t="shared" ref="CY3:CY37" si="9">CM3-CO3-CH3-CE3-BW3-BR3</f>
        <v>14.958940681342874</v>
      </c>
      <c r="CZ3" s="24">
        <f t="shared" ref="CZ3:CZ37" si="10">CA3+CB3+CC3+CD3+CE3+CF3-BV3</f>
        <v>-11.675262981002618</v>
      </c>
      <c r="DA3" s="24">
        <f t="shared" ref="DA3:DA37" si="11">BO3+BP3+BQ3+BR3+BS3-BY3-CB3</f>
        <v>-17.645993289026308</v>
      </c>
      <c r="DB3" s="24">
        <f t="shared" ref="DB3:DB37" si="12">CG3+CH3+CI3+CJ3-CC3-BZ3-BP3</f>
        <v>-4.9937804981018994</v>
      </c>
      <c r="DC3" s="24">
        <f t="shared" ref="DC3:DC37" si="13">-BQ3-BX3-CF3-CG3-CK3-CM3-CP3</f>
        <v>49.367473574951852</v>
      </c>
      <c r="DF3" s="46">
        <v>2</v>
      </c>
      <c r="DG3" s="47">
        <f>CN3</f>
        <v>-0.57647690185522216</v>
      </c>
      <c r="DH3" s="47">
        <f t="shared" ref="DH3:DH37" si="14">BU3</f>
        <v>1.7094488809552963</v>
      </c>
      <c r="DI3" s="47">
        <f t="shared" ref="DI3:DI37" si="15">CO3</f>
        <v>-4.7726246486198658</v>
      </c>
      <c r="DJ3" s="47">
        <f t="shared" ref="DJ3:DJ37" si="16">BW3</f>
        <v>-2.5178869347419166</v>
      </c>
      <c r="DK3" s="47">
        <f t="shared" ref="DK3:DK37" si="17">-(CA3)</f>
        <v>-0.9255319770435928</v>
      </c>
      <c r="DL3" s="47">
        <f t="shared" ref="DL3:DL37" si="18">BV3</f>
        <v>1.3940836036750677</v>
      </c>
      <c r="DM3" s="47">
        <f t="shared" ref="DM3:DM37" si="19">-(BO3)</f>
        <v>-0.1861224488579703</v>
      </c>
      <c r="DN3" s="47">
        <f t="shared" ref="DN3:DN37" si="20">BY3</f>
        <v>2.1533069325234724</v>
      </c>
      <c r="DO3" s="47">
        <f t="shared" ref="DO3:DO37" si="21">-(CI3)</f>
        <v>-1.8053591014521189</v>
      </c>
      <c r="DP3" s="47">
        <f t="shared" ref="DP3:DP37" si="22">BZ3</f>
        <v>0.57234976514332803</v>
      </c>
      <c r="DQ3" s="47">
        <f t="shared" ref="DQ3:DQ37" si="23">CP3</f>
        <v>-8.539744169248138</v>
      </c>
      <c r="DR3" s="47">
        <f t="shared" ref="DR3:DR37" si="24">BX3</f>
        <v>-6.2924421138783639</v>
      </c>
      <c r="DS3" s="47">
        <f t="shared" ref="DS3:DS37" si="25">-(BT3)</f>
        <v>-2.2961611552224475</v>
      </c>
      <c r="DT3" s="47">
        <f t="shared" ref="DT3:DT37" si="26">BT3</f>
        <v>2.2961611552224475</v>
      </c>
      <c r="DX3">
        <v>2</v>
      </c>
      <c r="DY3" s="19">
        <f t="shared" ref="DY3:DY37" si="27">SUM(IF($EB$2="Buy", EN3, IF($EB$2="Sell", -EN3, 0)),
     IF($EC$2="Buy", EO3, IF($EC$2="Sell", -EO3, 0)),
     IF($ED$2="Buy", EP3, IF($ED$2="Sell", -EP3, 0)),
     IF($EE$2="Buy", EQ3, IF($EE$2="Sell", -EQ3, 0)),
     IF($EF$2="Buy", ER3, IF($EF$2="Sell", -ER3, 0)),
     IF($EG$2="Buy", ES3, IF($EG$2="Sell", -ES3, 0)),
     IF($EH$2="Buy", ET3, IF($EH$2="Sell", -ET3, 0)),
     IF($EI$2="Buy", EU3, IF($EI$2="Sell", -EU3, 0)))</f>
        <v>18.417041691198683</v>
      </c>
      <c r="EJ3" t="s">
        <v>49</v>
      </c>
      <c r="EM3" s="21">
        <v>2</v>
      </c>
      <c r="EN3" s="16">
        <f t="shared" ref="EN3:EN37" si="28">BT3+BU3+BV3+BW3+BX3+BY3+BZ3</f>
        <v>-0.68497871110066844</v>
      </c>
      <c r="EO3" s="16">
        <f t="shared" si="4"/>
        <v>-19.102020402299352</v>
      </c>
      <c r="EP3" s="16">
        <f t="shared" ref="EP3:EP37" si="29">CK3+CL3-CN3-CJ3-CD3-BU3-BS3</f>
        <v>-14.414045779416901</v>
      </c>
      <c r="EQ3" s="16">
        <f t="shared" ref="EQ3:EQ37" si="30">CM3-CO3-CH3-CE3-BW3-BR3</f>
        <v>14.958940681342874</v>
      </c>
      <c r="ER3" s="16">
        <f t="shared" ref="ER3:ER37" si="31">CA3+CB3+CC3+CD3+CE3+CF3-BV3</f>
        <v>-11.675262981002618</v>
      </c>
      <c r="ES3" s="16">
        <f t="shared" ref="ES3:ES37" si="32">BO3+BP3+BQ3+BR3+BS3-BY3-CB3</f>
        <v>-17.645993289026308</v>
      </c>
      <c r="ET3" s="16">
        <f t="shared" ref="ET3:ET37" si="33">CG3+CH3+CI3+CJ3-CC3-BZ3-BP3</f>
        <v>-4.9937804981018994</v>
      </c>
      <c r="EU3" s="16">
        <f t="shared" ref="EU3:EU37" si="34">-BQ3-BX3-CF3-CG3-CK3-CM3-CP3</f>
        <v>49.367473574951852</v>
      </c>
      <c r="EW3" s="20">
        <f>LARGE($EN$2:$EU$2,2)</f>
        <v>15.572963459119389</v>
      </c>
      <c r="EX3" s="39" t="str">
        <f>INDEX(EN1:EU1,MATCH(EW3,EN2:EU2,0))</f>
        <v>CHF</v>
      </c>
      <c r="FK3" s="20"/>
      <c r="FL3" s="20"/>
    </row>
    <row r="4" spans="1:170" ht="14.4" thickBot="1" x14ac:dyDescent="0.35">
      <c r="A4" s="37" t="s">
        <v>51</v>
      </c>
      <c r="B4" s="38">
        <v>2</v>
      </c>
      <c r="C4" s="34">
        <f>RTD("fxbluelabs.excelrtd", , "21422436","@bh,AUDUSD,d1,close,2")</f>
        <v>0.67466999999999999</v>
      </c>
      <c r="D4" s="34">
        <f>RTD("fxbluelabs.excelrtd", , "21422436","@bh,AUDNZD,d1,close,2")</f>
        <v>1.0962700000000001</v>
      </c>
      <c r="E4" s="35">
        <f>RTD("fxbluelabs.excelrtd", , "21422436","@bh,AUDJPY,d1,close,2")</f>
        <v>98.001999999999995</v>
      </c>
      <c r="F4" s="34">
        <f>RTD("fxbluelabs.excelrtd", , "21422436","@bh,AUDCHF,d1,close,2")</f>
        <v>0.57616999999999996</v>
      </c>
      <c r="G4" s="34">
        <f>RTD("fxbluelabs.excelrtd", , "21422436","@bh,AUDCAD,d1,close,2")</f>
        <v>0.91886999999999996</v>
      </c>
      <c r="H4" s="34">
        <f>RTD("fxbluelabs.excelrtd", , "21422436","@bh,EURUSD,d1,close,2")</f>
        <v>1.113</v>
      </c>
      <c r="I4" s="34">
        <f>RTD("fxbluelabs.excelrtd", , "21422436","@bh,EURCAD,d1,close,2")</f>
        <v>1.51589</v>
      </c>
      <c r="J4" s="34">
        <f>RTD("fxbluelabs.excelrtd", , "21422436","@bh,EURGBP,d1,close,2")</f>
        <v>0.85397000000000001</v>
      </c>
      <c r="K4" s="34">
        <f>RTD("fxbluelabs.excelrtd", , "21422436","@bh,EURCHF,d1,close,2")</f>
        <v>0.95052000000000003</v>
      </c>
      <c r="L4" s="35">
        <f>RTD("fxbluelabs.excelrtd", , "21422436","@bh,EURJPY,d1,close,2")</f>
        <v>161.67699999999999</v>
      </c>
      <c r="M4" s="34">
        <f>RTD("fxbluelabs.excelrtd", , "21422436","@bh,EURAUD,d1,close,2")</f>
        <v>1.6495899999999999</v>
      </c>
      <c r="N4" s="34">
        <f>RTD("fxbluelabs.excelrtd", , "21422436","@bh,EURNZD,d1,close,2")</f>
        <v>1.8085800000000001</v>
      </c>
      <c r="O4" s="34">
        <f>RTD("fxbluelabs.excelrtd", , "21422436","@bh,GBPUSD,d1,close,2")</f>
        <v>1.3033699999999999</v>
      </c>
      <c r="P4" s="34">
        <f>RTD("fxbluelabs.excelrtd", , "21422436","@bh,GBPAUD,d1,close,2")</f>
        <v>1.93174</v>
      </c>
      <c r="Q4" s="34">
        <f>RTD("fxbluelabs.excelrtd", , "21422436","@bh,GBPNZD,d1,close,2")</f>
        <v>2.1178400000000002</v>
      </c>
      <c r="R4" s="34">
        <f>RTD("fxbluelabs.excelrtd", , "21422436","@bh,GBPCAD,d1,close,2")</f>
        <v>1.7751699999999999</v>
      </c>
      <c r="S4" s="34">
        <f>RTD("fxbluelabs.excelrtd", , "21422436","@bh,GBPCHF,d1,close,2")</f>
        <v>1.1131</v>
      </c>
      <c r="T4" s="35">
        <f>RTD("fxbluelabs.excelrtd", , "21422436","@bh,GBPJPY,d1,close,2")</f>
        <v>189.32900000000001</v>
      </c>
      <c r="U4" s="35">
        <f>RTD("fxbluelabs.excelrtd", , "21422436","@bh,NZDJPY,d1,close,2")</f>
        <v>89.375</v>
      </c>
      <c r="V4" s="34">
        <f>RTD("fxbluelabs.excelrtd", , "21422436","@bh,NZDCHF,d1,close,2")</f>
        <v>0.52546000000000004</v>
      </c>
      <c r="W4" s="34">
        <f>RTD("fxbluelabs.excelrtd", , "21422436","@bh,NZDUSD,d1,close,2")</f>
        <v>0.61536000000000002</v>
      </c>
      <c r="X4" s="34">
        <f>RTD("fxbluelabs.excelrtd", , "21422436","@bh,NZDCAD,d1,close,2")</f>
        <v>0.83808000000000005</v>
      </c>
      <c r="Y4" s="35">
        <f>RTD("fxbluelabs.excelrtd", , "21422436","@bh,CADJPY,d1,close,2")</f>
        <v>106.64700000000001</v>
      </c>
      <c r="Z4" s="34">
        <f>RTD("fxbluelabs.excelrtd", , "21422436","@bh,CADCHF,d1,close,2")</f>
        <v>0.62699000000000005</v>
      </c>
      <c r="AA4" s="35">
        <f>RTD("fxbluelabs.excelrtd", , "21422436","@bh,CHFJPY,d1,close,2")</f>
        <v>170.077</v>
      </c>
      <c r="AB4" s="34">
        <f>RTD("fxbluelabs.excelrtd", , "21422436","@bh,USDCAD,d1,close,2")</f>
        <v>1.3620300000000001</v>
      </c>
      <c r="AC4" s="34">
        <f>RTD("fxbluelabs.excelrtd", , "21422436","@bh,USDCHF,d1,close,2")</f>
        <v>0.85402999999999996</v>
      </c>
      <c r="AD4" s="35">
        <f>RTD("fxbluelabs.excelrtd", , "21422436","@bh,USDJPY,d1,close,2")</f>
        <v>145.262</v>
      </c>
      <c r="AH4" s="21">
        <v>3</v>
      </c>
      <c r="AI4" s="27">
        <f t="shared" ref="AI4:AX19" si="35">IF(C4=0,0,(C4-C5)*100/C5)</f>
        <v>0.21836007130124352</v>
      </c>
      <c r="AJ4" s="27">
        <f t="shared" si="35"/>
        <v>-0.42056499227903643</v>
      </c>
      <c r="AK4" s="27">
        <f t="shared" si="35"/>
        <v>-0.6981386347286046</v>
      </c>
      <c r="AL4" s="27">
        <f t="shared" si="35"/>
        <v>-0.80913113088987854</v>
      </c>
      <c r="AM4" s="27">
        <f t="shared" si="35"/>
        <v>0.12203759193680304</v>
      </c>
      <c r="AN4" s="27">
        <f>IF(H4=0,0,(H4-H5)*100/H5)</f>
        <v>0.40504821787804191</v>
      </c>
      <c r="AO4" s="27">
        <f t="shared" si="35"/>
        <v>0.30902184989610726</v>
      </c>
      <c r="AP4" s="27">
        <f t="shared" si="35"/>
        <v>8.672925237039987E-2</v>
      </c>
      <c r="AQ4" s="27">
        <f t="shared" si="35"/>
        <v>-0.62519602718243439</v>
      </c>
      <c r="AR4" s="27">
        <f t="shared" si="35"/>
        <v>-0.5113594407660037</v>
      </c>
      <c r="AS4" s="27">
        <f t="shared" si="35"/>
        <v>0.18706233184128684</v>
      </c>
      <c r="AT4" s="27">
        <f t="shared" si="35"/>
        <v>-0.23388974084575531</v>
      </c>
      <c r="AU4" s="27">
        <f t="shared" si="35"/>
        <v>0.33100602738882207</v>
      </c>
      <c r="AV4" s="27">
        <f t="shared" si="35"/>
        <v>0.11349796584695468</v>
      </c>
      <c r="AW4" s="27">
        <f t="shared" si="35"/>
        <v>-0.30785452696785737</v>
      </c>
      <c r="AX4" s="27">
        <f t="shared" si="35"/>
        <v>0.23489421290675613</v>
      </c>
      <c r="AY4" s="27">
        <f t="shared" si="1"/>
        <v>-0.6967553148780985</v>
      </c>
      <c r="AZ4" s="27">
        <f t="shared" si="1"/>
        <v>-0.5859959568379246</v>
      </c>
      <c r="BA4" s="27">
        <f t="shared" si="1"/>
        <v>-0.27337647846463348</v>
      </c>
      <c r="BB4" s="27">
        <f t="shared" si="1"/>
        <v>-0.38672985781989211</v>
      </c>
      <c r="BC4" s="27">
        <f t="shared" si="1"/>
        <v>0.64604766032613292</v>
      </c>
      <c r="BD4" s="27">
        <f t="shared" si="1"/>
        <v>0.54828376384207433</v>
      </c>
      <c r="BE4" s="27">
        <f t="shared" si="1"/>
        <v>-0.81563185893381507</v>
      </c>
      <c r="BF4" s="27">
        <f t="shared" si="1"/>
        <v>-0.9275353158676376</v>
      </c>
      <c r="BG4" s="27">
        <f t="shared" si="1"/>
        <v>0.1112497645507587</v>
      </c>
      <c r="BH4" s="27">
        <f t="shared" si="1"/>
        <v>-9.6087549694127833E-2</v>
      </c>
      <c r="BI4" s="27">
        <f t="shared" si="1"/>
        <v>-1.0256350825143734</v>
      </c>
      <c r="BJ4" s="27">
        <f t="shared" si="1"/>
        <v>-0.9140393719048876</v>
      </c>
      <c r="BN4">
        <v>3</v>
      </c>
      <c r="BO4" s="28">
        <f t="shared" si="5"/>
        <v>0.2246598078631199</v>
      </c>
      <c r="BP4" s="28">
        <f t="shared" si="2"/>
        <v>-1.4879136002036186</v>
      </c>
      <c r="BQ4" s="28">
        <f t="shared" si="3"/>
        <v>-8.3196625362545102</v>
      </c>
      <c r="BR4" s="28">
        <f t="shared" si="3"/>
        <v>-4.266903954994822</v>
      </c>
      <c r="BS4" s="28">
        <f t="shared" si="3"/>
        <v>-0.17353546663461772</v>
      </c>
      <c r="BT4" s="28">
        <f t="shared" si="3"/>
        <v>2.1173651085018781</v>
      </c>
      <c r="BU4" s="28">
        <f t="shared" si="3"/>
        <v>1.7285795566639497</v>
      </c>
      <c r="BV4" s="28">
        <f t="shared" si="3"/>
        <v>1.6540458974324599</v>
      </c>
      <c r="BW4" s="28">
        <f t="shared" si="3"/>
        <v>-2.4221498645066686</v>
      </c>
      <c r="BX4" s="28">
        <f t="shared" si="3"/>
        <v>-6.4804713326293335</v>
      </c>
      <c r="BY4" s="28">
        <f t="shared" si="3"/>
        <v>1.9338584635099494</v>
      </c>
      <c r="BZ4" s="28">
        <f t="shared" si="3"/>
        <v>0.43577853246354759</v>
      </c>
      <c r="CA4" s="28">
        <f t="shared" si="3"/>
        <v>0.48666964324734419</v>
      </c>
      <c r="CB4" s="28">
        <f t="shared" si="3"/>
        <v>0.2878823584530894</v>
      </c>
      <c r="CC4" s="28">
        <f t="shared" si="3"/>
        <v>-1.205300286638525</v>
      </c>
      <c r="CD4" s="28">
        <f t="shared" si="3"/>
        <v>9.7034446453247353E-2</v>
      </c>
      <c r="CE4" s="28">
        <f t="shared" si="3"/>
        <v>-4.0205865023191496</v>
      </c>
      <c r="CF4" s="28">
        <f t="shared" si="3"/>
        <v>-8.0818330940988456</v>
      </c>
      <c r="CG4" s="28">
        <f t="shared" si="3"/>
        <v>-6.8340700111783246</v>
      </c>
      <c r="CH4" s="28">
        <f t="shared" si="3"/>
        <v>-2.7683166479677377</v>
      </c>
      <c r="CI4" s="28">
        <f t="shared" si="3"/>
        <v>1.7501068913637134</v>
      </c>
      <c r="CJ4" s="28">
        <f t="shared" si="3"/>
        <v>1.3486374922180187</v>
      </c>
      <c r="CK4" s="28">
        <f t="shared" si="3"/>
        <v>-8.1671085156922807</v>
      </c>
      <c r="CL4" s="28">
        <f t="shared" si="3"/>
        <v>-4.1099213161986521</v>
      </c>
      <c r="CM4" s="28">
        <f t="shared" si="3"/>
        <v>-4.0751833212917319</v>
      </c>
      <c r="CN4" s="28">
        <f t="shared" si="3"/>
        <v>-0.3789775809885686</v>
      </c>
      <c r="CO4" s="28">
        <f t="shared" si="3"/>
        <v>-4.4962877517895521</v>
      </c>
      <c r="CP4" s="28">
        <f t="shared" si="3"/>
        <v>-8.5466282820925095</v>
      </c>
      <c r="CU4" s="21">
        <v>3</v>
      </c>
      <c r="CV4" s="29">
        <f t="shared" si="6"/>
        <v>-1.0329936385642178</v>
      </c>
      <c r="CW4" s="29">
        <f t="shared" si="7"/>
        <v>-18.000695065846685</v>
      </c>
      <c r="CX4" s="29">
        <f t="shared" si="8"/>
        <v>-14.898768279602962</v>
      </c>
      <c r="CY4" s="29">
        <f t="shared" si="9"/>
        <v>13.899061400286199</v>
      </c>
      <c r="CZ4" s="29">
        <f t="shared" si="10"/>
        <v>-14.0901793323353</v>
      </c>
      <c r="DA4" s="29">
        <f t="shared" si="11"/>
        <v>-16.245096572187489</v>
      </c>
      <c r="DB4" s="29">
        <f t="shared" si="12"/>
        <v>-4.2462069211857365</v>
      </c>
      <c r="DC4" s="29">
        <f t="shared" si="13"/>
        <v>50.504957093237536</v>
      </c>
      <c r="DF4" s="48">
        <v>3</v>
      </c>
      <c r="DG4" s="49">
        <f t="shared" ref="DG4:DG37" si="36">CN4</f>
        <v>-0.3789775809885686</v>
      </c>
      <c r="DH4" s="49">
        <f t="shared" si="14"/>
        <v>1.7285795566639497</v>
      </c>
      <c r="DI4" s="49">
        <f t="shared" si="15"/>
        <v>-4.4962877517895521</v>
      </c>
      <c r="DJ4" s="49">
        <f t="shared" si="16"/>
        <v>-2.4221498645066686</v>
      </c>
      <c r="DK4" s="49">
        <f t="shared" si="17"/>
        <v>-0.48666964324734419</v>
      </c>
      <c r="DL4" s="49">
        <f t="shared" si="18"/>
        <v>1.6540458974324599</v>
      </c>
      <c r="DM4" s="49">
        <f t="shared" si="19"/>
        <v>-0.2246598078631199</v>
      </c>
      <c r="DN4" s="49">
        <f t="shared" si="20"/>
        <v>1.9338584635099494</v>
      </c>
      <c r="DO4" s="49">
        <f t="shared" si="21"/>
        <v>-1.7501068913637134</v>
      </c>
      <c r="DP4" s="49">
        <f t="shared" si="22"/>
        <v>0.43577853246354759</v>
      </c>
      <c r="DQ4" s="49">
        <f t="shared" si="23"/>
        <v>-8.5466282820925095</v>
      </c>
      <c r="DR4" s="49">
        <f t="shared" si="24"/>
        <v>-6.4804713326293335</v>
      </c>
      <c r="DS4" s="49">
        <f t="shared" si="25"/>
        <v>-2.1173651085018781</v>
      </c>
      <c r="DT4" s="49">
        <f t="shared" si="26"/>
        <v>2.1173651085018781</v>
      </c>
      <c r="DX4">
        <v>3</v>
      </c>
      <c r="DY4" s="19">
        <f t="shared" si="27"/>
        <v>16.967701427282467</v>
      </c>
      <c r="EJ4" t="str">
        <f>"-"</f>
        <v>-</v>
      </c>
      <c r="EM4" s="21">
        <v>3</v>
      </c>
      <c r="EN4" s="16">
        <f t="shared" si="28"/>
        <v>-1.0329936385642178</v>
      </c>
      <c r="EO4" s="16">
        <f t="shared" si="4"/>
        <v>-18.000695065846685</v>
      </c>
      <c r="EP4" s="16">
        <f t="shared" si="29"/>
        <v>-14.898768279602962</v>
      </c>
      <c r="EQ4" s="16">
        <f t="shared" si="30"/>
        <v>13.899061400286199</v>
      </c>
      <c r="ER4" s="16">
        <f t="shared" si="31"/>
        <v>-14.0901793323353</v>
      </c>
      <c r="ES4" s="16">
        <f t="shared" si="32"/>
        <v>-16.245096572187489</v>
      </c>
      <c r="ET4" s="16">
        <f t="shared" si="33"/>
        <v>-4.2462069211857365</v>
      </c>
      <c r="EU4" s="16">
        <f t="shared" si="34"/>
        <v>50.504957093237536</v>
      </c>
      <c r="EW4" s="20">
        <f>LARGE($EN$2:$EU$2,3)</f>
        <v>-0.85009273013544029</v>
      </c>
      <c r="EX4" s="39" t="str">
        <f>INDEX(EN1:EU1,MATCH(EW4,EN2:EU2,0))</f>
        <v>EUR</v>
      </c>
      <c r="FK4" s="20"/>
      <c r="FL4" s="20"/>
    </row>
    <row r="5" spans="1:170" ht="14.4" thickBot="1" x14ac:dyDescent="0.35">
      <c r="A5" s="37" t="s">
        <v>51</v>
      </c>
      <c r="B5" s="38">
        <v>3</v>
      </c>
      <c r="C5" s="34">
        <f>RTD("fxbluelabs.excelrtd", , "21422436","@bh,AUDUSD,d1,close,3")</f>
        <v>0.67320000000000002</v>
      </c>
      <c r="D5" s="34">
        <f>RTD("fxbluelabs.excelrtd", , "21422436","@bh,AUDNZD,d1,close,3")</f>
        <v>1.1009</v>
      </c>
      <c r="E5" s="35">
        <f>RTD("fxbluelabs.excelrtd", , "21422436","@bh,AUDJPY,d1,close,3")</f>
        <v>98.691000000000003</v>
      </c>
      <c r="F5" s="34">
        <f>RTD("fxbluelabs.excelrtd", , "21422436","@bh,AUDCHF,d1,close,3")</f>
        <v>0.58087</v>
      </c>
      <c r="G5" s="34">
        <f>RTD("fxbluelabs.excelrtd", , "21422436","@bh,AUDCAD,d1,close,3")</f>
        <v>0.91774999999999995</v>
      </c>
      <c r="H5" s="34">
        <f>RTD("fxbluelabs.excelrtd", , "21422436","@bh,EURUSD,d1,close,3")</f>
        <v>1.1085100000000001</v>
      </c>
      <c r="I5" s="34">
        <f>RTD("fxbluelabs.excelrtd", , "21422436","@bh,EURCAD,d1,close,3")</f>
        <v>1.51122</v>
      </c>
      <c r="J5" s="34">
        <f>RTD("fxbluelabs.excelrtd", , "21422436","@bh,EURGBP,d1,close,3")</f>
        <v>0.85323000000000004</v>
      </c>
      <c r="K5" s="34">
        <f>RTD("fxbluelabs.excelrtd", , "21422436","@bh,EURCHF,d1,close,3")</f>
        <v>0.95650000000000002</v>
      </c>
      <c r="L5" s="35">
        <f>RTD("fxbluelabs.excelrtd", , "21422436","@bh,EURJPY,d1,close,3")</f>
        <v>162.50800000000001</v>
      </c>
      <c r="M5" s="34">
        <f>RTD("fxbluelabs.excelrtd", , "21422436","@bh,EURAUD,d1,close,3")</f>
        <v>1.6465099999999999</v>
      </c>
      <c r="N5" s="34">
        <f>RTD("fxbluelabs.excelrtd", , "21422436","@bh,EURNZD,d1,close,3")</f>
        <v>1.8128200000000001</v>
      </c>
      <c r="O5" s="34">
        <f>RTD("fxbluelabs.excelrtd", , "21422436","@bh,GBPUSD,d1,close,3")</f>
        <v>1.2990699999999999</v>
      </c>
      <c r="P5" s="34">
        <f>RTD("fxbluelabs.excelrtd", , "21422436","@bh,GBPAUD,d1,close,3")</f>
        <v>1.9295500000000001</v>
      </c>
      <c r="Q5" s="34">
        <f>RTD("fxbluelabs.excelrtd", , "21422436","@bh,GBPNZD,d1,close,3")</f>
        <v>2.1243799999999999</v>
      </c>
      <c r="R5" s="34">
        <f>RTD("fxbluelabs.excelrtd", , "21422436","@bh,GBPCAD,d1,close,3")</f>
        <v>1.77101</v>
      </c>
      <c r="S5" s="34">
        <f>RTD("fxbluelabs.excelrtd", , "21422436","@bh,GBPCHF,d1,close,3")</f>
        <v>1.1209100000000001</v>
      </c>
      <c r="T5" s="35">
        <f>RTD("fxbluelabs.excelrtd", , "21422436","@bh,GBPJPY,d1,close,3")</f>
        <v>190.44499999999999</v>
      </c>
      <c r="U5" s="35">
        <f>RTD("fxbluelabs.excelrtd", , "21422436","@bh,NZDJPY,d1,close,3")</f>
        <v>89.62</v>
      </c>
      <c r="V5" s="34">
        <f>RTD("fxbluelabs.excelrtd", , "21422436","@bh,NZDCHF,d1,close,3")</f>
        <v>0.52749999999999997</v>
      </c>
      <c r="W5" s="34">
        <f>RTD("fxbluelabs.excelrtd", , "21422436","@bh,NZDUSD,d1,close,3")</f>
        <v>0.61141000000000001</v>
      </c>
      <c r="X5" s="34">
        <f>RTD("fxbluelabs.excelrtd", , "21422436","@bh,NZDCAD,d1,close,3")</f>
        <v>0.83350999999999997</v>
      </c>
      <c r="Y5" s="35">
        <f>RTD("fxbluelabs.excelrtd", , "21422436","@bh,CADJPY,d1,close,3")</f>
        <v>107.524</v>
      </c>
      <c r="Z5" s="34">
        <f>RTD("fxbluelabs.excelrtd", , "21422436","@bh,CADCHF,d1,close,3")</f>
        <v>0.63285999999999998</v>
      </c>
      <c r="AA5" s="35">
        <f>RTD("fxbluelabs.excelrtd", , "21422436","@bh,CHFJPY,d1,close,3")</f>
        <v>169.88800000000001</v>
      </c>
      <c r="AB5" s="34">
        <f>RTD("fxbluelabs.excelrtd", , "21422436","@bh,USDCAD,d1,close,3")</f>
        <v>1.36334</v>
      </c>
      <c r="AC5" s="34">
        <f>RTD("fxbluelabs.excelrtd", , "21422436","@bh,USDCHF,d1,close,3")</f>
        <v>0.86287999999999998</v>
      </c>
      <c r="AD5" s="35">
        <f>RTD("fxbluelabs.excelrtd", , "21422436","@bh,USDJPY,d1,close,3")</f>
        <v>146.602</v>
      </c>
      <c r="AH5" s="21">
        <v>4</v>
      </c>
      <c r="AI5" s="22">
        <f t="shared" si="35"/>
        <v>0.92802206863465753</v>
      </c>
      <c r="AJ5" s="22">
        <f t="shared" si="35"/>
        <v>-5.0841610226437267E-2</v>
      </c>
      <c r="AK5" s="22">
        <f t="shared" si="35"/>
        <v>0.25905156650005634</v>
      </c>
      <c r="AL5" s="22">
        <f t="shared" si="35"/>
        <v>0.5731006302375572</v>
      </c>
      <c r="AM5" s="22">
        <f t="shared" si="35"/>
        <v>0.59849389996600966</v>
      </c>
      <c r="AN5" s="22">
        <f t="shared" si="35"/>
        <v>0.51230437226847969</v>
      </c>
      <c r="AO5" s="22">
        <f t="shared" si="35"/>
        <v>0.17699115044247457</v>
      </c>
      <c r="AP5" s="22">
        <f t="shared" si="35"/>
        <v>0.17611214821599061</v>
      </c>
      <c r="AQ5" s="22">
        <f t="shared" si="35"/>
        <v>0.15392186632880342</v>
      </c>
      <c r="AR5" s="22">
        <f t="shared" si="35"/>
        <v>-0.16403010290277739</v>
      </c>
      <c r="AS5" s="22">
        <f t="shared" si="35"/>
        <v>-0.41491015320225288</v>
      </c>
      <c r="AT5" s="22">
        <f t="shared" si="35"/>
        <v>-0.46888039706592832</v>
      </c>
      <c r="AU5" s="22">
        <f t="shared" si="35"/>
        <v>0.35303205870992377</v>
      </c>
      <c r="AV5" s="22">
        <f t="shared" si="35"/>
        <v>-0.57094860947218062</v>
      </c>
      <c r="AW5" s="22">
        <f t="shared" si="35"/>
        <v>-0.62914263528906333</v>
      </c>
      <c r="AX5" s="22">
        <f t="shared" si="35"/>
        <v>2.0331516674662747E-2</v>
      </c>
      <c r="AY5" s="22">
        <f t="shared" si="1"/>
        <v>-6.2445360309741913E-3</v>
      </c>
      <c r="AZ5" s="22">
        <f t="shared" si="1"/>
        <v>-0.31771454891861867</v>
      </c>
      <c r="BA5" s="22">
        <f t="shared" si="1"/>
        <v>0.29881481315681635</v>
      </c>
      <c r="BB5" s="22">
        <f t="shared" si="1"/>
        <v>0.61609476033340738</v>
      </c>
      <c r="BC5" s="22">
        <f t="shared" si="1"/>
        <v>0.99106390710427728</v>
      </c>
      <c r="BD5" s="22">
        <f t="shared" si="1"/>
        <v>0.65208728309040587</v>
      </c>
      <c r="BE5" s="22">
        <f t="shared" si="1"/>
        <v>-0.34292917122361255</v>
      </c>
      <c r="BF5" s="22">
        <f t="shared" si="1"/>
        <v>-3.0013427059477685E-2</v>
      </c>
      <c r="BG5" s="22">
        <f t="shared" si="1"/>
        <v>-0.31158497585363482</v>
      </c>
      <c r="BH5" s="22">
        <f t="shared" si="1"/>
        <v>-0.3333577015863658</v>
      </c>
      <c r="BI5" s="22">
        <f t="shared" si="1"/>
        <v>-0.35912654880542005</v>
      </c>
      <c r="BJ5" s="22">
        <f t="shared" si="1"/>
        <v>-0.67480589167875527</v>
      </c>
      <c r="BN5">
        <v>4</v>
      </c>
      <c r="BO5" s="23">
        <f t="shared" si="5"/>
        <v>6.2997365618769896E-3</v>
      </c>
      <c r="BP5" s="23">
        <f t="shared" si="2"/>
        <v>-1.0673486079245824</v>
      </c>
      <c r="BQ5" s="23">
        <f t="shared" si="3"/>
        <v>-7.6215239015259062</v>
      </c>
      <c r="BR5" s="23">
        <f t="shared" si="3"/>
        <v>-3.4577728241049437</v>
      </c>
      <c r="BS5" s="23">
        <f t="shared" si="3"/>
        <v>-0.29557305857142102</v>
      </c>
      <c r="BT5" s="23">
        <f t="shared" si="3"/>
        <v>1.7123168906238369</v>
      </c>
      <c r="BU5" s="23">
        <f t="shared" si="3"/>
        <v>1.4195577067678424</v>
      </c>
      <c r="BV5" s="23">
        <f t="shared" si="3"/>
        <v>1.5673166450620599</v>
      </c>
      <c r="BW5" s="23">
        <f t="shared" si="3"/>
        <v>-1.7969538373242342</v>
      </c>
      <c r="BX5" s="23">
        <f t="shared" si="3"/>
        <v>-5.9691118918633288</v>
      </c>
      <c r="BY5" s="23">
        <f t="shared" si="3"/>
        <v>1.7467961316686624</v>
      </c>
      <c r="BZ5" s="23">
        <f t="shared" si="3"/>
        <v>0.66966827330930268</v>
      </c>
      <c r="CA5" s="23">
        <f t="shared" si="3"/>
        <v>0.15566361585852184</v>
      </c>
      <c r="CB5" s="23">
        <f t="shared" si="3"/>
        <v>0.1743843926061347</v>
      </c>
      <c r="CC5" s="23">
        <f t="shared" si="3"/>
        <v>-0.89744575967066786</v>
      </c>
      <c r="CD5" s="23">
        <f t="shared" si="3"/>
        <v>-0.13785976645350875</v>
      </c>
      <c r="CE5" s="23">
        <f t="shared" si="3"/>
        <v>-3.3238311874410518</v>
      </c>
      <c r="CF5" s="23">
        <f t="shared" si="3"/>
        <v>-7.4958371372609225</v>
      </c>
      <c r="CG5" s="23">
        <f t="shared" si="3"/>
        <v>-6.5606935327136906</v>
      </c>
      <c r="CH5" s="23">
        <f t="shared" si="3"/>
        <v>-2.3815867901478454</v>
      </c>
      <c r="CI5" s="23">
        <f t="shared" si="3"/>
        <v>1.104059231037581</v>
      </c>
      <c r="CJ5" s="23">
        <f t="shared" si="3"/>
        <v>0.80035372837594421</v>
      </c>
      <c r="CK5" s="23">
        <f t="shared" si="3"/>
        <v>-7.3514766567584653</v>
      </c>
      <c r="CL5" s="23">
        <f t="shared" si="3"/>
        <v>-3.1823860003310145</v>
      </c>
      <c r="CM5" s="23">
        <f t="shared" si="3"/>
        <v>-4.1864330858424905</v>
      </c>
      <c r="CN5" s="23">
        <f t="shared" si="3"/>
        <v>-0.28289003129444062</v>
      </c>
      <c r="CO5" s="23">
        <f t="shared" si="3"/>
        <v>-3.4706526692751782</v>
      </c>
      <c r="CP5" s="23">
        <f t="shared" si="3"/>
        <v>-7.6325889101876214</v>
      </c>
      <c r="CU5" s="21">
        <v>4</v>
      </c>
      <c r="CV5" s="24">
        <f t="shared" si="6"/>
        <v>-0.65041008175585913</v>
      </c>
      <c r="CW5" s="24">
        <f t="shared" si="7"/>
        <v>-14.364471084839057</v>
      </c>
      <c r="CX5" s="24">
        <f t="shared" si="8"/>
        <v>-12.037451235913894</v>
      </c>
      <c r="CY5" s="24">
        <f t="shared" si="9"/>
        <v>10.244364222450763</v>
      </c>
      <c r="CZ5" s="24">
        <f t="shared" si="10"/>
        <v>-13.092242487423555</v>
      </c>
      <c r="DA5" s="24">
        <f t="shared" si="11"/>
        <v>-14.357099179839773</v>
      </c>
      <c r="DB5" s="24">
        <f t="shared" si="12"/>
        <v>-5.7427412691620621</v>
      </c>
      <c r="DC5" s="24">
        <f t="shared" si="13"/>
        <v>46.817665116152426</v>
      </c>
      <c r="DF5" s="46">
        <v>4</v>
      </c>
      <c r="DG5" s="47">
        <f t="shared" si="36"/>
        <v>-0.28289003129444062</v>
      </c>
      <c r="DH5" s="47">
        <f t="shared" si="14"/>
        <v>1.4195577067678424</v>
      </c>
      <c r="DI5" s="47">
        <f t="shared" si="15"/>
        <v>-3.4706526692751782</v>
      </c>
      <c r="DJ5" s="47">
        <f t="shared" si="16"/>
        <v>-1.7969538373242342</v>
      </c>
      <c r="DK5" s="47">
        <f t="shared" si="17"/>
        <v>-0.15566361585852184</v>
      </c>
      <c r="DL5" s="47">
        <f t="shared" si="18"/>
        <v>1.5673166450620599</v>
      </c>
      <c r="DM5" s="47">
        <f t="shared" si="19"/>
        <v>-6.2997365618769896E-3</v>
      </c>
      <c r="DN5" s="47">
        <f t="shared" si="20"/>
        <v>1.7467961316686624</v>
      </c>
      <c r="DO5" s="47">
        <f t="shared" si="21"/>
        <v>-1.104059231037581</v>
      </c>
      <c r="DP5" s="47">
        <f t="shared" si="22"/>
        <v>0.66966827330930268</v>
      </c>
      <c r="DQ5" s="47">
        <f t="shared" si="23"/>
        <v>-7.6325889101876214</v>
      </c>
      <c r="DR5" s="47">
        <f t="shared" si="24"/>
        <v>-5.9691118918633288</v>
      </c>
      <c r="DS5" s="47">
        <f t="shared" si="25"/>
        <v>-1.7123168906238369</v>
      </c>
      <c r="DT5" s="47">
        <f t="shared" si="26"/>
        <v>1.7123168906238369</v>
      </c>
      <c r="DX5">
        <v>4</v>
      </c>
      <c r="DY5" s="19">
        <f t="shared" si="27"/>
        <v>13.714061003083197</v>
      </c>
      <c r="EM5" s="21">
        <v>4</v>
      </c>
      <c r="EN5" s="16">
        <f t="shared" si="28"/>
        <v>-0.65041008175585913</v>
      </c>
      <c r="EO5" s="16">
        <f t="shared" si="4"/>
        <v>-14.364471084839057</v>
      </c>
      <c r="EP5" s="16">
        <f t="shared" si="29"/>
        <v>-12.037451235913894</v>
      </c>
      <c r="EQ5" s="16">
        <f t="shared" si="30"/>
        <v>10.244364222450763</v>
      </c>
      <c r="ER5" s="16">
        <f t="shared" si="31"/>
        <v>-13.092242487423555</v>
      </c>
      <c r="ES5" s="16">
        <f t="shared" si="32"/>
        <v>-14.357099179839773</v>
      </c>
      <c r="ET5" s="16">
        <f t="shared" si="33"/>
        <v>-5.7427412691620621</v>
      </c>
      <c r="EU5" s="16">
        <f t="shared" si="34"/>
        <v>46.817665116152426</v>
      </c>
      <c r="EW5" s="20">
        <f>LARGE($EN$2:$EU$2,4)</f>
        <v>-5.0306957078103487</v>
      </c>
      <c r="EX5" s="39" t="str">
        <f>INDEX(EN1:EU1,MATCH(EW5,EN2:EU2,0))</f>
        <v>NZD</v>
      </c>
      <c r="FK5" s="20"/>
      <c r="FL5" s="20"/>
    </row>
    <row r="6" spans="1:170" ht="14.4" thickBot="1" x14ac:dyDescent="0.35">
      <c r="A6" s="37" t="s">
        <v>51</v>
      </c>
      <c r="B6" s="38">
        <v>4</v>
      </c>
      <c r="C6" s="34">
        <f>RTD("fxbluelabs.excelrtd", , "21422436","@bh,AUDUSD,d1,close,4")</f>
        <v>0.66700999999999999</v>
      </c>
      <c r="D6" s="34">
        <f>RTD("fxbluelabs.excelrtd", , "21422436","@bh,AUDNZD,d1,close,4")</f>
        <v>1.1014600000000001</v>
      </c>
      <c r="E6" s="35">
        <f>RTD("fxbluelabs.excelrtd", , "21422436","@bh,AUDJPY,d1,close,4")</f>
        <v>98.436000000000007</v>
      </c>
      <c r="F6" s="34">
        <f>RTD("fxbluelabs.excelrtd", , "21422436","@bh,AUDCHF,d1,close,4")</f>
        <v>0.57755999999999996</v>
      </c>
      <c r="G6" s="34">
        <f>RTD("fxbluelabs.excelrtd", , "21422436","@bh,AUDCAD,d1,close,4")</f>
        <v>0.91229000000000005</v>
      </c>
      <c r="H6" s="34">
        <f>RTD("fxbluelabs.excelrtd", , "21422436","@bh,EURUSD,d1,close,4")</f>
        <v>1.10286</v>
      </c>
      <c r="I6" s="34">
        <f>RTD("fxbluelabs.excelrtd", , "21422436","@bh,EURCAD,d1,close,4")</f>
        <v>1.5085500000000001</v>
      </c>
      <c r="J6" s="34">
        <f>RTD("fxbluelabs.excelrtd", , "21422436","@bh,EURGBP,d1,close,4")</f>
        <v>0.85172999999999999</v>
      </c>
      <c r="K6" s="34">
        <f>RTD("fxbluelabs.excelrtd", , "21422436","@bh,EURCHF,d1,close,4")</f>
        <v>0.95503000000000005</v>
      </c>
      <c r="L6" s="35">
        <f>RTD("fxbluelabs.excelrtd", , "21422436","@bh,EURJPY,d1,close,4")</f>
        <v>162.77500000000001</v>
      </c>
      <c r="M6" s="34">
        <f>RTD("fxbluelabs.excelrtd", , "21422436","@bh,EURAUD,d1,close,4")</f>
        <v>1.65337</v>
      </c>
      <c r="N6" s="34">
        <f>RTD("fxbluelabs.excelrtd", , "21422436","@bh,EURNZD,d1,close,4")</f>
        <v>1.8213600000000001</v>
      </c>
      <c r="O6" s="34">
        <f>RTD("fxbluelabs.excelrtd", , "21422436","@bh,GBPUSD,d1,close,4")</f>
        <v>1.2945</v>
      </c>
      <c r="P6" s="34">
        <f>RTD("fxbluelabs.excelrtd", , "21422436","@bh,GBPAUD,d1,close,4")</f>
        <v>1.9406300000000001</v>
      </c>
      <c r="Q6" s="34">
        <f>RTD("fxbluelabs.excelrtd", , "21422436","@bh,GBPNZD,d1,close,4")</f>
        <v>2.1378300000000001</v>
      </c>
      <c r="R6" s="34">
        <f>RTD("fxbluelabs.excelrtd", , "21422436","@bh,GBPCAD,d1,close,4")</f>
        <v>1.7706500000000001</v>
      </c>
      <c r="S6" s="34">
        <f>RTD("fxbluelabs.excelrtd", , "21422436","@bh,GBPCHF,d1,close,4")</f>
        <v>1.1209800000000001</v>
      </c>
      <c r="T6" s="35">
        <f>RTD("fxbluelabs.excelrtd", , "21422436","@bh,GBPJPY,d1,close,4")</f>
        <v>191.05199999999999</v>
      </c>
      <c r="U6" s="35">
        <f>RTD("fxbluelabs.excelrtd", , "21422436","@bh,NZDJPY,d1,close,4")</f>
        <v>89.352999999999994</v>
      </c>
      <c r="V6" s="34">
        <f>RTD("fxbluelabs.excelrtd", , "21422436","@bh,NZDCHF,d1,close,4")</f>
        <v>0.52427000000000001</v>
      </c>
      <c r="W6" s="34">
        <f>RTD("fxbluelabs.excelrtd", , "21422436","@bh,NZDUSD,d1,close,4")</f>
        <v>0.60541</v>
      </c>
      <c r="X6" s="34">
        <f>RTD("fxbluelabs.excelrtd", , "21422436","@bh,NZDCAD,d1,close,4")</f>
        <v>0.82811000000000001</v>
      </c>
      <c r="Y6" s="35">
        <f>RTD("fxbluelabs.excelrtd", , "21422436","@bh,CADJPY,d1,close,4")</f>
        <v>107.89400000000001</v>
      </c>
      <c r="Z6" s="34">
        <f>RTD("fxbluelabs.excelrtd", , "21422436","@bh,CADCHF,d1,close,4")</f>
        <v>0.63305</v>
      </c>
      <c r="AA6" s="35">
        <f>RTD("fxbluelabs.excelrtd", , "21422436","@bh,CHFJPY,d1,close,4")</f>
        <v>170.41900000000001</v>
      </c>
      <c r="AB6" s="34">
        <f>RTD("fxbluelabs.excelrtd", , "21422436","@bh,USDCAD,d1,close,4")</f>
        <v>1.3678999999999999</v>
      </c>
      <c r="AC6" s="34">
        <f>RTD("fxbluelabs.excelrtd", , "21422436","@bh,USDCHF,d1,close,4")</f>
        <v>0.86599000000000004</v>
      </c>
      <c r="AD6" s="35">
        <f>RTD("fxbluelabs.excelrtd", , "21422436","@bh,USDJPY,d1,close,4")</f>
        <v>147.59800000000001</v>
      </c>
      <c r="AH6" s="13">
        <v>5</v>
      </c>
      <c r="AI6" s="27">
        <f t="shared" si="35"/>
        <v>0.90312235265642493</v>
      </c>
      <c r="AJ6" s="27">
        <f t="shared" si="35"/>
        <v>-0.2779462757915046</v>
      </c>
      <c r="AK6" s="27">
        <f t="shared" si="35"/>
        <v>-0.24524210056951928</v>
      </c>
      <c r="AL6" s="27">
        <f t="shared" si="35"/>
        <v>0.13870587419375682</v>
      </c>
      <c r="AM6" s="27">
        <f t="shared" si="35"/>
        <v>0.53557850192302292</v>
      </c>
      <c r="AN6" s="27">
        <f t="shared" si="35"/>
        <v>0.52318798308296777</v>
      </c>
      <c r="AO6" s="27">
        <f t="shared" si="35"/>
        <v>0.16267180134121662</v>
      </c>
      <c r="AP6" s="27">
        <f t="shared" si="35"/>
        <v>-0.2085505735140776</v>
      </c>
      <c r="AQ6" s="27">
        <f t="shared" si="35"/>
        <v>-0.23504094935650741</v>
      </c>
      <c r="AR6" s="27">
        <f t="shared" si="35"/>
        <v>-0.61484167979387538</v>
      </c>
      <c r="AS6" s="27">
        <f t="shared" si="35"/>
        <v>-0.37719250676355165</v>
      </c>
      <c r="AT6" s="27">
        <f t="shared" si="35"/>
        <v>-0.64965880639512263</v>
      </c>
      <c r="AU6" s="27">
        <f t="shared" si="35"/>
        <v>0.7134354601541939</v>
      </c>
      <c r="AV6" s="27">
        <f t="shared" si="35"/>
        <v>-0.18978357472020918</v>
      </c>
      <c r="AW6" s="27">
        <f t="shared" si="35"/>
        <v>-0.45909791450347853</v>
      </c>
      <c r="AX6" s="27">
        <f t="shared" si="35"/>
        <v>0.35081554696621858</v>
      </c>
      <c r="AY6" s="27">
        <f t="shared" si="1"/>
        <v>-4.2801348242453047E-2</v>
      </c>
      <c r="AZ6" s="27">
        <f t="shared" si="1"/>
        <v>-0.42840614153038076</v>
      </c>
      <c r="BA6" s="27">
        <f t="shared" si="1"/>
        <v>3.9185830403722192E-2</v>
      </c>
      <c r="BB6" s="27">
        <f t="shared" si="1"/>
        <v>0.4233229896946798</v>
      </c>
      <c r="BC6" s="27">
        <f t="shared" si="1"/>
        <v>1.1697665480189179</v>
      </c>
      <c r="BD6" s="27">
        <f t="shared" si="1"/>
        <v>0.81076145839673741</v>
      </c>
      <c r="BE6" s="27">
        <f t="shared" si="1"/>
        <v>-0.77526508916007375</v>
      </c>
      <c r="BF6" s="27">
        <f t="shared" si="1"/>
        <v>-0.39336008181888865</v>
      </c>
      <c r="BG6" s="27">
        <f t="shared" si="1"/>
        <v>-0.37879895011895698</v>
      </c>
      <c r="BH6" s="27">
        <f t="shared" si="1"/>
        <v>-0.364192585038977</v>
      </c>
      <c r="BI6" s="27">
        <f t="shared" si="1"/>
        <v>-0.75068191716138455</v>
      </c>
      <c r="BJ6" s="27">
        <f t="shared" si="1"/>
        <v>-1.1287286563104801</v>
      </c>
      <c r="BN6">
        <v>5</v>
      </c>
      <c r="BO6" s="28">
        <f t="shared" si="5"/>
        <v>-0.92172233207278076</v>
      </c>
      <c r="BP6" s="28">
        <f t="shared" si="2"/>
        <v>-1.0165069976981449</v>
      </c>
      <c r="BQ6" s="28">
        <f t="shared" si="3"/>
        <v>-7.8805754680259623</v>
      </c>
      <c r="BR6" s="28">
        <f t="shared" si="3"/>
        <v>-4.0308734543425011</v>
      </c>
      <c r="BS6" s="28">
        <f t="shared" si="3"/>
        <v>-0.89406695853743068</v>
      </c>
      <c r="BT6" s="28">
        <f t="shared" si="3"/>
        <v>1.2000125183553574</v>
      </c>
      <c r="BU6" s="28">
        <f t="shared" si="3"/>
        <v>1.2425665563253676</v>
      </c>
      <c r="BV6" s="28">
        <f t="shared" si="3"/>
        <v>1.3912044968460693</v>
      </c>
      <c r="BW6" s="28">
        <f t="shared" si="3"/>
        <v>-1.9508757036530375</v>
      </c>
      <c r="BX6" s="28">
        <f t="shared" si="3"/>
        <v>-5.8050817889605515</v>
      </c>
      <c r="BY6" s="28">
        <f t="shared" si="3"/>
        <v>2.1617062848709154</v>
      </c>
      <c r="BZ6" s="28">
        <f t="shared" si="3"/>
        <v>1.1385486703752314</v>
      </c>
      <c r="CA6" s="28">
        <f t="shared" si="3"/>
        <v>-0.19736844285140231</v>
      </c>
      <c r="CB6" s="28">
        <f t="shared" si="3"/>
        <v>0.7453330020783151</v>
      </c>
      <c r="CC6" s="28">
        <f t="shared" si="3"/>
        <v>-0.26830312438160436</v>
      </c>
      <c r="CD6" s="28">
        <f t="shared" si="3"/>
        <v>-0.15819128312817138</v>
      </c>
      <c r="CE6" s="28">
        <f t="shared" si="3"/>
        <v>-3.3175866514100769</v>
      </c>
      <c r="CF6" s="28">
        <f t="shared" si="3"/>
        <v>-7.1781225883423039</v>
      </c>
      <c r="CG6" s="28">
        <f t="shared" si="3"/>
        <v>-6.8595083458705073</v>
      </c>
      <c r="CH6" s="28">
        <f t="shared" si="3"/>
        <v>-2.9976815504812526</v>
      </c>
      <c r="CI6" s="28">
        <f t="shared" si="3"/>
        <v>0.11299532393330391</v>
      </c>
      <c r="CJ6" s="28">
        <f t="shared" si="3"/>
        <v>0.14826644528553812</v>
      </c>
      <c r="CK6" s="28">
        <f t="shared" si="3"/>
        <v>-7.0085474855348524</v>
      </c>
      <c r="CL6" s="28">
        <f t="shared" si="3"/>
        <v>-3.1523725732715362</v>
      </c>
      <c r="CM6" s="28">
        <f t="shared" si="3"/>
        <v>-3.8748481099888554</v>
      </c>
      <c r="CN6" s="28">
        <f t="shared" si="3"/>
        <v>5.0467670291925115E-2</v>
      </c>
      <c r="CO6" s="28">
        <f t="shared" si="3"/>
        <v>-3.1115261204697573</v>
      </c>
      <c r="CP6" s="28">
        <f t="shared" si="3"/>
        <v>-6.9577830185088665</v>
      </c>
      <c r="CU6" s="21">
        <v>5</v>
      </c>
      <c r="CV6" s="29">
        <f t="shared" si="6"/>
        <v>-0.62191896584064787</v>
      </c>
      <c r="CW6" s="29">
        <f t="shared" si="7"/>
        <v>-10.212758536051178</v>
      </c>
      <c r="CX6" s="29">
        <f t="shared" si="8"/>
        <v>-10.549962489043615</v>
      </c>
      <c r="CY6" s="29">
        <f t="shared" si="9"/>
        <v>11.53369537036777</v>
      </c>
      <c r="CZ6" s="29">
        <f t="shared" si="10"/>
        <v>-11.765443584881314</v>
      </c>
      <c r="DA6" s="29">
        <f t="shared" si="11"/>
        <v>-17.650784497626052</v>
      </c>
      <c r="DB6" s="29">
        <f t="shared" si="12"/>
        <v>-9.4496666754283982</v>
      </c>
      <c r="DC6" s="29">
        <f t="shared" si="13"/>
        <v>45.564466805231902</v>
      </c>
      <c r="DF6" s="48">
        <v>5</v>
      </c>
      <c r="DG6" s="49">
        <f t="shared" si="36"/>
        <v>5.0467670291925115E-2</v>
      </c>
      <c r="DH6" s="49">
        <f t="shared" si="14"/>
        <v>1.2425665563253676</v>
      </c>
      <c r="DI6" s="49">
        <f t="shared" si="15"/>
        <v>-3.1115261204697573</v>
      </c>
      <c r="DJ6" s="49">
        <f t="shared" si="16"/>
        <v>-1.9508757036530375</v>
      </c>
      <c r="DK6" s="49">
        <f t="shared" si="17"/>
        <v>0.19736844285140231</v>
      </c>
      <c r="DL6" s="49">
        <f t="shared" si="18"/>
        <v>1.3912044968460693</v>
      </c>
      <c r="DM6" s="49">
        <f t="shared" si="19"/>
        <v>0.92172233207278076</v>
      </c>
      <c r="DN6" s="49">
        <f t="shared" si="20"/>
        <v>2.1617062848709154</v>
      </c>
      <c r="DO6" s="49">
        <f t="shared" si="21"/>
        <v>-0.11299532393330391</v>
      </c>
      <c r="DP6" s="49">
        <f t="shared" si="22"/>
        <v>1.1385486703752314</v>
      </c>
      <c r="DQ6" s="49">
        <f t="shared" si="23"/>
        <v>-6.9577830185088665</v>
      </c>
      <c r="DR6" s="49">
        <f t="shared" si="24"/>
        <v>-5.8050817889605515</v>
      </c>
      <c r="DS6" s="49">
        <f t="shared" si="25"/>
        <v>-1.2000125183553574</v>
      </c>
      <c r="DT6" s="49">
        <f t="shared" si="26"/>
        <v>1.2000125183553574</v>
      </c>
      <c r="DX6">
        <v>5</v>
      </c>
      <c r="DY6" s="19">
        <f t="shared" si="27"/>
        <v>9.5908395702105302</v>
      </c>
      <c r="EM6" s="21">
        <v>5</v>
      </c>
      <c r="EN6" s="16">
        <f t="shared" si="28"/>
        <v>-0.62191896584064787</v>
      </c>
      <c r="EO6" s="16">
        <f t="shared" si="4"/>
        <v>-10.212758536051178</v>
      </c>
      <c r="EP6" s="16">
        <f t="shared" si="29"/>
        <v>-10.549962489043615</v>
      </c>
      <c r="EQ6" s="16">
        <f t="shared" si="30"/>
        <v>11.53369537036777</v>
      </c>
      <c r="ER6" s="16">
        <f t="shared" si="31"/>
        <v>-11.765443584881314</v>
      </c>
      <c r="ES6" s="16">
        <f t="shared" si="32"/>
        <v>-17.650784497626052</v>
      </c>
      <c r="ET6" s="16">
        <f t="shared" si="33"/>
        <v>-9.4496666754283982</v>
      </c>
      <c r="EU6" s="16">
        <f t="shared" si="34"/>
        <v>45.564466805231902</v>
      </c>
      <c r="EW6" s="20">
        <f>LARGE($EN$2:$EU$2,5)</f>
        <v>-9.8979395632680447</v>
      </c>
      <c r="EX6" s="39" t="str">
        <f>INDEX(EN1:EU1,MATCH(EW6,EN2:EU2,0))</f>
        <v>GBP</v>
      </c>
      <c r="FK6" s="20"/>
    </row>
    <row r="7" spans="1:170" ht="14.4" thickBot="1" x14ac:dyDescent="0.35">
      <c r="A7" s="37" t="s">
        <v>51</v>
      </c>
      <c r="B7" s="38">
        <v>5</v>
      </c>
      <c r="C7" s="34">
        <f>RTD("fxbluelabs.excelrtd", , "21422436","@bh,AUDUSD,d1,close,5")</f>
        <v>0.66103999999999996</v>
      </c>
      <c r="D7" s="34">
        <f>RTD("fxbluelabs.excelrtd", , "21422436","@bh,AUDNZD,d1,close,5")</f>
        <v>1.10453</v>
      </c>
      <c r="E7" s="35">
        <f>RTD("fxbluelabs.excelrtd", , "21422436","@bh,AUDJPY,d1,close,5")</f>
        <v>98.677999999999997</v>
      </c>
      <c r="F7" s="34">
        <f>RTD("fxbluelabs.excelrtd", , "21422436","@bh,AUDCHF,d1,close,5")</f>
        <v>0.57676000000000005</v>
      </c>
      <c r="G7" s="34">
        <f>RTD("fxbluelabs.excelrtd", , "21422436","@bh,AUDCAD,d1,close,5")</f>
        <v>0.90742999999999996</v>
      </c>
      <c r="H7" s="34">
        <f>RTD("fxbluelabs.excelrtd", , "21422436","@bh,EURUSD,d1,close,5")</f>
        <v>1.0971200000000001</v>
      </c>
      <c r="I7" s="34">
        <f>RTD("fxbluelabs.excelrtd", , "21422436","@bh,EURCAD,d1,close,5")</f>
        <v>1.5061</v>
      </c>
      <c r="J7" s="34">
        <f>RTD("fxbluelabs.excelrtd", , "21422436","@bh,EURGBP,d1,close,5")</f>
        <v>0.85350999999999999</v>
      </c>
      <c r="K7" s="34">
        <f>RTD("fxbluelabs.excelrtd", , "21422436","@bh,EURCHF,d1,close,5")</f>
        <v>0.95728000000000002</v>
      </c>
      <c r="L7" s="35">
        <f>RTD("fxbluelabs.excelrtd", , "21422436","@bh,EURJPY,d1,close,5")</f>
        <v>163.78200000000001</v>
      </c>
      <c r="M7" s="34">
        <f>RTD("fxbluelabs.excelrtd", , "21422436","@bh,EURAUD,d1,close,5")</f>
        <v>1.6596299999999999</v>
      </c>
      <c r="N7" s="34">
        <f>RTD("fxbluelabs.excelrtd", , "21422436","@bh,EURNZD,d1,close,5")</f>
        <v>1.83327</v>
      </c>
      <c r="O7" s="34">
        <f>RTD("fxbluelabs.excelrtd", , "21422436","@bh,GBPUSD,d1,close,5")</f>
        <v>1.2853300000000001</v>
      </c>
      <c r="P7" s="34">
        <f>RTD("fxbluelabs.excelrtd", , "21422436","@bh,GBPAUD,d1,close,5")</f>
        <v>1.94432</v>
      </c>
      <c r="Q7" s="34">
        <f>RTD("fxbluelabs.excelrtd", , "21422436","@bh,GBPNZD,d1,close,5")</f>
        <v>2.1476899999999999</v>
      </c>
      <c r="R7" s="34">
        <f>RTD("fxbluelabs.excelrtd", , "21422436","@bh,GBPCAD,d1,close,5")</f>
        <v>1.7644599999999999</v>
      </c>
      <c r="S7" s="34">
        <f>RTD("fxbluelabs.excelrtd", , "21422436","@bh,GBPCHF,d1,close,5")</f>
        <v>1.1214599999999999</v>
      </c>
      <c r="T7" s="35">
        <f>RTD("fxbluelabs.excelrtd", , "21422436","@bh,GBPJPY,d1,close,5")</f>
        <v>191.874</v>
      </c>
      <c r="U7" s="35">
        <f>RTD("fxbluelabs.excelrtd", , "21422436","@bh,NZDJPY,d1,close,5")</f>
        <v>89.317999999999998</v>
      </c>
      <c r="V7" s="34">
        <f>RTD("fxbluelabs.excelrtd", , "21422436","@bh,NZDCHF,d1,close,5")</f>
        <v>0.52205999999999997</v>
      </c>
      <c r="W7" s="34">
        <f>RTD("fxbluelabs.excelrtd", , "21422436","@bh,NZDUSD,d1,close,5")</f>
        <v>0.59841</v>
      </c>
      <c r="X7" s="34">
        <f>RTD("fxbluelabs.excelrtd", , "21422436","@bh,NZDCAD,d1,close,5")</f>
        <v>0.82145000000000001</v>
      </c>
      <c r="Y7" s="35">
        <f>RTD("fxbluelabs.excelrtd", , "21422436","@bh,CADJPY,d1,close,5")</f>
        <v>108.73699999999999</v>
      </c>
      <c r="Z7" s="34">
        <f>RTD("fxbluelabs.excelrtd", , "21422436","@bh,CADCHF,d1,close,5")</f>
        <v>0.63554999999999995</v>
      </c>
      <c r="AA7" s="35">
        <f>RTD("fxbluelabs.excelrtd", , "21422436","@bh,CHFJPY,d1,close,5")</f>
        <v>171.06700000000001</v>
      </c>
      <c r="AB7" s="34">
        <f>RTD("fxbluelabs.excelrtd", , "21422436","@bh,USDCAD,d1,close,5")</f>
        <v>1.3729</v>
      </c>
      <c r="AC7" s="34">
        <f>RTD("fxbluelabs.excelrtd", , "21422436","@bh,USDCHF,d1,close,5")</f>
        <v>0.87253999999999998</v>
      </c>
      <c r="AD7" s="35">
        <f>RTD("fxbluelabs.excelrtd", , "21422436","@bh,USDJPY,d1,close,5")</f>
        <v>149.28299999999999</v>
      </c>
      <c r="AH7" s="21">
        <v>6</v>
      </c>
      <c r="AI7" s="22">
        <f t="shared" si="35"/>
        <v>0.21071780489653641</v>
      </c>
      <c r="AJ7" s="22">
        <f t="shared" si="35"/>
        <v>0.41729548884485468</v>
      </c>
      <c r="AK7" s="22">
        <f t="shared" si="35"/>
        <v>1.5508742320239481</v>
      </c>
      <c r="AL7" s="22">
        <f t="shared" si="35"/>
        <v>1.074251266144451</v>
      </c>
      <c r="AM7" s="22">
        <f t="shared" si="35"/>
        <v>0.3150633443144783</v>
      </c>
      <c r="AN7" s="22">
        <f t="shared" si="35"/>
        <v>-0.37321903689509334</v>
      </c>
      <c r="AO7" s="22">
        <f t="shared" si="35"/>
        <v>-0.26884568522540342</v>
      </c>
      <c r="AP7" s="22">
        <f t="shared" si="35"/>
        <v>-0.57661393658411686</v>
      </c>
      <c r="AQ7" s="22">
        <f t="shared" si="35"/>
        <v>0.48284838560692456</v>
      </c>
      <c r="AR7" s="22">
        <f t="shared" si="35"/>
        <v>0.96040043396786001</v>
      </c>
      <c r="AS7" s="22">
        <f t="shared" si="35"/>
        <v>-0.58166700612218647</v>
      </c>
      <c r="AT7" s="22">
        <f t="shared" si="35"/>
        <v>-0.17098578204214432</v>
      </c>
      <c r="AU7" s="22">
        <f t="shared" si="35"/>
        <v>0.21675568203968693</v>
      </c>
      <c r="AV7" s="22">
        <f t="shared" si="35"/>
        <v>7.2009793331908045E-3</v>
      </c>
      <c r="AW7" s="22">
        <f t="shared" si="35"/>
        <v>0.42692278916653542</v>
      </c>
      <c r="AX7" s="22">
        <f t="shared" si="35"/>
        <v>0.32181032522174202</v>
      </c>
      <c r="AY7" s="22">
        <f t="shared" si="1"/>
        <v>1.0779630464173025</v>
      </c>
      <c r="AZ7" s="22">
        <f t="shared" si="1"/>
        <v>1.5587866341323953</v>
      </c>
      <c r="BA7" s="22">
        <f t="shared" si="1"/>
        <v>1.1517423358738812</v>
      </c>
      <c r="BB7" s="22">
        <f t="shared" si="1"/>
        <v>0.66912204246128404</v>
      </c>
      <c r="BC7" s="22">
        <f t="shared" si="1"/>
        <v>-0.21344361253313346</v>
      </c>
      <c r="BD7" s="22">
        <f t="shared" si="1"/>
        <v>-0.10336860026754437</v>
      </c>
      <c r="BE7" s="22">
        <f t="shared" si="1"/>
        <v>1.2279133850937352</v>
      </c>
      <c r="BF7" s="22">
        <f t="shared" si="1"/>
        <v>0.75301204819275847</v>
      </c>
      <c r="BG7" s="22">
        <f t="shared" si="1"/>
        <v>0.47162054221679112</v>
      </c>
      <c r="BH7" s="22">
        <f t="shared" si="1"/>
        <v>0.11010726343344346</v>
      </c>
      <c r="BI7" s="22">
        <f t="shared" si="1"/>
        <v>0.86118207354147625</v>
      </c>
      <c r="BJ7" s="22">
        <f t="shared" si="1"/>
        <v>1.3366007304125842</v>
      </c>
      <c r="BN7">
        <v>6</v>
      </c>
      <c r="BO7" s="23">
        <f t="shared" si="5"/>
        <v>-1.8248446847292055</v>
      </c>
      <c r="BP7" s="23">
        <f t="shared" si="2"/>
        <v>-0.73856072190664024</v>
      </c>
      <c r="BQ7" s="23">
        <f t="shared" si="3"/>
        <v>-7.6353333674564441</v>
      </c>
      <c r="BR7" s="23">
        <f t="shared" si="3"/>
        <v>-4.1695793285362583</v>
      </c>
      <c r="BS7" s="23">
        <f t="shared" si="3"/>
        <v>-1.4296454604604534</v>
      </c>
      <c r="BT7" s="23">
        <f t="shared" si="3"/>
        <v>0.67682453527238962</v>
      </c>
      <c r="BU7" s="23">
        <f t="shared" si="3"/>
        <v>1.0798947549841511</v>
      </c>
      <c r="BV7" s="23">
        <f t="shared" si="3"/>
        <v>1.5997550703601471</v>
      </c>
      <c r="BW7" s="23">
        <f t="shared" si="3"/>
        <v>-1.7158347542965304</v>
      </c>
      <c r="BX7" s="23">
        <f t="shared" si="3"/>
        <v>-5.1902401091666759</v>
      </c>
      <c r="BY7" s="23">
        <f t="shared" si="3"/>
        <v>2.538898791634467</v>
      </c>
      <c r="BZ7" s="23">
        <f t="shared" si="3"/>
        <v>1.7882074767703542</v>
      </c>
      <c r="CA7" s="23">
        <f t="shared" si="3"/>
        <v>-0.91080390300559566</v>
      </c>
      <c r="CB7" s="23">
        <f t="shared" si="3"/>
        <v>0.93511657679852456</v>
      </c>
      <c r="CC7" s="23">
        <f t="shared" si="3"/>
        <v>0.190794790121874</v>
      </c>
      <c r="CD7" s="23">
        <f t="shared" si="3"/>
        <v>-0.50900683009439007</v>
      </c>
      <c r="CE7" s="23">
        <f t="shared" si="3"/>
        <v>-3.274785303167624</v>
      </c>
      <c r="CF7" s="23">
        <f t="shared" si="3"/>
        <v>-6.7497164468119228</v>
      </c>
      <c r="CG7" s="23">
        <f t="shared" si="3"/>
        <v>-6.8986941762742289</v>
      </c>
      <c r="CH7" s="23">
        <f t="shared" si="3"/>
        <v>-3.4210045401759324</v>
      </c>
      <c r="CI7" s="23">
        <f t="shared" si="3"/>
        <v>-1.056771224085614</v>
      </c>
      <c r="CJ7" s="23">
        <f t="shared" si="3"/>
        <v>-0.66249501311119918</v>
      </c>
      <c r="CK7" s="23">
        <f t="shared" si="3"/>
        <v>-6.2332823963747792</v>
      </c>
      <c r="CL7" s="23">
        <f t="shared" si="3"/>
        <v>-2.7590124914526486</v>
      </c>
      <c r="CM7" s="23">
        <f t="shared" si="3"/>
        <v>-3.4960491598698984</v>
      </c>
      <c r="CN7" s="23">
        <f t="shared" si="3"/>
        <v>0.41466025533090206</v>
      </c>
      <c r="CO7" s="23">
        <f t="shared" si="3"/>
        <v>-2.3608442033083739</v>
      </c>
      <c r="CP7" s="23">
        <f t="shared" si="3"/>
        <v>-5.8290543621983861</v>
      </c>
      <c r="CU7" s="13">
        <v>6</v>
      </c>
      <c r="CV7" s="24">
        <f t="shared" si="6"/>
        <v>0.77750576555830309</v>
      </c>
      <c r="CW7" s="24">
        <f t="shared" si="7"/>
        <v>-4.6596430336278338</v>
      </c>
      <c r="CX7" s="24">
        <f t="shared" si="8"/>
        <v>-7.8857025944764372</v>
      </c>
      <c r="CY7" s="24">
        <f t="shared" si="9"/>
        <v>11.44599896961482</v>
      </c>
      <c r="CZ7" s="24">
        <f t="shared" si="10"/>
        <v>-11.91815618651928</v>
      </c>
      <c r="DA7" s="24">
        <f t="shared" si="11"/>
        <v>-19.271978931521993</v>
      </c>
      <c r="DB7" s="24">
        <f t="shared" si="12"/>
        <v>-13.279406498632563</v>
      </c>
      <c r="DC7" s="24">
        <f t="shared" si="13"/>
        <v>42.032370018152335</v>
      </c>
      <c r="DF7" s="46">
        <v>6</v>
      </c>
      <c r="DG7" s="47">
        <f t="shared" si="36"/>
        <v>0.41466025533090206</v>
      </c>
      <c r="DH7" s="47">
        <f t="shared" si="14"/>
        <v>1.0798947549841511</v>
      </c>
      <c r="DI7" s="47">
        <f t="shared" si="15"/>
        <v>-2.3608442033083739</v>
      </c>
      <c r="DJ7" s="47">
        <f t="shared" si="16"/>
        <v>-1.7158347542965304</v>
      </c>
      <c r="DK7" s="47">
        <f t="shared" si="17"/>
        <v>0.91080390300559566</v>
      </c>
      <c r="DL7" s="47">
        <f t="shared" si="18"/>
        <v>1.5997550703601471</v>
      </c>
      <c r="DM7" s="47">
        <f t="shared" si="19"/>
        <v>1.8248446847292055</v>
      </c>
      <c r="DN7" s="47">
        <f t="shared" si="20"/>
        <v>2.538898791634467</v>
      </c>
      <c r="DO7" s="47">
        <f t="shared" si="21"/>
        <v>1.056771224085614</v>
      </c>
      <c r="DP7" s="47">
        <f t="shared" si="22"/>
        <v>1.7882074767703542</v>
      </c>
      <c r="DQ7" s="47">
        <f t="shared" si="23"/>
        <v>-5.8290543621983861</v>
      </c>
      <c r="DR7" s="47">
        <f t="shared" si="24"/>
        <v>-5.1902401091666759</v>
      </c>
      <c r="DS7" s="47">
        <f t="shared" si="25"/>
        <v>-0.67682453527238962</v>
      </c>
      <c r="DT7" s="47">
        <f t="shared" si="26"/>
        <v>0.67682453527238962</v>
      </c>
      <c r="DX7">
        <v>6</v>
      </c>
      <c r="DY7" s="19">
        <f t="shared" si="27"/>
        <v>5.4371487991861365</v>
      </c>
      <c r="EM7" s="13">
        <v>6</v>
      </c>
      <c r="EN7" s="16">
        <f t="shared" si="28"/>
        <v>0.77750576555830309</v>
      </c>
      <c r="EO7" s="16">
        <f t="shared" si="4"/>
        <v>-4.6596430336278338</v>
      </c>
      <c r="EP7" s="16">
        <f t="shared" si="29"/>
        <v>-7.8857025944764372</v>
      </c>
      <c r="EQ7" s="16">
        <f t="shared" si="30"/>
        <v>11.44599896961482</v>
      </c>
      <c r="ER7" s="16">
        <f t="shared" si="31"/>
        <v>-11.91815618651928</v>
      </c>
      <c r="ES7" s="16">
        <f t="shared" si="32"/>
        <v>-19.271978931521993</v>
      </c>
      <c r="ET7" s="16">
        <f t="shared" si="33"/>
        <v>-13.279406498632563</v>
      </c>
      <c r="EU7" s="16">
        <f t="shared" si="34"/>
        <v>42.032370018152335</v>
      </c>
      <c r="EW7" s="20">
        <f>LARGE($EN$2:$EU$2,6)</f>
        <v>-13.158116587406765</v>
      </c>
      <c r="EX7" s="39" t="str">
        <f>INDEX(EN1:EU1,MATCH(EW7,EN2:EU2,0))</f>
        <v>CAD</v>
      </c>
      <c r="FK7" s="20"/>
      <c r="FL7" s="20"/>
    </row>
    <row r="8" spans="1:170" ht="14.4" thickBot="1" x14ac:dyDescent="0.35">
      <c r="A8" s="37" t="s">
        <v>51</v>
      </c>
      <c r="B8" s="38">
        <v>6</v>
      </c>
      <c r="C8" s="34">
        <f>RTD("fxbluelabs.excelrtd", , "21422436","@bh,AUDUSD,d1,close,6")</f>
        <v>0.65964999999999996</v>
      </c>
      <c r="D8" s="34">
        <f>RTD("fxbluelabs.excelrtd", , "21422436","@bh,AUDNZD,d1,close,6")</f>
        <v>1.0999399999999999</v>
      </c>
      <c r="E8" s="35">
        <f>RTD("fxbluelabs.excelrtd", , "21422436","@bh,AUDJPY,d1,close,6")</f>
        <v>97.171000000000006</v>
      </c>
      <c r="F8" s="34">
        <f>RTD("fxbluelabs.excelrtd", , "21422436","@bh,AUDCHF,d1,close,6")</f>
        <v>0.57062999999999997</v>
      </c>
      <c r="G8" s="34">
        <f>RTD("fxbluelabs.excelrtd", , "21422436","@bh,AUDCAD,d1,close,6")</f>
        <v>0.90458000000000005</v>
      </c>
      <c r="H8" s="34">
        <f>RTD("fxbluelabs.excelrtd", , "21422436","@bh,EURUSD,d1,close,6")</f>
        <v>1.1012299999999999</v>
      </c>
      <c r="I8" s="34">
        <f>RTD("fxbluelabs.excelrtd", , "21422436","@bh,EURCAD,d1,close,6")</f>
        <v>1.5101599999999999</v>
      </c>
      <c r="J8" s="34">
        <f>RTD("fxbluelabs.excelrtd", , "21422436","@bh,EURGBP,d1,close,6")</f>
        <v>0.85846</v>
      </c>
      <c r="K8" s="34">
        <f>RTD("fxbluelabs.excelrtd", , "21422436","@bh,EURCHF,d1,close,6")</f>
        <v>0.95267999999999997</v>
      </c>
      <c r="L8" s="35">
        <f>RTD("fxbluelabs.excelrtd", , "21422436","@bh,EURJPY,d1,close,6")</f>
        <v>162.22399999999999</v>
      </c>
      <c r="M8" s="34">
        <f>RTD("fxbluelabs.excelrtd", , "21422436","@bh,EURAUD,d1,close,6")</f>
        <v>1.66934</v>
      </c>
      <c r="N8" s="34">
        <f>RTD("fxbluelabs.excelrtd", , "21422436","@bh,EURNZD,d1,close,6")</f>
        <v>1.8364100000000001</v>
      </c>
      <c r="O8" s="34">
        <f>RTD("fxbluelabs.excelrtd", , "21422436","@bh,GBPUSD,d1,close,6")</f>
        <v>1.2825500000000001</v>
      </c>
      <c r="P8" s="34">
        <f>RTD("fxbluelabs.excelrtd", , "21422436","@bh,GBPAUD,d1,close,6")</f>
        <v>1.94418</v>
      </c>
      <c r="Q8" s="34">
        <f>RTD("fxbluelabs.excelrtd", , "21422436","@bh,GBPNZD,d1,close,6")</f>
        <v>2.13856</v>
      </c>
      <c r="R8" s="34">
        <f>RTD("fxbluelabs.excelrtd", , "21422436","@bh,GBPCAD,d1,close,6")</f>
        <v>1.7587999999999999</v>
      </c>
      <c r="S8" s="34">
        <f>RTD("fxbluelabs.excelrtd", , "21422436","@bh,GBPCHF,d1,close,6")</f>
        <v>1.1094999999999999</v>
      </c>
      <c r="T8" s="35">
        <f>RTD("fxbluelabs.excelrtd", , "21422436","@bh,GBPJPY,d1,close,6")</f>
        <v>188.929</v>
      </c>
      <c r="U8" s="35">
        <f>RTD("fxbluelabs.excelrtd", , "21422436","@bh,NZDJPY,d1,close,6")</f>
        <v>88.301000000000002</v>
      </c>
      <c r="V8" s="34">
        <f>RTD("fxbluelabs.excelrtd", , "21422436","@bh,NZDCHF,d1,close,6")</f>
        <v>0.51859</v>
      </c>
      <c r="W8" s="34">
        <f>RTD("fxbluelabs.excelrtd", , "21422436","@bh,NZDUSD,d1,close,6")</f>
        <v>0.59968999999999995</v>
      </c>
      <c r="X8" s="34">
        <f>RTD("fxbluelabs.excelrtd", , "21422436","@bh,NZDCAD,d1,close,6")</f>
        <v>0.82230000000000003</v>
      </c>
      <c r="Y8" s="35">
        <f>RTD("fxbluelabs.excelrtd", , "21422436","@bh,CADJPY,d1,close,6")</f>
        <v>107.41800000000001</v>
      </c>
      <c r="Z8" s="34">
        <f>RTD("fxbluelabs.excelrtd", , "21422436","@bh,CADCHF,d1,close,6")</f>
        <v>0.63080000000000003</v>
      </c>
      <c r="AA8" s="35">
        <f>RTD("fxbluelabs.excelrtd", , "21422436","@bh,CHFJPY,d1,close,6")</f>
        <v>170.26400000000001</v>
      </c>
      <c r="AB8" s="34">
        <f>RTD("fxbluelabs.excelrtd", , "21422436","@bh,USDCAD,d1,close,6")</f>
        <v>1.3713900000000001</v>
      </c>
      <c r="AC8" s="34">
        <f>RTD("fxbluelabs.excelrtd", , "21422436","@bh,USDCHF,d1,close,6")</f>
        <v>0.86509000000000003</v>
      </c>
      <c r="AD8" s="35">
        <f>RTD("fxbluelabs.excelrtd", , "21422436","@bh,USDJPY,d1,close,6")</f>
        <v>147.31399999999999</v>
      </c>
      <c r="AH8" s="21">
        <v>7</v>
      </c>
      <c r="AI8" s="27">
        <f t="shared" si="35"/>
        <v>-0.56077302259674944</v>
      </c>
      <c r="AJ8" s="27">
        <f t="shared" si="35"/>
        <v>0.77417108722936956</v>
      </c>
      <c r="AK8" s="27">
        <f t="shared" si="35"/>
        <v>-0.24433060600149836</v>
      </c>
      <c r="AL8" s="27">
        <f t="shared" si="35"/>
        <v>-0.52298519951885414</v>
      </c>
      <c r="AM8" s="27">
        <f t="shared" si="35"/>
        <v>-0.50485607752125372</v>
      </c>
      <c r="AN8" s="27">
        <f t="shared" si="35"/>
        <v>0.17738883632922423</v>
      </c>
      <c r="AO8" s="27">
        <f t="shared" si="35"/>
        <v>0.23296717884046739</v>
      </c>
      <c r="AP8" s="27">
        <f t="shared" si="35"/>
        <v>0.44932250590905365</v>
      </c>
      <c r="AQ8" s="27">
        <f t="shared" si="35"/>
        <v>0.21564646602779172</v>
      </c>
      <c r="AR8" s="27">
        <f t="shared" si="35"/>
        <v>0.49434415769454854</v>
      </c>
      <c r="AS8" s="27">
        <f t="shared" si="35"/>
        <v>0.74350339766569562</v>
      </c>
      <c r="AT8" s="27">
        <f t="shared" si="35"/>
        <v>1.5247425131162222</v>
      </c>
      <c r="AU8" s="27">
        <f t="shared" si="35"/>
        <v>-0.29075869360718459</v>
      </c>
      <c r="AV8" s="27">
        <f t="shared" si="35"/>
        <v>0.27283651986445939</v>
      </c>
      <c r="AW8" s="27">
        <f t="shared" si="35"/>
        <v>1.0437190227123438</v>
      </c>
      <c r="AX8" s="27">
        <f t="shared" si="35"/>
        <v>-0.23540089055277222</v>
      </c>
      <c r="AY8" s="27">
        <f t="shared" si="1"/>
        <v>-0.25352416570771402</v>
      </c>
      <c r="AZ8" s="27">
        <f t="shared" si="1"/>
        <v>2.4883260448320666E-2</v>
      </c>
      <c r="BA8" s="27">
        <f t="shared" si="1"/>
        <v>-1.0333658361633178</v>
      </c>
      <c r="BB8" s="27">
        <f t="shared" si="1"/>
        <v>-1.30554762584451</v>
      </c>
      <c r="BC8" s="27">
        <f t="shared" si="1"/>
        <v>-1.3180845812078448</v>
      </c>
      <c r="BD8" s="27">
        <f t="shared" si="1"/>
        <v>-1.2691056227262321</v>
      </c>
      <c r="BE8" s="27">
        <f t="shared" si="1"/>
        <v>0.26602447425164122</v>
      </c>
      <c r="BF8" s="27">
        <f t="shared" si="1"/>
        <v>-1.5850372483751624E-2</v>
      </c>
      <c r="BG8" s="27">
        <f t="shared" si="1"/>
        <v>0.27621543626138728</v>
      </c>
      <c r="BH8" s="27">
        <f t="shared" si="1"/>
        <v>5.5448954130589138E-2</v>
      </c>
      <c r="BI8" s="27">
        <f t="shared" si="1"/>
        <v>3.7004058882707185E-2</v>
      </c>
      <c r="BJ8" s="27">
        <f t="shared" si="1"/>
        <v>0.31870122441196169</v>
      </c>
      <c r="BN8">
        <v>7</v>
      </c>
      <c r="BO8" s="28">
        <f t="shared" si="5"/>
        <v>-2.0355624896257418</v>
      </c>
      <c r="BP8" s="28">
        <f t="shared" si="2"/>
        <v>-1.1558562107514954</v>
      </c>
      <c r="BQ8" s="28">
        <f t="shared" si="3"/>
        <v>-9.186207599480392</v>
      </c>
      <c r="BR8" s="28">
        <f t="shared" si="3"/>
        <v>-5.24383059468071</v>
      </c>
      <c r="BS8" s="28">
        <f t="shared" si="3"/>
        <v>-1.7447088047749317</v>
      </c>
      <c r="BT8" s="28">
        <f t="shared" si="3"/>
        <v>1.0500435721674828</v>
      </c>
      <c r="BU8" s="28">
        <f t="shared" si="3"/>
        <v>1.3487404402095546</v>
      </c>
      <c r="BV8" s="28">
        <f t="shared" si="3"/>
        <v>2.1763690069442636</v>
      </c>
      <c r="BW8" s="28">
        <f t="shared" si="3"/>
        <v>-2.1986831399034545</v>
      </c>
      <c r="BX8" s="28">
        <f t="shared" si="3"/>
        <v>-6.1506405431345357</v>
      </c>
      <c r="BY8" s="28">
        <f t="shared" si="3"/>
        <v>3.1205657977566532</v>
      </c>
      <c r="BZ8" s="28">
        <f t="shared" si="3"/>
        <v>1.9591932588124983</v>
      </c>
      <c r="CA8" s="28">
        <f t="shared" si="3"/>
        <v>-1.1275595850452829</v>
      </c>
      <c r="CB8" s="28">
        <f t="shared" si="3"/>
        <v>0.92791559746533392</v>
      </c>
      <c r="CC8" s="28">
        <f t="shared" si="3"/>
        <v>-0.23612799904466142</v>
      </c>
      <c r="CD8" s="28">
        <f t="shared" si="3"/>
        <v>-0.83081715531613165</v>
      </c>
      <c r="CE8" s="28">
        <f t="shared" si="3"/>
        <v>-4.3527483495849264</v>
      </c>
      <c r="CF8" s="28">
        <f t="shared" si="3"/>
        <v>-8.3085030809443179</v>
      </c>
      <c r="CG8" s="28">
        <f t="shared" si="3"/>
        <v>-8.0504365121481101</v>
      </c>
      <c r="CH8" s="28">
        <f t="shared" si="3"/>
        <v>-4.0901265826372164</v>
      </c>
      <c r="CI8" s="28">
        <f t="shared" si="3"/>
        <v>-0.84332761155248026</v>
      </c>
      <c r="CJ8" s="28">
        <f t="shared" si="3"/>
        <v>-0.55912641284365483</v>
      </c>
      <c r="CK8" s="28">
        <f t="shared" si="3"/>
        <v>-7.4611957814685148</v>
      </c>
      <c r="CL8" s="28">
        <f t="shared" si="3"/>
        <v>-3.5120245396454073</v>
      </c>
      <c r="CM8" s="28">
        <f t="shared" si="3"/>
        <v>-3.9676697020866896</v>
      </c>
      <c r="CN8" s="28">
        <f t="shared" si="3"/>
        <v>0.3045529918974586</v>
      </c>
      <c r="CO8" s="28">
        <f t="shared" si="3"/>
        <v>-3.2220262768498502</v>
      </c>
      <c r="CP8" s="28">
        <f t="shared" si="3"/>
        <v>-7.1656550926109706</v>
      </c>
      <c r="CU8" s="21">
        <v>7</v>
      </c>
      <c r="CV8" s="29">
        <f t="shared" si="6"/>
        <v>1.3055883928524616</v>
      </c>
      <c r="CW8" s="29">
        <f>CN8+CO8+CP8-CI8-CA8-BT8-BO8</f>
        <v>-7.1267222635073413</v>
      </c>
      <c r="CX8" s="29">
        <f t="shared" si="8"/>
        <v>-9.4918613802862186</v>
      </c>
      <c r="CY8" s="29">
        <f t="shared" si="9"/>
        <v>15.139745241569468</v>
      </c>
      <c r="CZ8" s="29">
        <f t="shared" si="10"/>
        <v>-16.104209579414249</v>
      </c>
      <c r="DA8" s="29">
        <f t="shared" si="11"/>
        <v>-23.414647094535258</v>
      </c>
      <c r="DB8" s="29">
        <f t="shared" si="12"/>
        <v>-14.110226168197801</v>
      </c>
      <c r="DC8" s="29">
        <f t="shared" si="13"/>
        <v>50.290308311873531</v>
      </c>
      <c r="DF8" s="48">
        <v>7</v>
      </c>
      <c r="DG8" s="49">
        <f t="shared" si="36"/>
        <v>0.3045529918974586</v>
      </c>
      <c r="DH8" s="49">
        <f t="shared" si="14"/>
        <v>1.3487404402095546</v>
      </c>
      <c r="DI8" s="49">
        <f t="shared" si="15"/>
        <v>-3.2220262768498502</v>
      </c>
      <c r="DJ8" s="49">
        <f t="shared" si="16"/>
        <v>-2.1986831399034545</v>
      </c>
      <c r="DK8" s="49">
        <f t="shared" si="17"/>
        <v>1.1275595850452829</v>
      </c>
      <c r="DL8" s="49">
        <f t="shared" si="18"/>
        <v>2.1763690069442636</v>
      </c>
      <c r="DM8" s="49">
        <f t="shared" si="19"/>
        <v>2.0355624896257418</v>
      </c>
      <c r="DN8" s="49">
        <f t="shared" si="20"/>
        <v>3.1205657977566532</v>
      </c>
      <c r="DO8" s="49">
        <f t="shared" si="21"/>
        <v>0.84332761155248026</v>
      </c>
      <c r="DP8" s="49">
        <f t="shared" si="22"/>
        <v>1.9591932588124983</v>
      </c>
      <c r="DQ8" s="49">
        <f t="shared" si="23"/>
        <v>-7.1656550926109706</v>
      </c>
      <c r="DR8" s="49">
        <f t="shared" si="24"/>
        <v>-6.1506405431345357</v>
      </c>
      <c r="DS8" s="49">
        <f t="shared" si="25"/>
        <v>-1.0500435721674828</v>
      </c>
      <c r="DT8" s="49">
        <f t="shared" si="26"/>
        <v>1.0500435721674828</v>
      </c>
      <c r="DX8">
        <v>7</v>
      </c>
      <c r="DY8" s="19">
        <f t="shared" si="27"/>
        <v>8.4323106563598031</v>
      </c>
      <c r="EM8" s="21">
        <v>7</v>
      </c>
      <c r="EN8" s="16">
        <f t="shared" si="28"/>
        <v>1.3055883928524616</v>
      </c>
      <c r="EO8" s="16">
        <f t="shared" si="4"/>
        <v>-7.1267222635073413</v>
      </c>
      <c r="EP8" s="16">
        <f t="shared" si="29"/>
        <v>-9.4918613802862186</v>
      </c>
      <c r="EQ8" s="16">
        <f t="shared" si="30"/>
        <v>15.139745241569468</v>
      </c>
      <c r="ER8" s="16">
        <f t="shared" si="31"/>
        <v>-16.104209579414249</v>
      </c>
      <c r="ES8" s="16">
        <f t="shared" si="32"/>
        <v>-23.414647094535258</v>
      </c>
      <c r="ET8" s="16">
        <f t="shared" si="33"/>
        <v>-14.110226168197801</v>
      </c>
      <c r="EU8" s="16">
        <f t="shared" si="34"/>
        <v>50.290308311873531</v>
      </c>
      <c r="EW8" s="20">
        <f>LARGE($EN$2:$EU$2,7)</f>
        <v>-17.980552919411579</v>
      </c>
      <c r="EX8" s="39" t="str">
        <f>INDEX(EN1:EU1,MATCH(EW8,EN2:EU2,0))</f>
        <v>USD</v>
      </c>
      <c r="FK8" s="20"/>
      <c r="FL8" s="20"/>
    </row>
    <row r="9" spans="1:170" ht="14.4" thickBot="1" x14ac:dyDescent="0.35">
      <c r="A9" s="37" t="s">
        <v>51</v>
      </c>
      <c r="B9" s="38">
        <v>7</v>
      </c>
      <c r="C9" s="34">
        <f>RTD("fxbluelabs.excelrtd", , "21422436","@bh,AUDUSD,d1,close,7")</f>
        <v>0.66337000000000002</v>
      </c>
      <c r="D9" s="34">
        <f>RTD("fxbluelabs.excelrtd", , "21422436","@bh,AUDNZD,d1,close,7")</f>
        <v>1.0914900000000001</v>
      </c>
      <c r="E9" s="35">
        <f>RTD("fxbluelabs.excelrtd", , "21422436","@bh,AUDJPY,d1,close,7")</f>
        <v>97.409000000000006</v>
      </c>
      <c r="F9" s="34">
        <f>RTD("fxbluelabs.excelrtd", , "21422436","@bh,AUDCHF,d1,close,7")</f>
        <v>0.57362999999999997</v>
      </c>
      <c r="G9" s="34">
        <f>RTD("fxbluelabs.excelrtd", , "21422436","@bh,AUDCAD,d1,close,7")</f>
        <v>0.90917000000000003</v>
      </c>
      <c r="H9" s="34">
        <f>RTD("fxbluelabs.excelrtd", , "21422436","@bh,EURUSD,d1,close,7")</f>
        <v>1.09928</v>
      </c>
      <c r="I9" s="34">
        <f>RTD("fxbluelabs.excelrtd", , "21422436","@bh,EURCAD,d1,close,7")</f>
        <v>1.50665</v>
      </c>
      <c r="J9" s="34">
        <f>RTD("fxbluelabs.excelrtd", , "21422436","@bh,EURGBP,d1,close,7")</f>
        <v>0.85462000000000005</v>
      </c>
      <c r="K9" s="34">
        <f>RTD("fxbluelabs.excelrtd", , "21422436","@bh,EURCHF,d1,close,7")</f>
        <v>0.95062999999999998</v>
      </c>
      <c r="L9" s="35">
        <f>RTD("fxbluelabs.excelrtd", , "21422436","@bh,EURJPY,d1,close,7")</f>
        <v>161.42599999999999</v>
      </c>
      <c r="M9" s="34">
        <f>RTD("fxbluelabs.excelrtd", , "21422436","@bh,EURAUD,d1,close,7")</f>
        <v>1.6570199999999999</v>
      </c>
      <c r="N9" s="34">
        <f>RTD("fxbluelabs.excelrtd", , "21422436","@bh,EURNZD,d1,close,7")</f>
        <v>1.8088299999999999</v>
      </c>
      <c r="O9" s="34">
        <f>RTD("fxbluelabs.excelrtd", , "21422436","@bh,GBPUSD,d1,close,7")</f>
        <v>1.2862899999999999</v>
      </c>
      <c r="P9" s="34">
        <f>RTD("fxbluelabs.excelrtd", , "21422436","@bh,GBPAUD,d1,close,7")</f>
        <v>1.93889</v>
      </c>
      <c r="Q9" s="34">
        <f>RTD("fxbluelabs.excelrtd", , "21422436","@bh,GBPNZD,d1,close,7")</f>
        <v>2.1164700000000001</v>
      </c>
      <c r="R9" s="34">
        <f>RTD("fxbluelabs.excelrtd", , "21422436","@bh,GBPCAD,d1,close,7")</f>
        <v>1.76295</v>
      </c>
      <c r="S9" s="34">
        <f>RTD("fxbluelabs.excelrtd", , "21422436","@bh,GBPCHF,d1,close,7")</f>
        <v>1.11232</v>
      </c>
      <c r="T9" s="35">
        <f>RTD("fxbluelabs.excelrtd", , "21422436","@bh,GBPJPY,d1,close,7")</f>
        <v>188.88200000000001</v>
      </c>
      <c r="U9" s="35">
        <f>RTD("fxbluelabs.excelrtd", , "21422436","@bh,NZDJPY,d1,close,7")</f>
        <v>89.222999999999999</v>
      </c>
      <c r="V9" s="34">
        <f>RTD("fxbluelabs.excelrtd", , "21422436","@bh,NZDCHF,d1,close,7")</f>
        <v>0.52544999999999997</v>
      </c>
      <c r="W9" s="34">
        <f>RTD("fxbluelabs.excelrtd", , "21422436","@bh,NZDUSD,d1,close,7")</f>
        <v>0.60770000000000002</v>
      </c>
      <c r="X9" s="34">
        <f>RTD("fxbluelabs.excelrtd", , "21422436","@bh,NZDCAD,d1,close,7")</f>
        <v>0.83287</v>
      </c>
      <c r="Y9" s="35">
        <f>RTD("fxbluelabs.excelrtd", , "21422436","@bh,CADJPY,d1,close,7")</f>
        <v>107.133</v>
      </c>
      <c r="Z9" s="34">
        <f>RTD("fxbluelabs.excelrtd", , "21422436","@bh,CADCHF,d1,close,7")</f>
        <v>0.63090000000000002</v>
      </c>
      <c r="AA9" s="35">
        <f>RTD("fxbluelabs.excelrtd", , "21422436","@bh,CHFJPY,d1,close,7")</f>
        <v>169.79499999999999</v>
      </c>
      <c r="AB9" s="34">
        <f>RTD("fxbluelabs.excelrtd", , "21422436","@bh,USDCAD,d1,close,7")</f>
        <v>1.37063</v>
      </c>
      <c r="AC9" s="34">
        <f>RTD("fxbluelabs.excelrtd", , "21422436","@bh,USDCHF,d1,close,7")</f>
        <v>0.86477000000000004</v>
      </c>
      <c r="AD9" s="35">
        <f>RTD("fxbluelabs.excelrtd", , "21422436","@bh,USDJPY,d1,close,7")</f>
        <v>146.846</v>
      </c>
      <c r="AH9" s="21">
        <v>8</v>
      </c>
      <c r="AI9" s="22">
        <f t="shared" si="35"/>
        <v>0.7257929819766481</v>
      </c>
      <c r="AJ9" s="22">
        <f t="shared" si="35"/>
        <v>-0.25313910770748627</v>
      </c>
      <c r="AK9" s="22">
        <f t="shared" si="35"/>
        <v>0.48898746582762032</v>
      </c>
      <c r="AL9" s="22">
        <f t="shared" si="35"/>
        <v>0.67746634606946221</v>
      </c>
      <c r="AM9" s="22">
        <f t="shared" si="35"/>
        <v>0.46077348066298418</v>
      </c>
      <c r="AN9" s="22">
        <f t="shared" si="35"/>
        <v>0.55524556123709257</v>
      </c>
      <c r="AO9" s="22">
        <f t="shared" si="35"/>
        <v>0.29222637892243131</v>
      </c>
      <c r="AP9" s="22">
        <f t="shared" si="35"/>
        <v>-0.19968937208786205</v>
      </c>
      <c r="AQ9" s="22">
        <f t="shared" si="35"/>
        <v>0.50961609625611226</v>
      </c>
      <c r="AR9" s="22">
        <f t="shared" si="35"/>
        <v>0.31880581432201049</v>
      </c>
      <c r="AS9" s="22">
        <f t="shared" si="35"/>
        <v>-0.17170019338864004</v>
      </c>
      <c r="AT9" s="22">
        <f t="shared" si="35"/>
        <v>-0.42114419096274974</v>
      </c>
      <c r="AU9" s="22">
        <f t="shared" si="35"/>
        <v>0.76536207814995716</v>
      </c>
      <c r="AV9" s="22">
        <f t="shared" si="35"/>
        <v>3.6632304533118103E-2</v>
      </c>
      <c r="AW9" s="22">
        <f t="shared" si="35"/>
        <v>-0.21310802974082185</v>
      </c>
      <c r="AX9" s="22">
        <f t="shared" si="35"/>
        <v>0.50166747427528535</v>
      </c>
      <c r="AY9" s="22">
        <f t="shared" si="1"/>
        <v>0.71986743573258061</v>
      </c>
      <c r="AZ9" s="22">
        <f t="shared" si="1"/>
        <v>0.52957362670115793</v>
      </c>
      <c r="BA9" s="22">
        <f t="shared" si="1"/>
        <v>0.74750736780297411</v>
      </c>
      <c r="BB9" s="22">
        <f t="shared" si="1"/>
        <v>0.93743396661351897</v>
      </c>
      <c r="BC9" s="22">
        <f t="shared" si="1"/>
        <v>0.98374821363289522</v>
      </c>
      <c r="BD9" s="22">
        <f t="shared" si="1"/>
        <v>0.719537561069996</v>
      </c>
      <c r="BE9" s="22">
        <f t="shared" si="1"/>
        <v>2.8944370786718923E-2</v>
      </c>
      <c r="BF9" s="22">
        <f t="shared" si="1"/>
        <v>0.21762267088144843</v>
      </c>
      <c r="BG9" s="22">
        <f t="shared" si="1"/>
        <v>-0.18693456702310349</v>
      </c>
      <c r="BH9" s="22">
        <f t="shared" si="1"/>
        <v>-0.26196488215219049</v>
      </c>
      <c r="BI9" s="22">
        <f t="shared" si="1"/>
        <v>-4.6233688176885002E-2</v>
      </c>
      <c r="BJ9" s="22">
        <f t="shared" si="1"/>
        <v>-0.23371152931584624</v>
      </c>
      <c r="BN9">
        <v>8</v>
      </c>
      <c r="BO9" s="23">
        <f t="shared" si="5"/>
        <v>-1.4747894670289923</v>
      </c>
      <c r="BP9" s="23">
        <f t="shared" si="2"/>
        <v>-1.9300272979808646</v>
      </c>
      <c r="BQ9" s="23">
        <f t="shared" si="3"/>
        <v>-8.9418769934788944</v>
      </c>
      <c r="BR9" s="23">
        <f t="shared" si="3"/>
        <v>-4.7208453951618559</v>
      </c>
      <c r="BS9" s="23">
        <f t="shared" si="3"/>
        <v>-1.2398527272536779</v>
      </c>
      <c r="BT9" s="23">
        <f t="shared" si="3"/>
        <v>0.87265473583825848</v>
      </c>
      <c r="BU9" s="23">
        <f t="shared" si="3"/>
        <v>1.1157732613690872</v>
      </c>
      <c r="BV9" s="23">
        <f t="shared" si="3"/>
        <v>1.7270465010352101</v>
      </c>
      <c r="BW9" s="23">
        <f t="shared" si="3"/>
        <v>-2.414329605931246</v>
      </c>
      <c r="BX9" s="23">
        <f t="shared" si="3"/>
        <v>-6.6449847008290845</v>
      </c>
      <c r="BY9" s="23">
        <f t="shared" si="3"/>
        <v>2.3770624000909577</v>
      </c>
      <c r="BZ9" s="23">
        <f t="shared" si="3"/>
        <v>0.43445074569627568</v>
      </c>
      <c r="CA9" s="23">
        <f t="shared" si="3"/>
        <v>-0.83680089143809833</v>
      </c>
      <c r="CB9" s="23">
        <f t="shared" si="3"/>
        <v>0.65507907760087436</v>
      </c>
      <c r="CC9" s="23">
        <f t="shared" si="3"/>
        <v>-1.2798470217570053</v>
      </c>
      <c r="CD9" s="23">
        <f t="shared" si="3"/>
        <v>-0.59541626476335985</v>
      </c>
      <c r="CE9" s="23">
        <f t="shared" si="3"/>
        <v>-4.0992241838772125</v>
      </c>
      <c r="CF9" s="23">
        <f t="shared" si="3"/>
        <v>-8.3333863413926377</v>
      </c>
      <c r="CG9" s="23">
        <f t="shared" si="3"/>
        <v>-7.0170706759847912</v>
      </c>
      <c r="CH9" s="23">
        <f t="shared" si="3"/>
        <v>-2.7845789567927066</v>
      </c>
      <c r="CI9" s="23">
        <f t="shared" si="3"/>
        <v>0.47475696965536407</v>
      </c>
      <c r="CJ9" s="23">
        <f t="shared" si="3"/>
        <v>0.70997920988257723</v>
      </c>
      <c r="CK9" s="23">
        <f t="shared" si="3"/>
        <v>-7.7272202557201553</v>
      </c>
      <c r="CL9" s="23">
        <f t="shared" si="3"/>
        <v>-3.4961741671616555</v>
      </c>
      <c r="CM9" s="23">
        <f t="shared" si="3"/>
        <v>-4.2438851383480767</v>
      </c>
      <c r="CN9" s="23">
        <f t="shared" si="3"/>
        <v>0.24910403776686951</v>
      </c>
      <c r="CO9" s="23">
        <f t="shared" si="3"/>
        <v>-3.2590303357325574</v>
      </c>
      <c r="CP9" s="23">
        <f t="shared" si="3"/>
        <v>-7.4843563170229306</v>
      </c>
      <c r="CU9" s="21">
        <v>8</v>
      </c>
      <c r="CV9" s="24">
        <f t="shared" si="6"/>
        <v>-2.532326662730541</v>
      </c>
      <c r="CW9" s="24">
        <f t="shared" si="7"/>
        <v>-9.5301039620151489</v>
      </c>
      <c r="CX9" s="24">
        <f t="shared" si="8"/>
        <v>-11.462981939883306</v>
      </c>
      <c r="CY9" s="24">
        <f t="shared" si="9"/>
        <v>13.034123339147502</v>
      </c>
      <c r="CZ9" s="24">
        <f t="shared" si="10"/>
        <v>-16.216642126662649</v>
      </c>
      <c r="DA9" s="24">
        <f t="shared" si="11"/>
        <v>-21.339533358596114</v>
      </c>
      <c r="DB9" s="24">
        <f t="shared" si="12"/>
        <v>-5.8414898791979617</v>
      </c>
      <c r="DC9" s="24">
        <f t="shared" si="13"/>
        <v>50.392780422776568</v>
      </c>
      <c r="DF9" s="46">
        <v>8</v>
      </c>
      <c r="DG9" s="47">
        <f t="shared" si="36"/>
        <v>0.24910403776686951</v>
      </c>
      <c r="DH9" s="47">
        <f t="shared" si="14"/>
        <v>1.1157732613690872</v>
      </c>
      <c r="DI9" s="47">
        <f t="shared" si="15"/>
        <v>-3.2590303357325574</v>
      </c>
      <c r="DJ9" s="47">
        <f t="shared" si="16"/>
        <v>-2.414329605931246</v>
      </c>
      <c r="DK9" s="47">
        <f t="shared" si="17"/>
        <v>0.83680089143809833</v>
      </c>
      <c r="DL9" s="47">
        <f t="shared" si="18"/>
        <v>1.7270465010352101</v>
      </c>
      <c r="DM9" s="47">
        <f t="shared" si="19"/>
        <v>1.4747894670289923</v>
      </c>
      <c r="DN9" s="47">
        <f t="shared" si="20"/>
        <v>2.3770624000909577</v>
      </c>
      <c r="DO9" s="47">
        <f t="shared" si="21"/>
        <v>-0.47475696965536407</v>
      </c>
      <c r="DP9" s="47">
        <f t="shared" si="22"/>
        <v>0.43445074569627568</v>
      </c>
      <c r="DQ9" s="47">
        <f t="shared" si="23"/>
        <v>-7.4843563170229306</v>
      </c>
      <c r="DR9" s="47">
        <f t="shared" si="24"/>
        <v>-6.6449847008290845</v>
      </c>
      <c r="DS9" s="47">
        <f t="shared" si="25"/>
        <v>-0.87265473583825848</v>
      </c>
      <c r="DT9" s="47">
        <f t="shared" si="26"/>
        <v>0.87265473583825848</v>
      </c>
      <c r="DX9">
        <v>8</v>
      </c>
      <c r="DY9" s="19">
        <f t="shared" si="27"/>
        <v>6.9977772992846079</v>
      </c>
      <c r="EM9" s="21">
        <v>8</v>
      </c>
      <c r="EN9" s="16">
        <f t="shared" si="28"/>
        <v>-2.532326662730541</v>
      </c>
      <c r="EO9" s="16">
        <f t="shared" si="4"/>
        <v>-9.5301039620151489</v>
      </c>
      <c r="EP9" s="16">
        <f t="shared" si="29"/>
        <v>-11.462981939883306</v>
      </c>
      <c r="EQ9" s="16">
        <f t="shared" si="30"/>
        <v>13.034123339147502</v>
      </c>
      <c r="ER9" s="16">
        <f t="shared" si="31"/>
        <v>-16.216642126662649</v>
      </c>
      <c r="ES9" s="16">
        <f t="shared" si="32"/>
        <v>-21.339533358596114</v>
      </c>
      <c r="ET9" s="16">
        <f t="shared" si="33"/>
        <v>-5.8414898791979617</v>
      </c>
      <c r="EU9" s="16">
        <f t="shared" si="34"/>
        <v>50.392780422776568</v>
      </c>
      <c r="EW9" s="20">
        <f>LARGE($EN$2:$EU$2,8)</f>
        <v>-18.577040596505629</v>
      </c>
      <c r="EX9" s="39" t="str">
        <f>INDEX(EN1:EU1,MATCH(EW9,EN2:EU2,0))</f>
        <v>AUD</v>
      </c>
      <c r="FK9" s="20"/>
      <c r="FL9" s="20"/>
    </row>
    <row r="10" spans="1:170" ht="14.4" thickBot="1" x14ac:dyDescent="0.35">
      <c r="A10" s="37" t="s">
        <v>51</v>
      </c>
      <c r="B10" s="38">
        <v>8</v>
      </c>
      <c r="C10" s="34">
        <f>RTD("fxbluelabs.excelrtd", , "21422436","@bh,AUDUSD,d1,close,8")</f>
        <v>0.65859000000000001</v>
      </c>
      <c r="D10" s="34">
        <f>RTD("fxbluelabs.excelrtd", , "21422436","@bh,AUDNZD,d1,close,8")</f>
        <v>1.09426</v>
      </c>
      <c r="E10" s="35">
        <f>RTD("fxbluelabs.excelrtd", , "21422436","@bh,AUDJPY,d1,close,8")</f>
        <v>96.935000000000002</v>
      </c>
      <c r="F10" s="34">
        <f>RTD("fxbluelabs.excelrtd", , "21422436","@bh,AUDCHF,d1,close,8")</f>
        <v>0.56977</v>
      </c>
      <c r="G10" s="34">
        <f>RTD("fxbluelabs.excelrtd", , "21422436","@bh,AUDCAD,d1,close,8")</f>
        <v>0.90500000000000003</v>
      </c>
      <c r="H10" s="34">
        <f>RTD("fxbluelabs.excelrtd", , "21422436","@bh,EURUSD,d1,close,8")</f>
        <v>1.09321</v>
      </c>
      <c r="I10" s="34">
        <f>RTD("fxbluelabs.excelrtd", , "21422436","@bh,EURCAD,d1,close,8")</f>
        <v>1.5022599999999999</v>
      </c>
      <c r="J10" s="34">
        <f>RTD("fxbluelabs.excelrtd", , "21422436","@bh,EURGBP,d1,close,8")</f>
        <v>0.85633000000000004</v>
      </c>
      <c r="K10" s="34">
        <f>RTD("fxbluelabs.excelrtd", , "21422436","@bh,EURCHF,d1,close,8")</f>
        <v>0.94581000000000004</v>
      </c>
      <c r="L10" s="35">
        <f>RTD("fxbluelabs.excelrtd", , "21422436","@bh,EURJPY,d1,close,8")</f>
        <v>160.91300000000001</v>
      </c>
      <c r="M10" s="34">
        <f>RTD("fxbluelabs.excelrtd", , "21422436","@bh,EURAUD,d1,close,8")</f>
        <v>1.65987</v>
      </c>
      <c r="N10" s="34">
        <f>RTD("fxbluelabs.excelrtd", , "21422436","@bh,EURNZD,d1,close,8")</f>
        <v>1.8164800000000001</v>
      </c>
      <c r="O10" s="34">
        <f>RTD("fxbluelabs.excelrtd", , "21422436","@bh,GBPUSD,d1,close,8")</f>
        <v>1.2765200000000001</v>
      </c>
      <c r="P10" s="34">
        <f>RTD("fxbluelabs.excelrtd", , "21422436","@bh,GBPAUD,d1,close,8")</f>
        <v>1.93818</v>
      </c>
      <c r="Q10" s="34">
        <f>RTD("fxbluelabs.excelrtd", , "21422436","@bh,GBPNZD,d1,close,8")</f>
        <v>2.1209899999999999</v>
      </c>
      <c r="R10" s="34">
        <f>RTD("fxbluelabs.excelrtd", , "21422436","@bh,GBPCAD,d1,close,8")</f>
        <v>1.7541500000000001</v>
      </c>
      <c r="S10" s="34">
        <f>RTD("fxbluelabs.excelrtd", , "21422436","@bh,GBPCHF,d1,close,8")</f>
        <v>1.1043700000000001</v>
      </c>
      <c r="T10" s="35">
        <f>RTD("fxbluelabs.excelrtd", , "21422436","@bh,GBPJPY,d1,close,8")</f>
        <v>187.887</v>
      </c>
      <c r="U10" s="35">
        <f>RTD("fxbluelabs.excelrtd", , "21422436","@bh,NZDJPY,d1,close,8")</f>
        <v>88.561000000000007</v>
      </c>
      <c r="V10" s="34">
        <f>RTD("fxbluelabs.excelrtd", , "21422436","@bh,NZDCHF,d1,close,8")</f>
        <v>0.52056999999999998</v>
      </c>
      <c r="W10" s="34">
        <f>RTD("fxbluelabs.excelrtd", , "21422436","@bh,NZDUSD,d1,close,8")</f>
        <v>0.60177999999999998</v>
      </c>
      <c r="X10" s="34">
        <f>RTD("fxbluelabs.excelrtd", , "21422436","@bh,NZDCAD,d1,close,8")</f>
        <v>0.82691999999999999</v>
      </c>
      <c r="Y10" s="35">
        <f>RTD("fxbluelabs.excelrtd", , "21422436","@bh,CADJPY,d1,close,8")</f>
        <v>107.102</v>
      </c>
      <c r="Z10" s="34">
        <f>RTD("fxbluelabs.excelrtd", , "21422436","@bh,CADCHF,d1,close,8")</f>
        <v>0.62953000000000003</v>
      </c>
      <c r="AA10" s="35">
        <f>RTD("fxbluelabs.excelrtd", , "21422436","@bh,CHFJPY,d1,close,8")</f>
        <v>170.113</v>
      </c>
      <c r="AB10" s="34">
        <f>RTD("fxbluelabs.excelrtd", , "21422436","@bh,USDCAD,d1,close,8")</f>
        <v>1.3742300000000001</v>
      </c>
      <c r="AC10" s="34">
        <f>RTD("fxbluelabs.excelrtd", , "21422436","@bh,USDCHF,d1,close,8")</f>
        <v>0.86516999999999999</v>
      </c>
      <c r="AD10" s="35">
        <f>RTD("fxbluelabs.excelrtd", , "21422436","@bh,USDJPY,d1,close,8")</f>
        <v>147.19</v>
      </c>
      <c r="AH10" s="13">
        <v>9</v>
      </c>
      <c r="AI10" s="27">
        <f t="shared" si="35"/>
        <v>0.20845379020723384</v>
      </c>
      <c r="AJ10" s="27">
        <f t="shared" si="35"/>
        <v>-8.9478105255467372E-2</v>
      </c>
      <c r="AK10" s="27">
        <f t="shared" si="35"/>
        <v>0.6134268869883005</v>
      </c>
      <c r="AL10" s="27">
        <f t="shared" si="35"/>
        <v>0.21105580667287735</v>
      </c>
      <c r="AM10" s="27">
        <f t="shared" si="35"/>
        <v>0.3059053023585725</v>
      </c>
      <c r="AN10" s="27">
        <f t="shared" si="35"/>
        <v>0.15115980798123138</v>
      </c>
      <c r="AO10" s="27">
        <f t="shared" si="35"/>
        <v>0.24824162184525908</v>
      </c>
      <c r="AP10" s="27">
        <f t="shared" si="35"/>
        <v>8.8829669109480563E-2</v>
      </c>
      <c r="AQ10" s="27">
        <f t="shared" si="35"/>
        <v>0.15460369566368579</v>
      </c>
      <c r="AR10" s="27">
        <f t="shared" si="35"/>
        <v>0.56433972876696459</v>
      </c>
      <c r="AS10" s="27">
        <f t="shared" si="35"/>
        <v>-5.2386285631715282E-2</v>
      </c>
      <c r="AT10" s="27">
        <f t="shared" si="35"/>
        <v>-0.14402726623054504</v>
      </c>
      <c r="AU10" s="27">
        <f t="shared" si="35"/>
        <v>5.7219448341821105E-2</v>
      </c>
      <c r="AV10" s="27">
        <f t="shared" si="35"/>
        <v>-0.14528593508501003</v>
      </c>
      <c r="AW10" s="27">
        <f t="shared" si="35"/>
        <v>-0.23940773630343351</v>
      </c>
      <c r="AX10" s="27">
        <f t="shared" si="35"/>
        <v>0.15530166778004578</v>
      </c>
      <c r="AY10" s="27">
        <f t="shared" si="1"/>
        <v>5.9798316586794083E-2</v>
      </c>
      <c r="AZ10" s="27">
        <f t="shared" si="1"/>
        <v>0.46304960405516704</v>
      </c>
      <c r="BA10" s="27">
        <f t="shared" si="1"/>
        <v>0.70158282543437234</v>
      </c>
      <c r="BB10" s="27">
        <f t="shared" si="1"/>
        <v>0.29863974413316252</v>
      </c>
      <c r="BC10" s="27">
        <f t="shared" si="1"/>
        <v>0.30836930975280757</v>
      </c>
      <c r="BD10" s="27">
        <f t="shared" si="1"/>
        <v>0.40310830500242711</v>
      </c>
      <c r="BE10" s="27">
        <f t="shared" si="1"/>
        <v>0.30813033257472183</v>
      </c>
      <c r="BF10" s="27">
        <f t="shared" si="1"/>
        <v>-9.3632958801494859E-2</v>
      </c>
      <c r="BG10" s="27">
        <f t="shared" si="1"/>
        <v>0.40785730306571905</v>
      </c>
      <c r="BH10" s="27">
        <f t="shared" si="1"/>
        <v>9.4688003030021839E-2</v>
      </c>
      <c r="BI10" s="27">
        <f t="shared" si="1"/>
        <v>1.1558555642834261E-3</v>
      </c>
      <c r="BJ10" s="27">
        <f t="shared" si="1"/>
        <v>0.38739070535116393</v>
      </c>
      <c r="BN10">
        <v>9</v>
      </c>
      <c r="BO10" s="28">
        <f t="shared" si="5"/>
        <v>-2.2005824490056405</v>
      </c>
      <c r="BP10" s="28">
        <f t="shared" si="2"/>
        <v>-1.6768881902733785</v>
      </c>
      <c r="BQ10" s="28">
        <f t="shared" si="3"/>
        <v>-9.4308644593065161</v>
      </c>
      <c r="BR10" s="28">
        <f t="shared" si="3"/>
        <v>-5.3983117412313186</v>
      </c>
      <c r="BS10" s="28">
        <f t="shared" si="3"/>
        <v>-1.7006262079166623</v>
      </c>
      <c r="BT10" s="28">
        <f t="shared" si="3"/>
        <v>0.3174091746011658</v>
      </c>
      <c r="BU10" s="28">
        <f t="shared" si="3"/>
        <v>0.82354688244665586</v>
      </c>
      <c r="BV10" s="28">
        <f t="shared" si="3"/>
        <v>1.9267358731230719</v>
      </c>
      <c r="BW10" s="28">
        <f t="shared" si="3"/>
        <v>-2.9239457021873587</v>
      </c>
      <c r="BX10" s="28">
        <f t="shared" si="3"/>
        <v>-6.9637905151510955</v>
      </c>
      <c r="BY10" s="28">
        <f t="shared" si="3"/>
        <v>2.5487625934795974</v>
      </c>
      <c r="BZ10" s="28">
        <f t="shared" si="3"/>
        <v>0.85559493665902586</v>
      </c>
      <c r="CA10" s="28">
        <f t="shared" si="3"/>
        <v>-1.6021629695880553</v>
      </c>
      <c r="CB10" s="28">
        <f t="shared" si="3"/>
        <v>0.61844677306775631</v>
      </c>
      <c r="CC10" s="28">
        <f t="shared" si="3"/>
        <v>-1.0667389920161832</v>
      </c>
      <c r="CD10" s="28">
        <f t="shared" si="3"/>
        <v>-1.0970837390386454</v>
      </c>
      <c r="CE10" s="28">
        <f t="shared" si="3"/>
        <v>-4.819091619609793</v>
      </c>
      <c r="CF10" s="28">
        <f t="shared" si="3"/>
        <v>-8.8629599680937954</v>
      </c>
      <c r="CG10" s="28">
        <f t="shared" si="3"/>
        <v>-7.7645780437877674</v>
      </c>
      <c r="CH10" s="28">
        <f t="shared" si="3"/>
        <v>-3.7220129234062256</v>
      </c>
      <c r="CI10" s="28">
        <f t="shared" si="3"/>
        <v>-0.50899124397753104</v>
      </c>
      <c r="CJ10" s="28">
        <f t="shared" si="3"/>
        <v>-9.5583511874186566E-3</v>
      </c>
      <c r="CK10" s="28">
        <f t="shared" si="3"/>
        <v>-7.7561646265068749</v>
      </c>
      <c r="CL10" s="28">
        <f t="shared" si="3"/>
        <v>-3.7137968380431041</v>
      </c>
      <c r="CM10" s="28">
        <f t="shared" si="3"/>
        <v>-4.0569505713249745</v>
      </c>
      <c r="CN10" s="28">
        <f t="shared" si="3"/>
        <v>0.51106891991906012</v>
      </c>
      <c r="CO10" s="28">
        <f t="shared" si="3"/>
        <v>-3.2127966475556722</v>
      </c>
      <c r="CP10" s="28">
        <f t="shared" si="3"/>
        <v>-7.2506447877070848</v>
      </c>
      <c r="CU10" s="21">
        <v>9</v>
      </c>
      <c r="CV10" s="29">
        <f t="shared" si="6"/>
        <v>-3.4156867570289364</v>
      </c>
      <c r="CW10" s="29">
        <f t="shared" si="7"/>
        <v>-5.9580450273736361</v>
      </c>
      <c r="CX10" s="29">
        <f t="shared" si="8"/>
        <v>-9.9973089687729697</v>
      </c>
      <c r="CY10" s="29">
        <f t="shared" si="9"/>
        <v>16.019208062665392</v>
      </c>
      <c r="CZ10" s="29">
        <f t="shared" si="10"/>
        <v>-18.756326388401789</v>
      </c>
      <c r="DA10" s="29">
        <f t="shared" si="11"/>
        <v>-23.574482414280869</v>
      </c>
      <c r="DB10" s="29">
        <f t="shared" si="12"/>
        <v>-10.117108316728407</v>
      </c>
      <c r="DC10" s="29">
        <f t="shared" si="13"/>
        <v>52.0859529718781</v>
      </c>
      <c r="DF10" s="48">
        <v>9</v>
      </c>
      <c r="DG10" s="49">
        <f t="shared" si="36"/>
        <v>0.51106891991906012</v>
      </c>
      <c r="DH10" s="49">
        <f t="shared" si="14"/>
        <v>0.82354688244665586</v>
      </c>
      <c r="DI10" s="49">
        <f t="shared" si="15"/>
        <v>-3.2127966475556722</v>
      </c>
      <c r="DJ10" s="49">
        <f t="shared" si="16"/>
        <v>-2.9239457021873587</v>
      </c>
      <c r="DK10" s="49">
        <f t="shared" si="17"/>
        <v>1.6021629695880553</v>
      </c>
      <c r="DL10" s="49">
        <f t="shared" si="18"/>
        <v>1.9267358731230719</v>
      </c>
      <c r="DM10" s="49">
        <f t="shared" si="19"/>
        <v>2.2005824490056405</v>
      </c>
      <c r="DN10" s="49">
        <f t="shared" si="20"/>
        <v>2.5487625934795974</v>
      </c>
      <c r="DO10" s="49">
        <f t="shared" si="21"/>
        <v>0.50899124397753104</v>
      </c>
      <c r="DP10" s="49">
        <f t="shared" si="22"/>
        <v>0.85559493665902586</v>
      </c>
      <c r="DQ10" s="49">
        <f t="shared" si="23"/>
        <v>-7.2506447877070848</v>
      </c>
      <c r="DR10" s="49">
        <f t="shared" si="24"/>
        <v>-6.9637905151510955</v>
      </c>
      <c r="DS10" s="49">
        <f t="shared" si="25"/>
        <v>-0.3174091746011658</v>
      </c>
      <c r="DT10" s="49">
        <f t="shared" si="26"/>
        <v>0.3174091746011658</v>
      </c>
      <c r="DX10">
        <v>9</v>
      </c>
      <c r="DY10" s="19">
        <f t="shared" si="27"/>
        <v>2.5423582703446996</v>
      </c>
      <c r="EM10" s="21">
        <v>9</v>
      </c>
      <c r="EN10" s="16">
        <f t="shared" si="28"/>
        <v>-3.4156867570289364</v>
      </c>
      <c r="EO10" s="16">
        <f t="shared" si="4"/>
        <v>-5.9580450273736361</v>
      </c>
      <c r="EP10" s="16">
        <f t="shared" si="29"/>
        <v>-9.9973089687729697</v>
      </c>
      <c r="EQ10" s="16">
        <f t="shared" si="30"/>
        <v>16.019208062665392</v>
      </c>
      <c r="ER10" s="16">
        <f t="shared" si="31"/>
        <v>-18.756326388401789</v>
      </c>
      <c r="ES10" s="16">
        <f t="shared" si="32"/>
        <v>-23.574482414280869</v>
      </c>
      <c r="ET10" s="16">
        <f t="shared" si="33"/>
        <v>-10.117108316728407</v>
      </c>
      <c r="EU10" s="16">
        <f t="shared" si="34"/>
        <v>52.0859529718781</v>
      </c>
      <c r="FK10" s="20"/>
      <c r="FL10" s="20"/>
      <c r="FN10" s="20"/>
    </row>
    <row r="11" spans="1:170" ht="14.4" thickBot="1" x14ac:dyDescent="0.35">
      <c r="A11" s="37" t="s">
        <v>51</v>
      </c>
      <c r="B11" s="38">
        <v>9</v>
      </c>
      <c r="C11" s="34">
        <f>RTD("fxbluelabs.excelrtd", , "21422436","@bh,AUDUSD,d1,close,9")</f>
        <v>0.65722000000000003</v>
      </c>
      <c r="D11" s="34">
        <f>RTD("fxbluelabs.excelrtd", , "21422436","@bh,AUDNZD,d1,close,9")</f>
        <v>1.09524</v>
      </c>
      <c r="E11" s="35">
        <f>RTD("fxbluelabs.excelrtd", , "21422436","@bh,AUDJPY,d1,close,9")</f>
        <v>96.343999999999994</v>
      </c>
      <c r="F11" s="34">
        <f>RTD("fxbluelabs.excelrtd", , "21422436","@bh,AUDCHF,d1,close,9")</f>
        <v>0.56857000000000002</v>
      </c>
      <c r="G11" s="34">
        <f>RTD("fxbluelabs.excelrtd", , "21422436","@bh,AUDCAD,d1,close,9")</f>
        <v>0.90224000000000004</v>
      </c>
      <c r="H11" s="34">
        <f>RTD("fxbluelabs.excelrtd", , "21422436","@bh,EURUSD,d1,close,9")</f>
        <v>1.0915600000000001</v>
      </c>
      <c r="I11" s="34">
        <f>RTD("fxbluelabs.excelrtd", , "21422436","@bh,EURCAD,d1,close,9")</f>
        <v>1.49854</v>
      </c>
      <c r="J11" s="34">
        <f>RTD("fxbluelabs.excelrtd", , "21422436","@bh,EURGBP,d1,close,9")</f>
        <v>0.85557000000000005</v>
      </c>
      <c r="K11" s="34">
        <f>RTD("fxbluelabs.excelrtd", , "21422436","@bh,EURCHF,d1,close,9")</f>
        <v>0.94435000000000002</v>
      </c>
      <c r="L11" s="35">
        <f>RTD("fxbluelabs.excelrtd", , "21422436","@bh,EURJPY,d1,close,9")</f>
        <v>160.01</v>
      </c>
      <c r="M11" s="34">
        <f>RTD("fxbluelabs.excelrtd", , "21422436","@bh,EURAUD,d1,close,9")</f>
        <v>1.6607400000000001</v>
      </c>
      <c r="N11" s="34">
        <f>RTD("fxbluelabs.excelrtd", , "21422436","@bh,EURNZD,d1,close,9")</f>
        <v>1.8190999999999999</v>
      </c>
      <c r="O11" s="34">
        <f>RTD("fxbluelabs.excelrtd", , "21422436","@bh,GBPUSD,d1,close,9")</f>
        <v>1.27579</v>
      </c>
      <c r="P11" s="34">
        <f>RTD("fxbluelabs.excelrtd", , "21422436","@bh,GBPAUD,d1,close,9")</f>
        <v>1.9410000000000001</v>
      </c>
      <c r="Q11" s="34">
        <f>RTD("fxbluelabs.excelrtd", , "21422436","@bh,GBPNZD,d1,close,9")</f>
        <v>2.12608</v>
      </c>
      <c r="R11" s="34">
        <f>RTD("fxbluelabs.excelrtd", , "21422436","@bh,GBPCAD,d1,close,9")</f>
        <v>1.75143</v>
      </c>
      <c r="S11" s="34">
        <f>RTD("fxbluelabs.excelrtd", , "21422436","@bh,GBPCHF,d1,close,9")</f>
        <v>1.10371</v>
      </c>
      <c r="T11" s="35">
        <f>RTD("fxbluelabs.excelrtd", , "21422436","@bh,GBPJPY,d1,close,9")</f>
        <v>187.02099999999999</v>
      </c>
      <c r="U11" s="35">
        <f>RTD("fxbluelabs.excelrtd", , "21422436","@bh,NZDJPY,d1,close,9")</f>
        <v>87.944000000000003</v>
      </c>
      <c r="V11" s="34">
        <f>RTD("fxbluelabs.excelrtd", , "21422436","@bh,NZDCHF,d1,close,9")</f>
        <v>0.51902000000000004</v>
      </c>
      <c r="W11" s="34">
        <f>RTD("fxbluelabs.excelrtd", , "21422436","@bh,NZDUSD,d1,close,9")</f>
        <v>0.59992999999999996</v>
      </c>
      <c r="X11" s="34">
        <f>RTD("fxbluelabs.excelrtd", , "21422436","@bh,NZDCAD,d1,close,9")</f>
        <v>0.8236</v>
      </c>
      <c r="Y11" s="35">
        <f>RTD("fxbluelabs.excelrtd", , "21422436","@bh,CADJPY,d1,close,9")</f>
        <v>106.773</v>
      </c>
      <c r="Z11" s="34">
        <f>RTD("fxbluelabs.excelrtd", , "21422436","@bh,CADCHF,d1,close,9")</f>
        <v>0.63012000000000001</v>
      </c>
      <c r="AA11" s="35">
        <f>RTD("fxbluelabs.excelrtd", , "21422436","@bh,CHFJPY,d1,close,9")</f>
        <v>169.422</v>
      </c>
      <c r="AB11" s="34">
        <f>RTD("fxbluelabs.excelrtd", , "21422436","@bh,USDCAD,d1,close,9")</f>
        <v>1.37293</v>
      </c>
      <c r="AC11" s="34">
        <f>RTD("fxbluelabs.excelrtd", , "21422436","@bh,USDCHF,d1,close,9")</f>
        <v>0.86516000000000004</v>
      </c>
      <c r="AD11" s="35">
        <f>RTD("fxbluelabs.excelrtd", , "21422436","@bh,USDJPY,d1,close,9")</f>
        <v>146.62200000000001</v>
      </c>
      <c r="AH11" s="21">
        <v>10</v>
      </c>
      <c r="AI11" s="22">
        <f t="shared" si="35"/>
        <v>-0.30490117258012472</v>
      </c>
      <c r="AJ11" s="22">
        <f t="shared" si="35"/>
        <v>-8.5752339944164369E-2</v>
      </c>
      <c r="AK11" s="22">
        <f t="shared" si="35"/>
        <v>-0.77040332880155382</v>
      </c>
      <c r="AL11" s="22">
        <f t="shared" si="35"/>
        <v>-0.48308333187474573</v>
      </c>
      <c r="AM11" s="22">
        <f t="shared" si="35"/>
        <v>-0.34131200777616189</v>
      </c>
      <c r="AN11" s="22">
        <f t="shared" si="35"/>
        <v>-2.9307249880927935E-2</v>
      </c>
      <c r="AO11" s="22">
        <f t="shared" si="35"/>
        <v>-6.4687798014012268E-2</v>
      </c>
      <c r="AP11" s="22">
        <f t="shared" si="35"/>
        <v>-9.575076775767255E-2</v>
      </c>
      <c r="AQ11" s="22">
        <f t="shared" si="35"/>
        <v>-0.20501114880215809</v>
      </c>
      <c r="AR11" s="22">
        <f t="shared" si="35"/>
        <v>-0.49933774010807419</v>
      </c>
      <c r="AS11" s="22">
        <f t="shared" si="35"/>
        <v>0.27109433962264784</v>
      </c>
      <c r="AT11" s="22">
        <f t="shared" si="35"/>
        <v>0.18835918223475384</v>
      </c>
      <c r="AU11" s="22">
        <f t="shared" si="35"/>
        <v>7.4519155344984975E-2</v>
      </c>
      <c r="AV11" s="22">
        <f t="shared" si="35"/>
        <v>0.37336201636173733</v>
      </c>
      <c r="AW11" s="22">
        <f t="shared" si="35"/>
        <v>0.29483496318101399</v>
      </c>
      <c r="AX11" s="22">
        <f t="shared" si="35"/>
        <v>3.76976987268519E-2</v>
      </c>
      <c r="AY11" s="22">
        <f t="shared" si="1"/>
        <v>-0.10318142734309099</v>
      </c>
      <c r="AZ11" s="22">
        <f t="shared" si="1"/>
        <v>-0.39199603743137057</v>
      </c>
      <c r="BA11" s="22">
        <f t="shared" si="1"/>
        <v>-0.6798726085876311</v>
      </c>
      <c r="BB11" s="22">
        <f t="shared" si="1"/>
        <v>-0.39342122939336294</v>
      </c>
      <c r="BC11" s="22">
        <f t="shared" si="1"/>
        <v>-0.22949892734197799</v>
      </c>
      <c r="BD11" s="22">
        <f t="shared" si="1"/>
        <v>-0.26278503699577427</v>
      </c>
      <c r="BE11" s="22">
        <f t="shared" si="1"/>
        <v>-0.43547183886609359</v>
      </c>
      <c r="BF11" s="22">
        <f t="shared" si="1"/>
        <v>-0.14579107505071498</v>
      </c>
      <c r="BG11" s="22">
        <f t="shared" si="1"/>
        <v>-0.30540010944975343</v>
      </c>
      <c r="BH11" s="22">
        <f t="shared" si="1"/>
        <v>-3.8588673860172083E-2</v>
      </c>
      <c r="BI11" s="22">
        <f t="shared" si="1"/>
        <v>-0.17538191720126989</v>
      </c>
      <c r="BJ11" s="22">
        <f t="shared" si="1"/>
        <v>-0.44609211089156109</v>
      </c>
      <c r="BN11">
        <v>10</v>
      </c>
      <c r="BO11" s="23">
        <f t="shared" si="5"/>
        <v>-2.4090362392128748</v>
      </c>
      <c r="BP11" s="23">
        <f t="shared" si="2"/>
        <v>-1.5874100850179109</v>
      </c>
      <c r="BQ11" s="23">
        <f t="shared" si="3"/>
        <v>-10.044291346294813</v>
      </c>
      <c r="BR11" s="23">
        <f t="shared" si="3"/>
        <v>-5.6093675479041956</v>
      </c>
      <c r="BS11" s="23">
        <f t="shared" si="3"/>
        <v>-2.0065315102752348</v>
      </c>
      <c r="BT11" s="23">
        <f t="shared" si="3"/>
        <v>0.16624936661993439</v>
      </c>
      <c r="BU11" s="23">
        <f t="shared" si="3"/>
        <v>0.57530526060139664</v>
      </c>
      <c r="BV11" s="23">
        <f t="shared" si="3"/>
        <v>1.8379062040135916</v>
      </c>
      <c r="BW11" s="23">
        <f t="shared" si="3"/>
        <v>-3.0785493978510439</v>
      </c>
      <c r="BX11" s="23">
        <f t="shared" si="3"/>
        <v>-7.5281302439180591</v>
      </c>
      <c r="BY11" s="23">
        <f t="shared" si="3"/>
        <v>2.6011488791113133</v>
      </c>
      <c r="BZ11" s="23">
        <f t="shared" si="3"/>
        <v>0.99962220288957071</v>
      </c>
      <c r="CA11" s="23">
        <f t="shared" si="3"/>
        <v>-1.6593824179298764</v>
      </c>
      <c r="CB11" s="23">
        <f t="shared" si="3"/>
        <v>0.7637327081527665</v>
      </c>
      <c r="CC11" s="23">
        <f t="shared" si="3"/>
        <v>-0.82733125571275001</v>
      </c>
      <c r="CD11" s="23">
        <f t="shared" si="3"/>
        <v>-1.252385406818691</v>
      </c>
      <c r="CE11" s="23">
        <f t="shared" si="3"/>
        <v>-4.878889936196587</v>
      </c>
      <c r="CF11" s="23">
        <f t="shared" si="3"/>
        <v>-9.3260095721489638</v>
      </c>
      <c r="CG11" s="23">
        <f t="shared" si="3"/>
        <v>-8.4661608692221382</v>
      </c>
      <c r="CH11" s="23">
        <f t="shared" si="3"/>
        <v>-4.0206526675393883</v>
      </c>
      <c r="CI11" s="23">
        <f t="shared" si="3"/>
        <v>-0.81736055373033856</v>
      </c>
      <c r="CJ11" s="23">
        <f t="shared" si="3"/>
        <v>-0.41266665618984599</v>
      </c>
      <c r="CK11" s="23">
        <f t="shared" si="3"/>
        <v>-8.0642949590815967</v>
      </c>
      <c r="CL11" s="23">
        <f t="shared" ref="CL11:CP26" si="37">BF11+SUM(BF12:BF46)</f>
        <v>-3.6201638792416091</v>
      </c>
      <c r="CM11" s="23">
        <f t="shared" si="37"/>
        <v>-4.4648078743906927</v>
      </c>
      <c r="CN11" s="23">
        <f t="shared" si="37"/>
        <v>0.41638091688903822</v>
      </c>
      <c r="CO11" s="23">
        <f t="shared" si="37"/>
        <v>-3.2139525031199554</v>
      </c>
      <c r="CP11" s="23">
        <f t="shared" si="37"/>
        <v>-7.6380354930582488</v>
      </c>
      <c r="CU11" s="21">
        <v>10</v>
      </c>
      <c r="CV11" s="24">
        <f t="shared" si="6"/>
        <v>-4.4264477285332955</v>
      </c>
      <c r="CW11" s="24">
        <f t="shared" si="7"/>
        <v>-5.7160772350360114</v>
      </c>
      <c r="CX11" s="24">
        <f t="shared" si="8"/>
        <v>-9.0045614425298695</v>
      </c>
      <c r="CY11" s="24">
        <f t="shared" si="9"/>
        <v>16.336604178220476</v>
      </c>
      <c r="CZ11" s="24">
        <f t="shared" si="10"/>
        <v>-19.018172084667693</v>
      </c>
      <c r="DA11" s="24">
        <f t="shared" si="11"/>
        <v>-25.021518315969107</v>
      </c>
      <c r="DB11" s="24">
        <f t="shared" si="12"/>
        <v>-12.301721608840621</v>
      </c>
      <c r="DC11" s="24">
        <f t="shared" si="13"/>
        <v>55.531730358114515</v>
      </c>
      <c r="DF11" s="44">
        <v>10</v>
      </c>
      <c r="DG11" s="47">
        <f t="shared" si="36"/>
        <v>0.41638091688903822</v>
      </c>
      <c r="DH11" s="47">
        <f t="shared" si="14"/>
        <v>0.57530526060139664</v>
      </c>
      <c r="DI11" s="47">
        <f t="shared" si="15"/>
        <v>-3.2139525031199554</v>
      </c>
      <c r="DJ11" s="47">
        <f t="shared" si="16"/>
        <v>-3.0785493978510439</v>
      </c>
      <c r="DK11" s="47">
        <f t="shared" si="17"/>
        <v>1.6593824179298764</v>
      </c>
      <c r="DL11" s="47">
        <f t="shared" si="18"/>
        <v>1.8379062040135916</v>
      </c>
      <c r="DM11" s="47">
        <f t="shared" si="19"/>
        <v>2.4090362392128748</v>
      </c>
      <c r="DN11" s="47">
        <f t="shared" si="20"/>
        <v>2.6011488791113133</v>
      </c>
      <c r="DO11" s="47">
        <f t="shared" si="21"/>
        <v>0.81736055373033856</v>
      </c>
      <c r="DP11" s="47">
        <f t="shared" si="22"/>
        <v>0.99962220288957071</v>
      </c>
      <c r="DQ11" s="47">
        <f t="shared" si="23"/>
        <v>-7.6380354930582488</v>
      </c>
      <c r="DR11" s="47">
        <f t="shared" si="24"/>
        <v>-7.5281302439180591</v>
      </c>
      <c r="DS11" s="47">
        <f t="shared" si="25"/>
        <v>-0.16624936661993439</v>
      </c>
      <c r="DT11" s="47">
        <f t="shared" si="26"/>
        <v>0.16624936661993439</v>
      </c>
      <c r="DX11">
        <v>10</v>
      </c>
      <c r="DY11" s="19">
        <f t="shared" si="27"/>
        <v>1.2896295065027159</v>
      </c>
      <c r="EM11" s="21">
        <v>10</v>
      </c>
      <c r="EN11" s="16">
        <f t="shared" si="28"/>
        <v>-4.4264477285332955</v>
      </c>
      <c r="EO11" s="16">
        <f t="shared" si="4"/>
        <v>-5.7160772350360114</v>
      </c>
      <c r="EP11" s="16">
        <f t="shared" si="29"/>
        <v>-9.0045614425298695</v>
      </c>
      <c r="EQ11" s="16">
        <f t="shared" si="30"/>
        <v>16.336604178220476</v>
      </c>
      <c r="ER11" s="16">
        <f t="shared" si="31"/>
        <v>-19.018172084667693</v>
      </c>
      <c r="ES11" s="16">
        <f t="shared" si="32"/>
        <v>-25.021518315969107</v>
      </c>
      <c r="ET11" s="16">
        <f t="shared" si="33"/>
        <v>-12.301721608840621</v>
      </c>
      <c r="EU11" s="16">
        <f t="shared" si="34"/>
        <v>55.531730358114515</v>
      </c>
      <c r="FK11" s="20"/>
      <c r="FL11" s="20"/>
    </row>
    <row r="12" spans="1:170" ht="14.4" thickBot="1" x14ac:dyDescent="0.35">
      <c r="A12" s="37" t="s">
        <v>51</v>
      </c>
      <c r="B12" s="38">
        <v>10</v>
      </c>
      <c r="C12" s="34">
        <f>RTD("fxbluelabs.excelrtd", , "21422436","@bh,AUDUSD,d1,close,10")</f>
        <v>0.65922999999999998</v>
      </c>
      <c r="D12" s="34">
        <f>RTD("fxbluelabs.excelrtd", , "21422436","@bh,AUDNZD,d1,close,10")</f>
        <v>1.0961799999999999</v>
      </c>
      <c r="E12" s="35">
        <f>RTD("fxbluelabs.excelrtd", , "21422436","@bh,AUDJPY,d1,close,10")</f>
        <v>97.091999999999999</v>
      </c>
      <c r="F12" s="34">
        <f>RTD("fxbluelabs.excelrtd", , "21422436","@bh,AUDCHF,d1,close,10")</f>
        <v>0.57133</v>
      </c>
      <c r="G12" s="34">
        <f>RTD("fxbluelabs.excelrtd", , "21422436","@bh,AUDCAD,d1,close,10")</f>
        <v>0.90532999999999997</v>
      </c>
      <c r="H12" s="34">
        <f>RTD("fxbluelabs.excelrtd", , "21422436","@bh,EURUSD,d1,close,10")</f>
        <v>1.09188</v>
      </c>
      <c r="I12" s="34">
        <f>RTD("fxbluelabs.excelrtd", , "21422436","@bh,EURCAD,d1,close,10")</f>
        <v>1.4995099999999999</v>
      </c>
      <c r="J12" s="34">
        <f>RTD("fxbluelabs.excelrtd", , "21422436","@bh,EURGBP,d1,close,10")</f>
        <v>0.85638999999999998</v>
      </c>
      <c r="K12" s="34">
        <f>RTD("fxbluelabs.excelrtd", , "21422436","@bh,EURCHF,d1,close,10")</f>
        <v>0.94628999999999996</v>
      </c>
      <c r="L12" s="35">
        <f>RTD("fxbluelabs.excelrtd", , "21422436","@bh,EURJPY,d1,close,10")</f>
        <v>160.81299999999999</v>
      </c>
      <c r="M12" s="34">
        <f>RTD("fxbluelabs.excelrtd", , "21422436","@bh,EURAUD,d1,close,10")</f>
        <v>1.65625</v>
      </c>
      <c r="N12" s="34">
        <f>RTD("fxbluelabs.excelrtd", , "21422436","@bh,EURNZD,d1,close,10")</f>
        <v>1.81568</v>
      </c>
      <c r="O12" s="34">
        <f>RTD("fxbluelabs.excelrtd", , "21422436","@bh,GBPUSD,d1,close,10")</f>
        <v>1.27484</v>
      </c>
      <c r="P12" s="34">
        <f>RTD("fxbluelabs.excelrtd", , "21422436","@bh,GBPAUD,d1,close,10")</f>
        <v>1.9337800000000001</v>
      </c>
      <c r="Q12" s="34">
        <f>RTD("fxbluelabs.excelrtd", , "21422436","@bh,GBPNZD,d1,close,10")</f>
        <v>2.1198299999999999</v>
      </c>
      <c r="R12" s="34">
        <f>RTD("fxbluelabs.excelrtd", , "21422436","@bh,GBPCAD,d1,close,10")</f>
        <v>1.7507699999999999</v>
      </c>
      <c r="S12" s="34">
        <f>RTD("fxbluelabs.excelrtd", , "21422436","@bh,GBPCHF,d1,close,10")</f>
        <v>1.1048500000000001</v>
      </c>
      <c r="T12" s="35">
        <f>RTD("fxbluelabs.excelrtd", , "21422436","@bh,GBPJPY,d1,close,10")</f>
        <v>187.75700000000001</v>
      </c>
      <c r="U12" s="35">
        <f>RTD("fxbluelabs.excelrtd", , "21422436","@bh,NZDJPY,d1,close,10")</f>
        <v>88.546000000000006</v>
      </c>
      <c r="V12" s="34">
        <f>RTD("fxbluelabs.excelrtd", , "21422436","@bh,NZDCHF,d1,close,10")</f>
        <v>0.52107000000000003</v>
      </c>
      <c r="W12" s="34">
        <f>RTD("fxbluelabs.excelrtd", , "21422436","@bh,NZDUSD,d1,close,10")</f>
        <v>0.60131000000000001</v>
      </c>
      <c r="X12" s="34">
        <f>RTD("fxbluelabs.excelrtd", , "21422436","@bh,NZDCAD,d1,close,10")</f>
        <v>0.82577</v>
      </c>
      <c r="Y12" s="35">
        <f>RTD("fxbluelabs.excelrtd", , "21422436","@bh,CADJPY,d1,close,10")</f>
        <v>107.24</v>
      </c>
      <c r="Z12" s="34">
        <f>RTD("fxbluelabs.excelrtd", , "21422436","@bh,CADCHF,d1,close,10")</f>
        <v>0.63104000000000005</v>
      </c>
      <c r="AA12" s="35">
        <f>RTD("fxbluelabs.excelrtd", , "21422436","@bh,CHFJPY,d1,close,10")</f>
        <v>169.941</v>
      </c>
      <c r="AB12" s="34">
        <f>RTD("fxbluelabs.excelrtd", , "21422436","@bh,USDCAD,d1,close,10")</f>
        <v>1.3734599999999999</v>
      </c>
      <c r="AC12" s="34">
        <f>RTD("fxbluelabs.excelrtd", , "21422436","@bh,USDCHF,d1,close,10")</f>
        <v>0.86668000000000001</v>
      </c>
      <c r="AD12" s="35">
        <f>RTD("fxbluelabs.excelrtd", , "21422436","@bh,USDJPY,d1,close,10")</f>
        <v>147.279</v>
      </c>
      <c r="AH12" s="21">
        <v>11</v>
      </c>
      <c r="AI12" s="27">
        <f t="shared" si="35"/>
        <v>1.1182010614473754</v>
      </c>
      <c r="AJ12" s="27">
        <f t="shared" si="35"/>
        <v>0.79352673440300814</v>
      </c>
      <c r="AK12" s="27">
        <f t="shared" si="35"/>
        <v>1.5139475555183735</v>
      </c>
      <c r="AL12" s="27">
        <f t="shared" si="35"/>
        <v>1.710816777041944</v>
      </c>
      <c r="AM12" s="27">
        <f t="shared" si="35"/>
        <v>0.95115967885815411</v>
      </c>
      <c r="AN12" s="27">
        <f t="shared" si="35"/>
        <v>-4.3026502494618986E-2</v>
      </c>
      <c r="AO12" s="27">
        <f t="shared" si="35"/>
        <v>-0.20962825922032982</v>
      </c>
      <c r="AP12" s="27">
        <f t="shared" si="35"/>
        <v>-0.47300281244915721</v>
      </c>
      <c r="AQ12" s="27">
        <f t="shared" si="35"/>
        <v>0.54079898002549165</v>
      </c>
      <c r="AR12" s="27">
        <f t="shared" si="35"/>
        <v>0.34381200783715898</v>
      </c>
      <c r="AS12" s="27">
        <f t="shared" si="35"/>
        <v>-1.1471408022823455</v>
      </c>
      <c r="AT12" s="27">
        <f t="shared" si="35"/>
        <v>-0.36710437507202626</v>
      </c>
      <c r="AU12" s="27">
        <f t="shared" si="35"/>
        <v>0.44120891242003479</v>
      </c>
      <c r="AV12" s="27">
        <f t="shared" si="35"/>
        <v>-0.6672591009723714</v>
      </c>
      <c r="AW12" s="27">
        <f t="shared" si="35"/>
        <v>0.12232906992122256</v>
      </c>
      <c r="AX12" s="27">
        <f t="shared" si="35"/>
        <v>0.27491881303801985</v>
      </c>
      <c r="AY12" s="27">
        <f t="shared" si="1"/>
        <v>1.02871250914413</v>
      </c>
      <c r="AZ12" s="27">
        <f t="shared" si="1"/>
        <v>0.83240694495911083</v>
      </c>
      <c r="BA12" s="27">
        <f t="shared" si="1"/>
        <v>0.74065646510041583</v>
      </c>
      <c r="BB12" s="27">
        <f t="shared" si="1"/>
        <v>0.918017546917684</v>
      </c>
      <c r="BC12" s="27">
        <f t="shared" si="1"/>
        <v>0.30693779505230684</v>
      </c>
      <c r="BD12" s="27">
        <f t="shared" si="1"/>
        <v>0.14553039766180903</v>
      </c>
      <c r="BE12" s="27">
        <f t="shared" si="1"/>
        <v>0.55698291543986089</v>
      </c>
      <c r="BF12" s="27">
        <f t="shared" si="1"/>
        <v>0.75199974454360985</v>
      </c>
      <c r="BG12" s="27">
        <f t="shared" si="1"/>
        <v>-0.18149779735682672</v>
      </c>
      <c r="BH12" s="27">
        <f t="shared" si="1"/>
        <v>-0.16064899285439424</v>
      </c>
      <c r="BI12" s="27">
        <f t="shared" si="1"/>
        <v>0.58259638372444167</v>
      </c>
      <c r="BJ12" s="27">
        <f t="shared" si="1"/>
        <v>0.3857872172200163</v>
      </c>
      <c r="BN12">
        <v>11</v>
      </c>
      <c r="BO12" s="28">
        <f t="shared" si="5"/>
        <v>-2.1041350666327494</v>
      </c>
      <c r="BP12" s="28">
        <f t="shared" si="2"/>
        <v>-1.5016577450737465</v>
      </c>
      <c r="BQ12" s="28">
        <f t="shared" ref="BQ12:CK24" si="38">AK12+SUM(AK13:AK47)</f>
        <v>-9.2738880174932632</v>
      </c>
      <c r="BR12" s="28">
        <f t="shared" si="38"/>
        <v>-5.1262842160294495</v>
      </c>
      <c r="BS12" s="28">
        <f t="shared" si="38"/>
        <v>-1.665219502499073</v>
      </c>
      <c r="BT12" s="28">
        <f t="shared" si="38"/>
        <v>0.19555661650086259</v>
      </c>
      <c r="BU12" s="28">
        <f t="shared" si="38"/>
        <v>0.63999305861540901</v>
      </c>
      <c r="BV12" s="28">
        <f t="shared" si="38"/>
        <v>1.9336569717712637</v>
      </c>
      <c r="BW12" s="28">
        <f t="shared" si="38"/>
        <v>-2.8735382490488863</v>
      </c>
      <c r="BX12" s="28">
        <f t="shared" si="38"/>
        <v>-7.0287925038099859</v>
      </c>
      <c r="BY12" s="28">
        <f t="shared" si="38"/>
        <v>2.3300545394886649</v>
      </c>
      <c r="BZ12" s="28">
        <f t="shared" si="38"/>
        <v>0.81126302065481681</v>
      </c>
      <c r="CA12" s="28">
        <f t="shared" si="38"/>
        <v>-1.7339015732748613</v>
      </c>
      <c r="CB12" s="28">
        <f t="shared" si="38"/>
        <v>0.39037069179102923</v>
      </c>
      <c r="CC12" s="28">
        <f t="shared" si="38"/>
        <v>-1.1221662188937638</v>
      </c>
      <c r="CD12" s="28">
        <f t="shared" si="38"/>
        <v>-1.2900831055455431</v>
      </c>
      <c r="CE12" s="28">
        <f t="shared" si="38"/>
        <v>-4.7757085088534978</v>
      </c>
      <c r="CF12" s="28">
        <f t="shared" si="38"/>
        <v>-8.9340135347175931</v>
      </c>
      <c r="CG12" s="28">
        <f t="shared" si="38"/>
        <v>-7.7862882606345094</v>
      </c>
      <c r="CH12" s="28">
        <f t="shared" si="38"/>
        <v>-3.6272314381460249</v>
      </c>
      <c r="CI12" s="28">
        <f t="shared" si="38"/>
        <v>-0.5878616263883607</v>
      </c>
      <c r="CJ12" s="28">
        <f t="shared" si="38"/>
        <v>-0.14988161919407145</v>
      </c>
      <c r="CK12" s="28">
        <f t="shared" si="38"/>
        <v>-7.6288231202155039</v>
      </c>
      <c r="CL12" s="28">
        <f t="shared" si="37"/>
        <v>-3.4743728041908937</v>
      </c>
      <c r="CM12" s="28">
        <f t="shared" si="37"/>
        <v>-4.1594077649409389</v>
      </c>
      <c r="CN12" s="28">
        <f t="shared" si="37"/>
        <v>0.45496959074921028</v>
      </c>
      <c r="CO12" s="28">
        <f t="shared" si="37"/>
        <v>-3.0385705859186856</v>
      </c>
      <c r="CP12" s="28">
        <f t="shared" si="37"/>
        <v>-7.1919433821666878</v>
      </c>
      <c r="CU12" s="13">
        <v>11</v>
      </c>
      <c r="CV12" s="29">
        <f t="shared" si="6"/>
        <v>-3.9918065458278553</v>
      </c>
      <c r="CW12" s="29">
        <f t="shared" si="7"/>
        <v>-5.5452027275410556</v>
      </c>
      <c r="CX12" s="29">
        <f t="shared" si="8"/>
        <v>-9.0929743465323298</v>
      </c>
      <c r="CY12" s="29">
        <f t="shared" si="9"/>
        <v>15.281925233055606</v>
      </c>
      <c r="CZ12" s="29">
        <f t="shared" si="10"/>
        <v>-19.399159221265492</v>
      </c>
      <c r="DA12" s="29">
        <f t="shared" si="11"/>
        <v>-22.391609779007979</v>
      </c>
      <c r="DB12" s="29">
        <f t="shared" si="12"/>
        <v>-10.338702001050272</v>
      </c>
      <c r="DC12" s="29">
        <f t="shared" si="13"/>
        <v>52.00315658397848</v>
      </c>
      <c r="DF12" s="46">
        <v>11</v>
      </c>
      <c r="DG12" s="49">
        <f t="shared" si="36"/>
        <v>0.45496959074921028</v>
      </c>
      <c r="DH12" s="49">
        <f t="shared" si="14"/>
        <v>0.63999305861540901</v>
      </c>
      <c r="DI12" s="49">
        <f t="shared" si="15"/>
        <v>-3.0385705859186856</v>
      </c>
      <c r="DJ12" s="49">
        <f t="shared" si="16"/>
        <v>-2.8735382490488863</v>
      </c>
      <c r="DK12" s="49">
        <f t="shared" si="17"/>
        <v>1.7339015732748613</v>
      </c>
      <c r="DL12" s="49">
        <f t="shared" si="18"/>
        <v>1.9336569717712637</v>
      </c>
      <c r="DM12" s="49">
        <f t="shared" si="19"/>
        <v>2.1041350666327494</v>
      </c>
      <c r="DN12" s="49">
        <f t="shared" si="20"/>
        <v>2.3300545394886649</v>
      </c>
      <c r="DO12" s="49">
        <f t="shared" si="21"/>
        <v>0.5878616263883607</v>
      </c>
      <c r="DP12" s="49">
        <f t="shared" si="22"/>
        <v>0.81126302065481681</v>
      </c>
      <c r="DQ12" s="49">
        <f t="shared" si="23"/>
        <v>-7.1919433821666878</v>
      </c>
      <c r="DR12" s="49">
        <f t="shared" si="24"/>
        <v>-7.0287925038099859</v>
      </c>
      <c r="DS12" s="49">
        <f t="shared" si="25"/>
        <v>-0.19555661650086259</v>
      </c>
      <c r="DT12" s="49">
        <f t="shared" si="26"/>
        <v>0.19555661650086259</v>
      </c>
      <c r="DX12">
        <v>11</v>
      </c>
      <c r="DY12" s="19">
        <f t="shared" si="27"/>
        <v>1.5533961817132003</v>
      </c>
      <c r="EM12" s="13">
        <v>11</v>
      </c>
      <c r="EN12" s="16">
        <f t="shared" si="28"/>
        <v>-3.9918065458278553</v>
      </c>
      <c r="EO12" s="16">
        <f t="shared" si="4"/>
        <v>-5.5452027275410556</v>
      </c>
      <c r="EP12" s="16">
        <f t="shared" si="29"/>
        <v>-9.0929743465323298</v>
      </c>
      <c r="EQ12" s="16">
        <f t="shared" si="30"/>
        <v>15.281925233055606</v>
      </c>
      <c r="ER12" s="16">
        <f t="shared" si="31"/>
        <v>-19.399159221265492</v>
      </c>
      <c r="ES12" s="16">
        <f t="shared" si="32"/>
        <v>-22.391609779007979</v>
      </c>
      <c r="ET12" s="16">
        <f t="shared" si="33"/>
        <v>-10.338702001050272</v>
      </c>
      <c r="EU12" s="16">
        <f t="shared" si="34"/>
        <v>52.00315658397848</v>
      </c>
      <c r="FK12" s="20"/>
      <c r="FL12" s="20"/>
    </row>
    <row r="13" spans="1:170" ht="14.4" thickBot="1" x14ac:dyDescent="0.35">
      <c r="A13" s="37" t="s">
        <v>51</v>
      </c>
      <c r="B13" s="38">
        <v>11</v>
      </c>
      <c r="C13" s="34">
        <f>RTD("fxbluelabs.excelrtd", , "21422436","@bh,AUDUSD,d1,close,11")</f>
        <v>0.65193999999999996</v>
      </c>
      <c r="D13" s="34">
        <f>RTD("fxbluelabs.excelrtd", , "21422436","@bh,AUDNZD,d1,close,11")</f>
        <v>1.08755</v>
      </c>
      <c r="E13" s="35">
        <f>RTD("fxbluelabs.excelrtd", , "21422436","@bh,AUDJPY,d1,close,11")</f>
        <v>95.644000000000005</v>
      </c>
      <c r="F13" s="34">
        <f>RTD("fxbluelabs.excelrtd", , "21422436","@bh,AUDCHF,d1,close,11")</f>
        <v>0.56172</v>
      </c>
      <c r="G13" s="34">
        <f>RTD("fxbluelabs.excelrtd", , "21422436","@bh,AUDCAD,d1,close,11")</f>
        <v>0.89680000000000004</v>
      </c>
      <c r="H13" s="34">
        <f>RTD("fxbluelabs.excelrtd", , "21422436","@bh,EURUSD,d1,close,11")</f>
        <v>1.0923499999999999</v>
      </c>
      <c r="I13" s="34">
        <f>RTD("fxbluelabs.excelrtd", , "21422436","@bh,EURCAD,d1,close,11")</f>
        <v>1.5026600000000001</v>
      </c>
      <c r="J13" s="34">
        <f>RTD("fxbluelabs.excelrtd", , "21422436","@bh,EURGBP,d1,close,11")</f>
        <v>0.86046</v>
      </c>
      <c r="K13" s="34">
        <f>RTD("fxbluelabs.excelrtd", , "21422436","@bh,EURCHF,d1,close,11")</f>
        <v>0.94120000000000004</v>
      </c>
      <c r="L13" s="35">
        <f>RTD("fxbluelabs.excelrtd", , "21422436","@bh,EURJPY,d1,close,11")</f>
        <v>160.262</v>
      </c>
      <c r="M13" s="34">
        <f>RTD("fxbluelabs.excelrtd", , "21422436","@bh,EURAUD,d1,close,11")</f>
        <v>1.67547</v>
      </c>
      <c r="N13" s="34">
        <f>RTD("fxbluelabs.excelrtd", , "21422436","@bh,EURNZD,d1,close,11")</f>
        <v>1.82237</v>
      </c>
      <c r="O13" s="34">
        <f>RTD("fxbluelabs.excelrtd", , "21422436","@bh,GBPUSD,d1,close,11")</f>
        <v>1.2692399999999999</v>
      </c>
      <c r="P13" s="34">
        <f>RTD("fxbluelabs.excelrtd", , "21422436","@bh,GBPAUD,d1,close,11")</f>
        <v>1.9467699999999999</v>
      </c>
      <c r="Q13" s="34">
        <f>RTD("fxbluelabs.excelrtd", , "21422436","@bh,GBPNZD,d1,close,11")</f>
        <v>2.1172399999999998</v>
      </c>
      <c r="R13" s="34">
        <f>RTD("fxbluelabs.excelrtd", , "21422436","@bh,GBPCAD,d1,close,11")</f>
        <v>1.74597</v>
      </c>
      <c r="S13" s="34">
        <f>RTD("fxbluelabs.excelrtd", , "21422436","@bh,GBPCHF,d1,close,11")</f>
        <v>1.0935999999999999</v>
      </c>
      <c r="T13" s="35">
        <f>RTD("fxbluelabs.excelrtd", , "21422436","@bh,GBPJPY,d1,close,11")</f>
        <v>186.20699999999999</v>
      </c>
      <c r="U13" s="35">
        <f>RTD("fxbluelabs.excelrtd", , "21422436","@bh,NZDJPY,d1,close,11")</f>
        <v>87.894999999999996</v>
      </c>
      <c r="V13" s="34">
        <f>RTD("fxbluelabs.excelrtd", , "21422436","@bh,NZDCHF,d1,close,11")</f>
        <v>0.51632999999999996</v>
      </c>
      <c r="W13" s="34">
        <f>RTD("fxbluelabs.excelrtd", , "21422436","@bh,NZDUSD,d1,close,11")</f>
        <v>0.59946999999999995</v>
      </c>
      <c r="X13" s="34">
        <f>RTD("fxbluelabs.excelrtd", , "21422436","@bh,NZDCAD,d1,close,11")</f>
        <v>0.82457000000000003</v>
      </c>
      <c r="Y13" s="35">
        <f>RTD("fxbluelabs.excelrtd", , "21422436","@bh,CADJPY,d1,close,11")</f>
        <v>106.646</v>
      </c>
      <c r="Z13" s="34">
        <f>RTD("fxbluelabs.excelrtd", , "21422436","@bh,CADCHF,d1,close,11")</f>
        <v>0.62633000000000005</v>
      </c>
      <c r="AA13" s="35">
        <f>RTD("fxbluelabs.excelrtd", , "21422436","@bh,CHFJPY,d1,close,11")</f>
        <v>170.25</v>
      </c>
      <c r="AB13" s="34">
        <f>RTD("fxbluelabs.excelrtd", , "21422436","@bh,USDCAD,d1,close,11")</f>
        <v>1.3756699999999999</v>
      </c>
      <c r="AC13" s="34">
        <f>RTD("fxbluelabs.excelrtd", , "21422436","@bh,USDCHF,d1,close,11")</f>
        <v>0.86165999999999998</v>
      </c>
      <c r="AD13" s="35">
        <f>RTD("fxbluelabs.excelrtd", , "21422436","@bh,USDJPY,d1,close,11")</f>
        <v>146.71299999999999</v>
      </c>
      <c r="AH13" s="21">
        <v>12</v>
      </c>
      <c r="AI13" s="22">
        <f t="shared" si="35"/>
        <v>2.4548160422218843E-2</v>
      </c>
      <c r="AJ13" s="22">
        <f t="shared" si="35"/>
        <v>-0.64588624362791747</v>
      </c>
      <c r="AK13" s="22">
        <f t="shared" si="35"/>
        <v>1.6570122761332964</v>
      </c>
      <c r="AL13" s="22">
        <f t="shared" si="35"/>
        <v>1.2582471067527106</v>
      </c>
      <c r="AM13" s="22">
        <f t="shared" si="35"/>
        <v>-0.17476095595355592</v>
      </c>
      <c r="AN13" s="22">
        <f t="shared" si="35"/>
        <v>-7.1354733654734839E-2</v>
      </c>
      <c r="AO13" s="22">
        <f t="shared" si="35"/>
        <v>-0.27144516343122133</v>
      </c>
      <c r="AP13" s="22">
        <f t="shared" si="35"/>
        <v>-8.82469055525862E-2</v>
      </c>
      <c r="AQ13" s="22">
        <f t="shared" si="35"/>
        <v>1.1488323607484163</v>
      </c>
      <c r="AR13" s="22">
        <f t="shared" si="35"/>
        <v>1.5653518556073811</v>
      </c>
      <c r="AS13" s="22">
        <f t="shared" si="35"/>
        <v>-9.4213052681787354E-2</v>
      </c>
      <c r="AT13" s="22">
        <f t="shared" si="35"/>
        <v>-0.73913090841747886</v>
      </c>
      <c r="AU13" s="22">
        <f t="shared" si="35"/>
        <v>5.5154155865655904E-3</v>
      </c>
      <c r="AV13" s="22">
        <f t="shared" si="35"/>
        <v>-1.7461776684419832E-2</v>
      </c>
      <c r="AW13" s="22">
        <f t="shared" si="35"/>
        <v>-0.6699444527848808</v>
      </c>
      <c r="AX13" s="22">
        <f t="shared" si="35"/>
        <v>-0.19549671599814669</v>
      </c>
      <c r="AY13" s="22">
        <f t="shared" si="1"/>
        <v>1.2376993788359776</v>
      </c>
      <c r="AZ13" s="22">
        <f t="shared" si="1"/>
        <v>1.6358277386605455</v>
      </c>
      <c r="BA13" s="22">
        <f t="shared" si="1"/>
        <v>2.2926971195810286</v>
      </c>
      <c r="BB13" s="22">
        <f t="shared" si="1"/>
        <v>1.912600663192795</v>
      </c>
      <c r="BC13" s="22">
        <f t="shared" si="1"/>
        <v>0.69710407847879918</v>
      </c>
      <c r="BD13" s="22">
        <f t="shared" si="1"/>
        <v>0.48991530071293932</v>
      </c>
      <c r="BE13" s="22">
        <f t="shared" si="1"/>
        <v>1.8411352394048752</v>
      </c>
      <c r="BF13" s="22">
        <f t="shared" si="1"/>
        <v>1.4414589508122408</v>
      </c>
      <c r="BG13" s="22">
        <f t="shared" si="1"/>
        <v>0.40989649376308168</v>
      </c>
      <c r="BH13" s="22">
        <f t="shared" si="1"/>
        <v>-0.20095180058618156</v>
      </c>
      <c r="BI13" s="22">
        <f t="shared" si="1"/>
        <v>1.2324212554483827</v>
      </c>
      <c r="BJ13" s="22">
        <f t="shared" si="1"/>
        <v>1.6306569039685679</v>
      </c>
      <c r="BN13">
        <v>12</v>
      </c>
      <c r="BO13" s="23">
        <f t="shared" si="5"/>
        <v>-3.222336128080125</v>
      </c>
      <c r="BP13" s="23">
        <f t="shared" si="2"/>
        <v>-2.2951844794767546</v>
      </c>
      <c r="BQ13" s="23">
        <f t="shared" si="38"/>
        <v>-10.787835573011636</v>
      </c>
      <c r="BR13" s="23">
        <f t="shared" si="38"/>
        <v>-6.8371009930713935</v>
      </c>
      <c r="BS13" s="23">
        <f t="shared" si="38"/>
        <v>-2.6163791813572268</v>
      </c>
      <c r="BT13" s="23">
        <f t="shared" si="38"/>
        <v>0.23858311899548162</v>
      </c>
      <c r="BU13" s="23">
        <f t="shared" si="38"/>
        <v>0.8496213178357388</v>
      </c>
      <c r="BV13" s="23">
        <f t="shared" si="38"/>
        <v>2.4066597842204214</v>
      </c>
      <c r="BW13" s="23">
        <f t="shared" si="38"/>
        <v>-3.414337229074377</v>
      </c>
      <c r="BX13" s="23">
        <f t="shared" si="38"/>
        <v>-7.3726045116471441</v>
      </c>
      <c r="BY13" s="23">
        <f t="shared" si="38"/>
        <v>3.4771953417710106</v>
      </c>
      <c r="BZ13" s="23">
        <f t="shared" si="38"/>
        <v>1.1783673957268435</v>
      </c>
      <c r="CA13" s="23">
        <f t="shared" si="38"/>
        <v>-2.175110485694896</v>
      </c>
      <c r="CB13" s="23">
        <f t="shared" si="38"/>
        <v>1.0576297927634006</v>
      </c>
      <c r="CC13" s="23">
        <f t="shared" si="38"/>
        <v>-1.2444952888149863</v>
      </c>
      <c r="CD13" s="23">
        <f t="shared" si="38"/>
        <v>-1.5650019185835626</v>
      </c>
      <c r="CE13" s="23">
        <f t="shared" si="38"/>
        <v>-5.804421017997627</v>
      </c>
      <c r="CF13" s="23">
        <f t="shared" si="38"/>
        <v>-9.7664204796767038</v>
      </c>
      <c r="CG13" s="23">
        <f t="shared" si="38"/>
        <v>-8.5269447257349249</v>
      </c>
      <c r="CH13" s="23">
        <f t="shared" si="38"/>
        <v>-4.5452489850637088</v>
      </c>
      <c r="CI13" s="23">
        <f t="shared" si="38"/>
        <v>-0.89479942144066693</v>
      </c>
      <c r="CJ13" s="23">
        <f t="shared" si="38"/>
        <v>-0.2954120168558807</v>
      </c>
      <c r="CK13" s="23">
        <f t="shared" si="38"/>
        <v>-8.1858060356553626</v>
      </c>
      <c r="CL13" s="23">
        <f t="shared" si="37"/>
        <v>-4.2263725487345045</v>
      </c>
      <c r="CM13" s="23">
        <f t="shared" si="37"/>
        <v>-3.9779099675841127</v>
      </c>
      <c r="CN13" s="23">
        <f t="shared" si="37"/>
        <v>0.61561858360360433</v>
      </c>
      <c r="CO13" s="23">
        <f t="shared" si="37"/>
        <v>-3.6211669696431272</v>
      </c>
      <c r="CP13" s="23">
        <f t="shared" si="37"/>
        <v>-7.5777305993867046</v>
      </c>
      <c r="CU13" s="21">
        <v>12</v>
      </c>
      <c r="CV13" s="24">
        <f t="shared" si="6"/>
        <v>-2.6365147821720254</v>
      </c>
      <c r="CW13" s="24">
        <f t="shared" si="7"/>
        <v>-4.5296160692060212</v>
      </c>
      <c r="CX13" s="24">
        <f t="shared" si="8"/>
        <v>-9.4006253690325394</v>
      </c>
      <c r="CY13" s="24">
        <f t="shared" si="9"/>
        <v>20.244365227266123</v>
      </c>
      <c r="CZ13" s="24">
        <f t="shared" si="10"/>
        <v>-21.904479182224797</v>
      </c>
      <c r="DA13" s="24">
        <f t="shared" si="11"/>
        <v>-30.293661489531551</v>
      </c>
      <c r="DB13" s="24">
        <f t="shared" si="12"/>
        <v>-11.901092776530282</v>
      </c>
      <c r="DC13" s="24">
        <f t="shared" si="13"/>
        <v>56.195251892696582</v>
      </c>
      <c r="DF13" s="48">
        <v>12</v>
      </c>
      <c r="DG13" s="47">
        <f t="shared" si="36"/>
        <v>0.61561858360360433</v>
      </c>
      <c r="DH13" s="47">
        <f t="shared" si="14"/>
        <v>0.8496213178357388</v>
      </c>
      <c r="DI13" s="47">
        <f t="shared" si="15"/>
        <v>-3.6211669696431272</v>
      </c>
      <c r="DJ13" s="47">
        <f t="shared" si="16"/>
        <v>-3.414337229074377</v>
      </c>
      <c r="DK13" s="47">
        <f t="shared" si="17"/>
        <v>2.175110485694896</v>
      </c>
      <c r="DL13" s="47">
        <f t="shared" si="18"/>
        <v>2.4066597842204214</v>
      </c>
      <c r="DM13" s="47">
        <f t="shared" si="19"/>
        <v>3.222336128080125</v>
      </c>
      <c r="DN13" s="47">
        <f t="shared" si="20"/>
        <v>3.4771953417710106</v>
      </c>
      <c r="DO13" s="47">
        <f t="shared" si="21"/>
        <v>0.89479942144066693</v>
      </c>
      <c r="DP13" s="47">
        <f t="shared" si="22"/>
        <v>1.1783673957268435</v>
      </c>
      <c r="DQ13" s="47">
        <f t="shared" si="23"/>
        <v>-7.5777305993867046</v>
      </c>
      <c r="DR13" s="47">
        <f t="shared" si="24"/>
        <v>-7.3726045116471441</v>
      </c>
      <c r="DS13" s="47">
        <f t="shared" si="25"/>
        <v>-0.23858311899548162</v>
      </c>
      <c r="DT13" s="47">
        <f t="shared" si="26"/>
        <v>0.23858311899548162</v>
      </c>
      <c r="DX13">
        <v>12</v>
      </c>
      <c r="DY13" s="19">
        <f t="shared" si="27"/>
        <v>1.8931012870339958</v>
      </c>
      <c r="EM13" s="21">
        <v>12</v>
      </c>
      <c r="EN13" s="16">
        <f t="shared" si="28"/>
        <v>-2.6365147821720254</v>
      </c>
      <c r="EO13" s="16">
        <f t="shared" si="4"/>
        <v>-4.5296160692060212</v>
      </c>
      <c r="EP13" s="16">
        <f t="shared" si="29"/>
        <v>-9.4006253690325394</v>
      </c>
      <c r="EQ13" s="16">
        <f t="shared" si="30"/>
        <v>20.244365227266123</v>
      </c>
      <c r="ER13" s="16">
        <f t="shared" si="31"/>
        <v>-21.904479182224797</v>
      </c>
      <c r="ES13" s="16">
        <f t="shared" si="32"/>
        <v>-30.293661489531551</v>
      </c>
      <c r="ET13" s="16">
        <f t="shared" si="33"/>
        <v>-11.901092776530282</v>
      </c>
      <c r="EU13" s="16">
        <f t="shared" si="34"/>
        <v>56.195251892696582</v>
      </c>
      <c r="FK13" s="20"/>
      <c r="FL13" s="20"/>
    </row>
    <row r="14" spans="1:170" ht="14.4" thickBot="1" x14ac:dyDescent="0.35">
      <c r="A14" s="37" t="s">
        <v>51</v>
      </c>
      <c r="B14" s="38">
        <v>12</v>
      </c>
      <c r="C14" s="34">
        <f>RTD("fxbluelabs.excelrtd", , "21422436","@bh,AUDUSD,d1,close,12")</f>
        <v>0.65178000000000003</v>
      </c>
      <c r="D14" s="34">
        <f>RTD("fxbluelabs.excelrtd", , "21422436","@bh,AUDNZD,d1,close,12")</f>
        <v>1.0946199999999999</v>
      </c>
      <c r="E14" s="35">
        <f>RTD("fxbluelabs.excelrtd", , "21422436","@bh,AUDJPY,d1,close,12")</f>
        <v>94.084999999999994</v>
      </c>
      <c r="F14" s="34">
        <f>RTD("fxbluelabs.excelrtd", , "21422436","@bh,AUDCHF,d1,close,12")</f>
        <v>0.55474000000000001</v>
      </c>
      <c r="G14" s="34">
        <f>RTD("fxbluelabs.excelrtd", , "21422436","@bh,AUDCAD,d1,close,12")</f>
        <v>0.89837</v>
      </c>
      <c r="H14" s="34">
        <f>RTD("fxbluelabs.excelrtd", , "21422436","@bh,EURUSD,d1,close,12")</f>
        <v>1.0931299999999999</v>
      </c>
      <c r="I14" s="34">
        <f>RTD("fxbluelabs.excelrtd", , "21422436","@bh,EURCAD,d1,close,12")</f>
        <v>1.50675</v>
      </c>
      <c r="J14" s="34">
        <f>RTD("fxbluelabs.excelrtd", , "21422436","@bh,EURGBP,d1,close,12")</f>
        <v>0.86121999999999999</v>
      </c>
      <c r="K14" s="34">
        <f>RTD("fxbluelabs.excelrtd", , "21422436","@bh,EURCHF,d1,close,12")</f>
        <v>0.93050999999999995</v>
      </c>
      <c r="L14" s="35">
        <f>RTD("fxbluelabs.excelrtd", , "21422436","@bh,EURJPY,d1,close,12")</f>
        <v>157.792</v>
      </c>
      <c r="M14" s="34">
        <f>RTD("fxbluelabs.excelrtd", , "21422436","@bh,EURAUD,d1,close,12")</f>
        <v>1.6770499999999999</v>
      </c>
      <c r="N14" s="34">
        <f>RTD("fxbluelabs.excelrtd", , "21422436","@bh,EURNZD,d1,close,12")</f>
        <v>1.8359399999999999</v>
      </c>
      <c r="O14" s="34">
        <f>RTD("fxbluelabs.excelrtd", , "21422436","@bh,GBPUSD,d1,close,12")</f>
        <v>1.2691699999999999</v>
      </c>
      <c r="P14" s="34">
        <f>RTD("fxbluelabs.excelrtd", , "21422436","@bh,GBPAUD,d1,close,12")</f>
        <v>1.9471099999999999</v>
      </c>
      <c r="Q14" s="34">
        <f>RTD("fxbluelabs.excelrtd", , "21422436","@bh,GBPNZD,d1,close,12")</f>
        <v>2.1315200000000001</v>
      </c>
      <c r="R14" s="34">
        <f>RTD("fxbluelabs.excelrtd", , "21422436","@bh,GBPCAD,d1,close,12")</f>
        <v>1.74939</v>
      </c>
      <c r="S14" s="34">
        <f>RTD("fxbluelabs.excelrtd", , "21422436","@bh,GBPCHF,d1,close,12")</f>
        <v>1.08023</v>
      </c>
      <c r="T14" s="35">
        <f>RTD("fxbluelabs.excelrtd", , "21422436","@bh,GBPJPY,d1,close,12")</f>
        <v>183.21</v>
      </c>
      <c r="U14" s="35">
        <f>RTD("fxbluelabs.excelrtd", , "21422436","@bh,NZDJPY,d1,close,12")</f>
        <v>85.924999999999997</v>
      </c>
      <c r="V14" s="34">
        <f>RTD("fxbluelabs.excelrtd", , "21422436","@bh,NZDCHF,d1,close,12")</f>
        <v>0.50663999999999998</v>
      </c>
      <c r="W14" s="34">
        <f>RTD("fxbluelabs.excelrtd", , "21422436","@bh,NZDUSD,d1,close,12")</f>
        <v>0.59531999999999996</v>
      </c>
      <c r="X14" s="34">
        <f>RTD("fxbluelabs.excelrtd", , "21422436","@bh,NZDCAD,d1,close,12")</f>
        <v>0.82055</v>
      </c>
      <c r="Y14" s="35">
        <f>RTD("fxbluelabs.excelrtd", , "21422436","@bh,CADJPY,d1,close,12")</f>
        <v>104.718</v>
      </c>
      <c r="Z14" s="34">
        <f>RTD("fxbluelabs.excelrtd", , "21422436","@bh,CADCHF,d1,close,12")</f>
        <v>0.61743000000000003</v>
      </c>
      <c r="AA14" s="35">
        <f>RTD("fxbluelabs.excelrtd", , "21422436","@bh,CHFJPY,d1,close,12")</f>
        <v>169.55500000000001</v>
      </c>
      <c r="AB14" s="34">
        <f>RTD("fxbluelabs.excelrtd", , "21422436","@bh,USDCAD,d1,close,12")</f>
        <v>1.3784400000000001</v>
      </c>
      <c r="AC14" s="34">
        <f>RTD("fxbluelabs.excelrtd", , "21422436","@bh,USDCHF,d1,close,12")</f>
        <v>0.85116999999999998</v>
      </c>
      <c r="AD14" s="35">
        <f>RTD("fxbluelabs.excelrtd", , "21422436","@bh,USDJPY,d1,close,12")</f>
        <v>144.35900000000001</v>
      </c>
      <c r="AH14" s="13">
        <v>13</v>
      </c>
      <c r="AI14" s="27">
        <f t="shared" si="35"/>
        <v>0.33404658179523178</v>
      </c>
      <c r="AJ14" s="27">
        <f t="shared" si="35"/>
        <v>8.7778651500452595E-2</v>
      </c>
      <c r="AK14" s="27">
        <f t="shared" si="35"/>
        <v>0.4655682388493127</v>
      </c>
      <c r="AL14" s="27">
        <f t="shared" si="35"/>
        <v>0.20049491537670563</v>
      </c>
      <c r="AM14" s="27">
        <f t="shared" si="35"/>
        <v>3.1177276219526654E-2</v>
      </c>
      <c r="AN14" s="27">
        <f t="shared" si="35"/>
        <v>-0.18171524581782436</v>
      </c>
      <c r="AO14" s="27">
        <f t="shared" si="35"/>
        <v>-0.48149322342870854</v>
      </c>
      <c r="AP14" s="27">
        <f t="shared" si="35"/>
        <v>0.48303542259766097</v>
      </c>
      <c r="AQ14" s="27">
        <f t="shared" si="35"/>
        <v>-0.30641653363618765</v>
      </c>
      <c r="AR14" s="27">
        <f t="shared" si="35"/>
        <v>-5.9536627693395294E-2</v>
      </c>
      <c r="AS14" s="27">
        <f t="shared" si="35"/>
        <v>-0.51136936648336107</v>
      </c>
      <c r="AT14" s="27">
        <f t="shared" si="35"/>
        <v>-0.42467335947542284</v>
      </c>
      <c r="AU14" s="27">
        <f t="shared" si="35"/>
        <v>-0.66138601462094115</v>
      </c>
      <c r="AV14" s="27">
        <f t="shared" si="35"/>
        <v>-0.99004362904128473</v>
      </c>
      <c r="AW14" s="27">
        <f t="shared" si="35"/>
        <v>-0.90470390240727627</v>
      </c>
      <c r="AX14" s="27">
        <f t="shared" si="35"/>
        <v>-0.96185418766064268</v>
      </c>
      <c r="AY14" s="27">
        <f t="shared" si="1"/>
        <v>-0.79530531091293799</v>
      </c>
      <c r="AZ14" s="27">
        <f t="shared" si="1"/>
        <v>-0.5298991237118994</v>
      </c>
      <c r="BA14" s="27">
        <f t="shared" si="1"/>
        <v>0.37263743195570714</v>
      </c>
      <c r="BB14" s="27">
        <f t="shared" si="1"/>
        <v>0.10669828097213692</v>
      </c>
      <c r="BC14" s="27">
        <f t="shared" si="1"/>
        <v>0.23909749116012408</v>
      </c>
      <c r="BD14" s="27">
        <f t="shared" si="1"/>
        <v>-6.2114827174629191E-2</v>
      </c>
      <c r="BE14" s="27">
        <f t="shared" si="1"/>
        <v>0.42965378344682797</v>
      </c>
      <c r="BF14" s="27">
        <f t="shared" si="1"/>
        <v>0.16384932351319983</v>
      </c>
      <c r="BG14" s="27">
        <f t="shared" si="1"/>
        <v>0.25780663319911251</v>
      </c>
      <c r="BH14" s="27">
        <f t="shared" si="1"/>
        <v>-0.30016129148915266</v>
      </c>
      <c r="BI14" s="27">
        <f t="shared" si="1"/>
        <v>-0.13141067007708759</v>
      </c>
      <c r="BJ14" s="27">
        <f t="shared" si="1"/>
        <v>0.13387345143793408</v>
      </c>
      <c r="BN14">
        <v>13</v>
      </c>
      <c r="BO14" s="28">
        <f t="shared" si="5"/>
        <v>-3.2468842885023439</v>
      </c>
      <c r="BP14" s="28">
        <f t="shared" si="2"/>
        <v>-1.6492982358488375</v>
      </c>
      <c r="BQ14" s="28">
        <f t="shared" si="38"/>
        <v>-12.44484784914493</v>
      </c>
      <c r="BR14" s="28">
        <f t="shared" si="38"/>
        <v>-8.0953480998241041</v>
      </c>
      <c r="BS14" s="28">
        <f t="shared" si="38"/>
        <v>-2.4416182254036709</v>
      </c>
      <c r="BT14" s="28">
        <f t="shared" si="38"/>
        <v>0.30993785265021634</v>
      </c>
      <c r="BU14" s="28">
        <f t="shared" si="38"/>
        <v>1.12106648126696</v>
      </c>
      <c r="BV14" s="28">
        <f t="shared" si="38"/>
        <v>2.4949066897730079</v>
      </c>
      <c r="BW14" s="28">
        <f t="shared" si="38"/>
        <v>-4.5631695898227944</v>
      </c>
      <c r="BX14" s="28">
        <f t="shared" si="38"/>
        <v>-8.9379563672545252</v>
      </c>
      <c r="BY14" s="28">
        <f t="shared" si="38"/>
        <v>3.5714083944527975</v>
      </c>
      <c r="BZ14" s="28">
        <f t="shared" si="38"/>
        <v>1.9174983041443217</v>
      </c>
      <c r="CA14" s="28">
        <f t="shared" si="38"/>
        <v>-2.1806259012814619</v>
      </c>
      <c r="CB14" s="28">
        <f t="shared" si="38"/>
        <v>1.07509156944782</v>
      </c>
      <c r="CC14" s="28">
        <f t="shared" si="38"/>
        <v>-0.57455083603010559</v>
      </c>
      <c r="CD14" s="28">
        <f t="shared" si="38"/>
        <v>-1.369505202585416</v>
      </c>
      <c r="CE14" s="28">
        <f t="shared" si="38"/>
        <v>-7.0421203968336057</v>
      </c>
      <c r="CF14" s="28">
        <f t="shared" si="38"/>
        <v>-11.402248218337249</v>
      </c>
      <c r="CG14" s="28">
        <f t="shared" si="38"/>
        <v>-10.819641845315951</v>
      </c>
      <c r="CH14" s="28">
        <f t="shared" si="38"/>
        <v>-6.457849648256504</v>
      </c>
      <c r="CI14" s="28">
        <f t="shared" si="38"/>
        <v>-1.5919034999194668</v>
      </c>
      <c r="CJ14" s="28">
        <f t="shared" si="38"/>
        <v>-0.78532731756882002</v>
      </c>
      <c r="CK14" s="28">
        <f t="shared" si="38"/>
        <v>-10.026941275060238</v>
      </c>
      <c r="CL14" s="28">
        <f t="shared" si="37"/>
        <v>-5.667831499546744</v>
      </c>
      <c r="CM14" s="28">
        <f t="shared" si="37"/>
        <v>-4.3878064613471954</v>
      </c>
      <c r="CN14" s="28">
        <f t="shared" si="37"/>
        <v>0.816570384189786</v>
      </c>
      <c r="CO14" s="28">
        <f t="shared" si="37"/>
        <v>-4.8535882250915101</v>
      </c>
      <c r="CP14" s="28">
        <f t="shared" si="37"/>
        <v>-9.2083875033552722</v>
      </c>
      <c r="CU14" s="21">
        <v>13</v>
      </c>
      <c r="CV14" s="29">
        <f t="shared" si="6"/>
        <v>-4.0863082347900166</v>
      </c>
      <c r="CW14" s="29">
        <f t="shared" si="7"/>
        <v>-6.5359295072039405</v>
      </c>
      <c r="CX14" s="29">
        <f t="shared" si="8"/>
        <v>-13.03595889450582</v>
      </c>
      <c r="CY14" s="29">
        <f t="shared" si="9"/>
        <v>26.624269498481322</v>
      </c>
      <c r="CZ14" s="29">
        <f t="shared" si="10"/>
        <v>-23.988865675393026</v>
      </c>
      <c r="DA14" s="29">
        <f t="shared" si="11"/>
        <v>-32.5244966626245</v>
      </c>
      <c r="DB14" s="29">
        <f t="shared" si="12"/>
        <v>-19.34837154332612</v>
      </c>
      <c r="DC14" s="29">
        <f t="shared" si="13"/>
        <v>67.227829519815359</v>
      </c>
      <c r="DF14" s="46">
        <v>13</v>
      </c>
      <c r="DG14" s="49">
        <f t="shared" si="36"/>
        <v>0.816570384189786</v>
      </c>
      <c r="DH14" s="49">
        <f t="shared" si="14"/>
        <v>1.12106648126696</v>
      </c>
      <c r="DI14" s="49">
        <f t="shared" si="15"/>
        <v>-4.8535882250915101</v>
      </c>
      <c r="DJ14" s="49">
        <f t="shared" si="16"/>
        <v>-4.5631695898227944</v>
      </c>
      <c r="DK14" s="49">
        <f t="shared" si="17"/>
        <v>2.1806259012814619</v>
      </c>
      <c r="DL14" s="49">
        <f t="shared" si="18"/>
        <v>2.4949066897730079</v>
      </c>
      <c r="DM14" s="49">
        <f t="shared" si="19"/>
        <v>3.2468842885023439</v>
      </c>
      <c r="DN14" s="49">
        <f t="shared" si="20"/>
        <v>3.5714083944527975</v>
      </c>
      <c r="DO14" s="49">
        <f t="shared" si="21"/>
        <v>1.5919034999194668</v>
      </c>
      <c r="DP14" s="49">
        <f t="shared" si="22"/>
        <v>1.9174983041443217</v>
      </c>
      <c r="DQ14" s="49">
        <f t="shared" si="23"/>
        <v>-9.2083875033552722</v>
      </c>
      <c r="DR14" s="49">
        <f t="shared" si="24"/>
        <v>-8.9379563672545252</v>
      </c>
      <c r="DS14" s="49">
        <f t="shared" si="25"/>
        <v>-0.30993785265021634</v>
      </c>
      <c r="DT14" s="49">
        <f t="shared" si="26"/>
        <v>0.30993785265021634</v>
      </c>
      <c r="DX14">
        <v>13</v>
      </c>
      <c r="DY14" s="19">
        <f t="shared" si="27"/>
        <v>2.4496212724139239</v>
      </c>
      <c r="EM14" s="21">
        <v>13</v>
      </c>
      <c r="EN14" s="16">
        <f t="shared" si="28"/>
        <v>-4.0863082347900166</v>
      </c>
      <c r="EO14" s="16">
        <f t="shared" si="4"/>
        <v>-6.5359295072039405</v>
      </c>
      <c r="EP14" s="16">
        <f t="shared" si="29"/>
        <v>-13.03595889450582</v>
      </c>
      <c r="EQ14" s="16">
        <f t="shared" si="30"/>
        <v>26.624269498481322</v>
      </c>
      <c r="ER14" s="16">
        <f t="shared" si="31"/>
        <v>-23.988865675393026</v>
      </c>
      <c r="ES14" s="16">
        <f t="shared" si="32"/>
        <v>-32.5244966626245</v>
      </c>
      <c r="ET14" s="16">
        <f t="shared" si="33"/>
        <v>-19.34837154332612</v>
      </c>
      <c r="EU14" s="16">
        <f t="shared" si="34"/>
        <v>67.227829519815359</v>
      </c>
      <c r="FK14" s="20"/>
      <c r="FL14" s="20"/>
    </row>
    <row r="15" spans="1:170" ht="14.4" thickBot="1" x14ac:dyDescent="0.35">
      <c r="A15" s="37" t="s">
        <v>51</v>
      </c>
      <c r="B15" s="38">
        <v>13</v>
      </c>
      <c r="C15" s="34">
        <f>RTD("fxbluelabs.excelrtd", , "21422436","@bh,AUDUSD,d1,close,13")</f>
        <v>0.64961000000000002</v>
      </c>
      <c r="D15" s="34">
        <f>RTD("fxbluelabs.excelrtd", , "21422436","@bh,AUDNZD,d1,close,13")</f>
        <v>1.0936600000000001</v>
      </c>
      <c r="E15" s="35">
        <f>RTD("fxbluelabs.excelrtd", , "21422436","@bh,AUDJPY,d1,close,13")</f>
        <v>93.649000000000001</v>
      </c>
      <c r="F15" s="34">
        <f>RTD("fxbluelabs.excelrtd", , "21422436","@bh,AUDCHF,d1,close,13")</f>
        <v>0.55362999999999996</v>
      </c>
      <c r="G15" s="34">
        <f>RTD("fxbluelabs.excelrtd", , "21422436","@bh,AUDCAD,d1,close,13")</f>
        <v>0.89809000000000005</v>
      </c>
      <c r="H15" s="34">
        <f>RTD("fxbluelabs.excelrtd", , "21422436","@bh,EURUSD,d1,close,13")</f>
        <v>1.0951200000000001</v>
      </c>
      <c r="I15" s="34">
        <f>RTD("fxbluelabs.excelrtd", , "21422436","@bh,EURCAD,d1,close,13")</f>
        <v>1.5140400000000001</v>
      </c>
      <c r="J15" s="34">
        <f>RTD("fxbluelabs.excelrtd", , "21422436","@bh,EURGBP,d1,close,13")</f>
        <v>0.85707999999999995</v>
      </c>
      <c r="K15" s="34">
        <f>RTD("fxbluelabs.excelrtd", , "21422436","@bh,EURCHF,d1,close,13")</f>
        <v>0.93337000000000003</v>
      </c>
      <c r="L15" s="35">
        <f>RTD("fxbluelabs.excelrtd", , "21422436","@bh,EURJPY,d1,close,13")</f>
        <v>157.886</v>
      </c>
      <c r="M15" s="34">
        <f>RTD("fxbluelabs.excelrtd", , "21422436","@bh,EURAUD,d1,close,13")</f>
        <v>1.68567</v>
      </c>
      <c r="N15" s="34">
        <f>RTD("fxbluelabs.excelrtd", , "21422436","@bh,EURNZD,d1,close,13")</f>
        <v>1.8437699999999999</v>
      </c>
      <c r="O15" s="34">
        <f>RTD("fxbluelabs.excelrtd", , "21422436","@bh,GBPUSD,d1,close,13")</f>
        <v>1.27762</v>
      </c>
      <c r="P15" s="34">
        <f>RTD("fxbluelabs.excelrtd", , "21422436","@bh,GBPAUD,d1,close,13")</f>
        <v>1.96658</v>
      </c>
      <c r="Q15" s="34">
        <f>RTD("fxbluelabs.excelrtd", , "21422436","@bh,GBPNZD,d1,close,13")</f>
        <v>2.1509800000000001</v>
      </c>
      <c r="R15" s="34">
        <f>RTD("fxbluelabs.excelrtd", , "21422436","@bh,GBPCAD,d1,close,13")</f>
        <v>1.7663800000000001</v>
      </c>
      <c r="S15" s="34">
        <f>RTD("fxbluelabs.excelrtd", , "21422436","@bh,GBPCHF,d1,close,13")</f>
        <v>1.0888899999999999</v>
      </c>
      <c r="T15" s="35">
        <f>RTD("fxbluelabs.excelrtd", , "21422436","@bh,GBPJPY,d1,close,13")</f>
        <v>184.18600000000001</v>
      </c>
      <c r="U15" s="35">
        <f>RTD("fxbluelabs.excelrtd", , "21422436","@bh,NZDJPY,d1,close,13")</f>
        <v>85.605999999999995</v>
      </c>
      <c r="V15" s="34">
        <f>RTD("fxbluelabs.excelrtd", , "21422436","@bh,NZDCHF,d1,close,13")</f>
        <v>0.50609999999999999</v>
      </c>
      <c r="W15" s="34">
        <f>RTD("fxbluelabs.excelrtd", , "21422436","@bh,NZDUSD,d1,close,13")</f>
        <v>0.59389999999999998</v>
      </c>
      <c r="X15" s="34">
        <f>RTD("fxbluelabs.excelrtd", , "21422436","@bh,NZDCAD,d1,close,13")</f>
        <v>0.82106000000000001</v>
      </c>
      <c r="Y15" s="35">
        <f>RTD("fxbluelabs.excelrtd", , "21422436","@bh,CADJPY,d1,close,13")</f>
        <v>104.27</v>
      </c>
      <c r="Z15" s="34">
        <f>RTD("fxbluelabs.excelrtd", , "21422436","@bh,CADCHF,d1,close,13")</f>
        <v>0.61641999999999997</v>
      </c>
      <c r="AA15" s="35">
        <f>RTD("fxbluelabs.excelrtd", , "21422436","@bh,CHFJPY,d1,close,13")</f>
        <v>169.119</v>
      </c>
      <c r="AB15" s="34">
        <f>RTD("fxbluelabs.excelrtd", , "21422436","@bh,USDCAD,d1,close,13")</f>
        <v>1.38259</v>
      </c>
      <c r="AC15" s="34">
        <f>RTD("fxbluelabs.excelrtd", , "21422436","@bh,USDCHF,d1,close,13")</f>
        <v>0.85228999999999999</v>
      </c>
      <c r="AD15" s="35">
        <f>RTD("fxbluelabs.excelrtd", , "21422436","@bh,USDJPY,d1,close,13")</f>
        <v>144.166</v>
      </c>
      <c r="AH15" s="21">
        <v>14</v>
      </c>
      <c r="AI15" s="22">
        <f t="shared" si="35"/>
        <v>-0.21658320788916197</v>
      </c>
      <c r="AJ15" s="22">
        <f t="shared" si="35"/>
        <v>9.8848596899080141E-2</v>
      </c>
      <c r="AK15" s="22">
        <f t="shared" si="35"/>
        <v>-1.786013927342901</v>
      </c>
      <c r="AL15" s="22">
        <f t="shared" si="35"/>
        <v>-0.85777730023997556</v>
      </c>
      <c r="AM15" s="22">
        <f t="shared" si="35"/>
        <v>-0.55585698309175113</v>
      </c>
      <c r="AN15" s="22">
        <f t="shared" si="35"/>
        <v>0.37303514962650819</v>
      </c>
      <c r="AO15" s="22">
        <f t="shared" si="35"/>
        <v>2.8408903218144207E-2</v>
      </c>
      <c r="AP15" s="22">
        <f t="shared" si="35"/>
        <v>0.60096718155780815</v>
      </c>
      <c r="AQ15" s="22">
        <f t="shared" si="35"/>
        <v>-0.27885211222462031</v>
      </c>
      <c r="AR15" s="22">
        <f t="shared" si="35"/>
        <v>-1.2218544910816527</v>
      </c>
      <c r="AS15" s="22">
        <f t="shared" si="35"/>
        <v>0.58477089511716485</v>
      </c>
      <c r="AT15" s="22">
        <f t="shared" si="35"/>
        <v>0.69083402507753877</v>
      </c>
      <c r="AU15" s="22">
        <f t="shared" si="35"/>
        <v>-0.22413294910541498</v>
      </c>
      <c r="AV15" s="22">
        <f t="shared" si="35"/>
        <v>-1.0168905520697687E-2</v>
      </c>
      <c r="AW15" s="22">
        <f t="shared" si="35"/>
        <v>8.9807124078090758E-2</v>
      </c>
      <c r="AX15" s="22">
        <f t="shared" si="35"/>
        <v>-0.5646219059789116</v>
      </c>
      <c r="AY15" s="22">
        <f t="shared" si="1"/>
        <v>-0.87482931269914599</v>
      </c>
      <c r="AZ15" s="22">
        <f t="shared" si="1"/>
        <v>-1.81093169423668</v>
      </c>
      <c r="BA15" s="22">
        <f t="shared" si="1"/>
        <v>-1.9078502595363938</v>
      </c>
      <c r="BB15" s="22">
        <f t="shared" si="1"/>
        <v>-0.97246952472264658</v>
      </c>
      <c r="BC15" s="22">
        <f t="shared" si="1"/>
        <v>-0.30885956961091476</v>
      </c>
      <c r="BD15" s="22">
        <f t="shared" si="1"/>
        <v>-0.65459121323218339</v>
      </c>
      <c r="BE15" s="22">
        <f t="shared" si="1"/>
        <v>-1.2473126426548791</v>
      </c>
      <c r="BF15" s="22">
        <f t="shared" si="1"/>
        <v>-0.30889654391669141</v>
      </c>
      <c r="BG15" s="22">
        <f t="shared" si="1"/>
        <v>-0.93721261253872989</v>
      </c>
      <c r="BH15" s="22">
        <f t="shared" si="1"/>
        <v>-0.34094513162068757</v>
      </c>
      <c r="BI15" s="22">
        <f t="shared" si="1"/>
        <v>-0.65392236857442643</v>
      </c>
      <c r="BJ15" s="22">
        <f t="shared" si="1"/>
        <v>-1.5945174809900291</v>
      </c>
      <c r="BN15">
        <v>14</v>
      </c>
      <c r="BO15" s="23">
        <f t="shared" si="5"/>
        <v>-3.5809308702975757</v>
      </c>
      <c r="BP15" s="23">
        <f t="shared" si="2"/>
        <v>-1.7370768873492897</v>
      </c>
      <c r="BQ15" s="23">
        <f t="shared" si="38"/>
        <v>-12.910416087994244</v>
      </c>
      <c r="BR15" s="23">
        <f t="shared" si="38"/>
        <v>-8.2958430152008091</v>
      </c>
      <c r="BS15" s="23">
        <f t="shared" si="38"/>
        <v>-2.4727955016231977</v>
      </c>
      <c r="BT15" s="23">
        <f t="shared" si="38"/>
        <v>0.49165309846804051</v>
      </c>
      <c r="BU15" s="23">
        <f t="shared" si="38"/>
        <v>1.6025597046956686</v>
      </c>
      <c r="BV15" s="23">
        <f t="shared" si="38"/>
        <v>2.0118712671753469</v>
      </c>
      <c r="BW15" s="23">
        <f t="shared" si="38"/>
        <v>-4.2567530561866054</v>
      </c>
      <c r="BX15" s="23">
        <f t="shared" si="38"/>
        <v>-8.8784197395611297</v>
      </c>
      <c r="BY15" s="23">
        <f t="shared" si="38"/>
        <v>4.0827777609361586</v>
      </c>
      <c r="BZ15" s="23">
        <f t="shared" si="38"/>
        <v>2.3421716636197449</v>
      </c>
      <c r="CA15" s="23">
        <f t="shared" si="38"/>
        <v>-1.5192398866605206</v>
      </c>
      <c r="CB15" s="23">
        <f t="shared" si="38"/>
        <v>2.0651351984891049</v>
      </c>
      <c r="CC15" s="23">
        <f t="shared" si="38"/>
        <v>0.33015306637717101</v>
      </c>
      <c r="CD15" s="23">
        <f t="shared" si="38"/>
        <v>-0.4076510149247734</v>
      </c>
      <c r="CE15" s="23">
        <f t="shared" si="38"/>
        <v>-6.246815085920665</v>
      </c>
      <c r="CF15" s="23">
        <f t="shared" si="38"/>
        <v>-10.872349094625349</v>
      </c>
      <c r="CG15" s="23">
        <f t="shared" si="38"/>
        <v>-11.192279277271661</v>
      </c>
      <c r="CH15" s="23">
        <f t="shared" si="38"/>
        <v>-6.5645479292286408</v>
      </c>
      <c r="CI15" s="23">
        <f t="shared" si="38"/>
        <v>-1.8310009910795904</v>
      </c>
      <c r="CJ15" s="23">
        <f t="shared" si="38"/>
        <v>-0.72321249039419078</v>
      </c>
      <c r="CK15" s="23">
        <f t="shared" si="38"/>
        <v>-10.456595058507069</v>
      </c>
      <c r="CL15" s="23">
        <f t="shared" si="37"/>
        <v>-5.8316808230599433</v>
      </c>
      <c r="CM15" s="23">
        <f t="shared" si="37"/>
        <v>-4.6456130945463059</v>
      </c>
      <c r="CN15" s="23">
        <f t="shared" si="37"/>
        <v>1.1167316756789389</v>
      </c>
      <c r="CO15" s="23">
        <f t="shared" si="37"/>
        <v>-4.7221775550144223</v>
      </c>
      <c r="CP15" s="23">
        <f t="shared" si="37"/>
        <v>-9.3422609547932076</v>
      </c>
      <c r="CU15" s="21">
        <v>14</v>
      </c>
      <c r="CV15" s="24">
        <f t="shared" si="6"/>
        <v>-2.6041393008527751</v>
      </c>
      <c r="CW15" s="24">
        <f t="shared" si="7"/>
        <v>-6.508188184559045</v>
      </c>
      <c r="CX15" s="24">
        <f t="shared" si="8"/>
        <v>-15.403908254999459</v>
      </c>
      <c r="CY15" s="24">
        <f t="shared" si="9"/>
        <v>25.440523547004837</v>
      </c>
      <c r="CZ15" s="24">
        <f t="shared" si="10"/>
        <v>-18.662638084440381</v>
      </c>
      <c r="DA15" s="24">
        <f t="shared" si="11"/>
        <v>-35.144975321890378</v>
      </c>
      <c r="DB15" s="24">
        <f t="shared" si="12"/>
        <v>-21.246288530621708</v>
      </c>
      <c r="DC15" s="24">
        <f t="shared" si="13"/>
        <v>68.297933307298962</v>
      </c>
      <c r="DF15" s="48">
        <v>14</v>
      </c>
      <c r="DG15" s="47">
        <f t="shared" si="36"/>
        <v>1.1167316756789389</v>
      </c>
      <c r="DH15" s="47">
        <f t="shared" si="14"/>
        <v>1.6025597046956686</v>
      </c>
      <c r="DI15" s="47">
        <f t="shared" si="15"/>
        <v>-4.7221775550144223</v>
      </c>
      <c r="DJ15" s="47">
        <f t="shared" si="16"/>
        <v>-4.2567530561866054</v>
      </c>
      <c r="DK15" s="47">
        <f t="shared" si="17"/>
        <v>1.5192398866605206</v>
      </c>
      <c r="DL15" s="47">
        <f t="shared" si="18"/>
        <v>2.0118712671753469</v>
      </c>
      <c r="DM15" s="47">
        <f t="shared" si="19"/>
        <v>3.5809308702975757</v>
      </c>
      <c r="DN15" s="47">
        <f t="shared" si="20"/>
        <v>4.0827777609361586</v>
      </c>
      <c r="DO15" s="47">
        <f t="shared" si="21"/>
        <v>1.8310009910795904</v>
      </c>
      <c r="DP15" s="47">
        <f t="shared" si="22"/>
        <v>2.3421716636197449</v>
      </c>
      <c r="DQ15" s="47">
        <f t="shared" si="23"/>
        <v>-9.3422609547932076</v>
      </c>
      <c r="DR15" s="47">
        <f t="shared" si="24"/>
        <v>-8.8784197395611297</v>
      </c>
      <c r="DS15" s="47">
        <f t="shared" si="25"/>
        <v>-0.49165309846804051</v>
      </c>
      <c r="DT15" s="47">
        <f t="shared" si="26"/>
        <v>0.49165309846804051</v>
      </c>
      <c r="DX15">
        <v>14</v>
      </c>
      <c r="DY15" s="19">
        <f t="shared" si="27"/>
        <v>3.9040488837062699</v>
      </c>
      <c r="EM15" s="21">
        <v>14</v>
      </c>
      <c r="EN15" s="16">
        <f t="shared" si="28"/>
        <v>-2.6041393008527751</v>
      </c>
      <c r="EO15" s="16">
        <f t="shared" si="4"/>
        <v>-6.508188184559045</v>
      </c>
      <c r="EP15" s="16">
        <f t="shared" si="29"/>
        <v>-15.403908254999459</v>
      </c>
      <c r="EQ15" s="16">
        <f t="shared" si="30"/>
        <v>25.440523547004837</v>
      </c>
      <c r="ER15" s="16">
        <f t="shared" si="31"/>
        <v>-18.662638084440381</v>
      </c>
      <c r="ES15" s="16">
        <f t="shared" si="32"/>
        <v>-35.144975321890378</v>
      </c>
      <c r="ET15" s="16">
        <f t="shared" si="33"/>
        <v>-21.246288530621708</v>
      </c>
      <c r="EU15" s="16">
        <f t="shared" si="34"/>
        <v>68.297933307298962</v>
      </c>
      <c r="FK15" s="20"/>
      <c r="FL15" s="20"/>
    </row>
    <row r="16" spans="1:170" ht="14.4" thickBot="1" x14ac:dyDescent="0.35">
      <c r="A16" s="37" t="s">
        <v>51</v>
      </c>
      <c r="B16" s="38">
        <v>14</v>
      </c>
      <c r="C16" s="34">
        <f>RTD("fxbluelabs.excelrtd", , "21422436","@bh,AUDUSD,d1,close,14")</f>
        <v>0.65102000000000004</v>
      </c>
      <c r="D16" s="34">
        <f>RTD("fxbluelabs.excelrtd", , "21422436","@bh,AUDNZD,d1,close,14")</f>
        <v>1.0925800000000001</v>
      </c>
      <c r="E16" s="35">
        <f>RTD("fxbluelabs.excelrtd", , "21422436","@bh,AUDJPY,d1,close,14")</f>
        <v>95.352000000000004</v>
      </c>
      <c r="F16" s="34">
        <f>RTD("fxbluelabs.excelrtd", , "21422436","@bh,AUDCHF,d1,close,14")</f>
        <v>0.55842000000000003</v>
      </c>
      <c r="G16" s="34">
        <f>RTD("fxbluelabs.excelrtd", , "21422436","@bh,AUDCAD,d1,close,14")</f>
        <v>0.90310999999999997</v>
      </c>
      <c r="H16" s="34">
        <f>RTD("fxbluelabs.excelrtd", , "21422436","@bh,EURUSD,d1,close,14")</f>
        <v>1.0910500000000001</v>
      </c>
      <c r="I16" s="34">
        <f>RTD("fxbluelabs.excelrtd", , "21422436","@bh,EURCAD,d1,close,14")</f>
        <v>1.5136099999999999</v>
      </c>
      <c r="J16" s="34">
        <f>RTD("fxbluelabs.excelrtd", , "21422436","@bh,EURGBP,d1,close,14")</f>
        <v>0.85196000000000005</v>
      </c>
      <c r="K16" s="34">
        <f>RTD("fxbluelabs.excelrtd", , "21422436","@bh,EURCHF,d1,close,14")</f>
        <v>0.93598000000000003</v>
      </c>
      <c r="L16" s="35">
        <f>RTD("fxbluelabs.excelrtd", , "21422436","@bh,EURJPY,d1,close,14")</f>
        <v>159.839</v>
      </c>
      <c r="M16" s="34">
        <f>RTD("fxbluelabs.excelrtd", , "21422436","@bh,EURAUD,d1,close,14")</f>
        <v>1.67587</v>
      </c>
      <c r="N16" s="34">
        <f>RTD("fxbluelabs.excelrtd", , "21422436","@bh,EURNZD,d1,close,14")</f>
        <v>1.8311200000000001</v>
      </c>
      <c r="O16" s="34">
        <f>RTD("fxbluelabs.excelrtd", , "21422436","@bh,GBPUSD,d1,close,14")</f>
        <v>1.2804899999999999</v>
      </c>
      <c r="P16" s="34">
        <f>RTD("fxbluelabs.excelrtd", , "21422436","@bh,GBPAUD,d1,close,14")</f>
        <v>1.96678</v>
      </c>
      <c r="Q16" s="34">
        <f>RTD("fxbluelabs.excelrtd", , "21422436","@bh,GBPNZD,d1,close,14")</f>
        <v>2.1490499999999999</v>
      </c>
      <c r="R16" s="34">
        <f>RTD("fxbluelabs.excelrtd", , "21422436","@bh,GBPCAD,d1,close,14")</f>
        <v>1.77641</v>
      </c>
      <c r="S16" s="34">
        <f>RTD("fxbluelabs.excelrtd", , "21422436","@bh,GBPCHF,d1,close,14")</f>
        <v>1.0985</v>
      </c>
      <c r="T16" s="35">
        <f>RTD("fxbluelabs.excelrtd", , "21422436","@bh,GBPJPY,d1,close,14")</f>
        <v>187.583</v>
      </c>
      <c r="U16" s="35">
        <f>RTD("fxbluelabs.excelrtd", , "21422436","@bh,NZDJPY,d1,close,14")</f>
        <v>87.271000000000001</v>
      </c>
      <c r="V16" s="34">
        <f>RTD("fxbluelabs.excelrtd", , "21422436","@bh,NZDCHF,d1,close,14")</f>
        <v>0.51107000000000002</v>
      </c>
      <c r="W16" s="34">
        <f>RTD("fxbluelabs.excelrtd", , "21422436","@bh,NZDUSD,d1,close,14")</f>
        <v>0.59574000000000005</v>
      </c>
      <c r="X16" s="34">
        <f>RTD("fxbluelabs.excelrtd", , "21422436","@bh,NZDCAD,d1,close,14")</f>
        <v>0.82647000000000004</v>
      </c>
      <c r="Y16" s="35">
        <f>RTD("fxbluelabs.excelrtd", , "21422436","@bh,CADJPY,d1,close,14")</f>
        <v>105.587</v>
      </c>
      <c r="Z16" s="34">
        <f>RTD("fxbluelabs.excelrtd", , "21422436","@bh,CADCHF,d1,close,14")</f>
        <v>0.61833000000000005</v>
      </c>
      <c r="AA16" s="35">
        <f>RTD("fxbluelabs.excelrtd", , "21422436","@bh,CHFJPY,d1,close,14")</f>
        <v>170.71899999999999</v>
      </c>
      <c r="AB16" s="34">
        <f>RTD("fxbluelabs.excelrtd", , "21422436","@bh,USDCAD,d1,close,14")</f>
        <v>1.3873200000000001</v>
      </c>
      <c r="AC16" s="34">
        <f>RTD("fxbluelabs.excelrtd", , "21422436","@bh,USDCHF,d1,close,14")</f>
        <v>0.8579</v>
      </c>
      <c r="AD16" s="35">
        <f>RTD("fxbluelabs.excelrtd", , "21422436","@bh,USDJPY,d1,close,14")</f>
        <v>146.50200000000001</v>
      </c>
      <c r="AH16" s="21">
        <v>15</v>
      </c>
      <c r="AI16" s="27">
        <f t="shared" si="35"/>
        <v>0.129194992156028</v>
      </c>
      <c r="AJ16" s="27">
        <f t="shared" si="35"/>
        <v>-1.6472052417717244E-2</v>
      </c>
      <c r="AK16" s="27">
        <f t="shared" si="35"/>
        <v>-1.7769399548811711</v>
      </c>
      <c r="AL16" s="27">
        <f t="shared" si="35"/>
        <v>-1.5982660487409508</v>
      </c>
      <c r="AM16" s="27">
        <f t="shared" si="35"/>
        <v>0.12972038051311666</v>
      </c>
      <c r="AN16" s="27">
        <f>IF(H16=0,0,(H16-H17)*100/H17)</f>
        <v>1.1045935151464747</v>
      </c>
      <c r="AO16" s="27">
        <f t="shared" si="35"/>
        <v>1.1061754784409277</v>
      </c>
      <c r="AP16" s="27">
        <f t="shared" si="35"/>
        <v>0.57372211073073864</v>
      </c>
      <c r="AQ16" s="27">
        <f t="shared" si="35"/>
        <v>-0.64012059319964543</v>
      </c>
      <c r="AR16" s="27">
        <f t="shared" si="35"/>
        <v>-0.81229677067043804</v>
      </c>
      <c r="AS16" s="27">
        <f t="shared" si="35"/>
        <v>0.97001391759099176</v>
      </c>
      <c r="AT16" s="27">
        <f t="shared" si="35"/>
        <v>0.95768435561682197</v>
      </c>
      <c r="AU16" s="27">
        <f t="shared" si="35"/>
        <v>0.52046535726060272</v>
      </c>
      <c r="AV16" s="27">
        <f t="shared" si="35"/>
        <v>0.38638022468240141</v>
      </c>
      <c r="AW16" s="27">
        <f t="shared" si="35"/>
        <v>0.37786787235631247</v>
      </c>
      <c r="AX16" s="27">
        <f t="shared" si="35"/>
        <v>0.5251452920837717</v>
      </c>
      <c r="AY16" s="27">
        <f t="shared" si="1"/>
        <v>-1.212252018921198</v>
      </c>
      <c r="AZ16" s="27">
        <f t="shared" si="1"/>
        <v>-1.3883631928673519</v>
      </c>
      <c r="BA16" s="27">
        <f t="shared" si="1"/>
        <v>-1.758355566062159</v>
      </c>
      <c r="BB16" s="27">
        <f t="shared" si="1"/>
        <v>-1.584825726940104</v>
      </c>
      <c r="BC16" s="27">
        <f t="shared" si="1"/>
        <v>0.12941828999782315</v>
      </c>
      <c r="BD16" s="27">
        <f t="shared" si="1"/>
        <v>0.13570000605803717</v>
      </c>
      <c r="BE16" s="27">
        <f t="shared" si="1"/>
        <v>-1.8954351603222166</v>
      </c>
      <c r="BF16" s="27">
        <f t="shared" si="1"/>
        <v>-1.7213427427045593</v>
      </c>
      <c r="BG16" s="27">
        <f t="shared" si="1"/>
        <v>-0.20109550282644062</v>
      </c>
      <c r="BH16" s="27">
        <f t="shared" si="1"/>
        <v>-4.3246983522862506E-3</v>
      </c>
      <c r="BI16" s="27">
        <f t="shared" si="1"/>
        <v>-1.7217875431019656</v>
      </c>
      <c r="BJ16" s="27">
        <f t="shared" si="1"/>
        <v>-1.8937922721489338</v>
      </c>
      <c r="BN16">
        <v>15</v>
      </c>
      <c r="BO16" s="28">
        <f t="shared" si="5"/>
        <v>-3.3643476624084139</v>
      </c>
      <c r="BP16" s="28">
        <f t="shared" si="2"/>
        <v>-1.8359254842483701</v>
      </c>
      <c r="BQ16" s="28">
        <f t="shared" si="38"/>
        <v>-11.124402160651343</v>
      </c>
      <c r="BR16" s="28">
        <f t="shared" si="38"/>
        <v>-7.4380657149608345</v>
      </c>
      <c r="BS16" s="28">
        <f t="shared" si="38"/>
        <v>-1.9169385185314465</v>
      </c>
      <c r="BT16" s="28">
        <f t="shared" si="38"/>
        <v>0.11861794884153232</v>
      </c>
      <c r="BU16" s="28">
        <f t="shared" si="38"/>
        <v>1.5741508014775245</v>
      </c>
      <c r="BV16" s="28">
        <f t="shared" si="38"/>
        <v>1.4109040856175383</v>
      </c>
      <c r="BW16" s="28">
        <f t="shared" si="38"/>
        <v>-3.9779009439619859</v>
      </c>
      <c r="BX16" s="28">
        <f t="shared" si="38"/>
        <v>-7.6565652484794775</v>
      </c>
      <c r="BY16" s="28">
        <f t="shared" si="38"/>
        <v>3.498006865818994</v>
      </c>
      <c r="BZ16" s="28">
        <f t="shared" si="38"/>
        <v>1.6513376385422063</v>
      </c>
      <c r="CA16" s="28">
        <f t="shared" si="38"/>
        <v>-1.2951069375551056</v>
      </c>
      <c r="CB16" s="28">
        <f t="shared" si="38"/>
        <v>2.0753041040098026</v>
      </c>
      <c r="CC16" s="28">
        <f t="shared" si="38"/>
        <v>0.24034594229907991</v>
      </c>
      <c r="CD16" s="28">
        <f t="shared" si="38"/>
        <v>0.15697089105413825</v>
      </c>
      <c r="CE16" s="28">
        <f t="shared" si="38"/>
        <v>-5.3719857732215202</v>
      </c>
      <c r="CF16" s="28">
        <f t="shared" si="38"/>
        <v>-9.0614174003886703</v>
      </c>
      <c r="CG16" s="28">
        <f t="shared" si="38"/>
        <v>-9.2844290177352669</v>
      </c>
      <c r="CH16" s="28">
        <f t="shared" si="38"/>
        <v>-5.5920784045059948</v>
      </c>
      <c r="CI16" s="28">
        <f t="shared" si="38"/>
        <v>-1.5221414214686757</v>
      </c>
      <c r="CJ16" s="28">
        <f t="shared" si="38"/>
        <v>-6.8621277162007333E-2</v>
      </c>
      <c r="CK16" s="28">
        <f t="shared" si="38"/>
        <v>-9.2092824158521864</v>
      </c>
      <c r="CL16" s="28">
        <f t="shared" si="37"/>
        <v>-5.5227842791432531</v>
      </c>
      <c r="CM16" s="28">
        <f t="shared" si="37"/>
        <v>-3.7084004820075762</v>
      </c>
      <c r="CN16" s="28">
        <f t="shared" si="37"/>
        <v>1.4576768072996265</v>
      </c>
      <c r="CO16" s="28">
        <f t="shared" si="37"/>
        <v>-4.0682551864399956</v>
      </c>
      <c r="CP16" s="28">
        <f t="shared" si="37"/>
        <v>-7.7477434738031778</v>
      </c>
      <c r="CU16" s="21">
        <v>15</v>
      </c>
      <c r="CV16" s="29">
        <f t="shared" si="6"/>
        <v>-3.3814488521436692</v>
      </c>
      <c r="CW16" s="29">
        <f t="shared" si="7"/>
        <v>-4.2953437803528827</v>
      </c>
      <c r="CX16" s="29">
        <f t="shared" si="8"/>
        <v>-15.935305399133275</v>
      </c>
      <c r="CY16" s="29">
        <f t="shared" si="9"/>
        <v>22.739885541082753</v>
      </c>
      <c r="CZ16" s="29">
        <f t="shared" si="10"/>
        <v>-14.666793259419814</v>
      </c>
      <c r="DA16" s="29">
        <f t="shared" si="11"/>
        <v>-31.252990510629203</v>
      </c>
      <c r="DB16" s="29">
        <f t="shared" si="12"/>
        <v>-16.523028217464855</v>
      </c>
      <c r="DC16" s="29">
        <f t="shared" si="13"/>
        <v>57.792240198917696</v>
      </c>
      <c r="DF16" s="46">
        <v>15</v>
      </c>
      <c r="DG16" s="49">
        <f t="shared" si="36"/>
        <v>1.4576768072996265</v>
      </c>
      <c r="DH16" s="49">
        <f t="shared" si="14"/>
        <v>1.5741508014775245</v>
      </c>
      <c r="DI16" s="49">
        <f t="shared" si="15"/>
        <v>-4.0682551864399956</v>
      </c>
      <c r="DJ16" s="49">
        <f t="shared" si="16"/>
        <v>-3.9779009439619859</v>
      </c>
      <c r="DK16" s="49">
        <f t="shared" si="17"/>
        <v>1.2951069375551056</v>
      </c>
      <c r="DL16" s="49">
        <f t="shared" si="18"/>
        <v>1.4109040856175383</v>
      </c>
      <c r="DM16" s="49">
        <f t="shared" si="19"/>
        <v>3.3643476624084139</v>
      </c>
      <c r="DN16" s="49">
        <f t="shared" si="20"/>
        <v>3.498006865818994</v>
      </c>
      <c r="DO16" s="49">
        <f t="shared" si="21"/>
        <v>1.5221414214686757</v>
      </c>
      <c r="DP16" s="49">
        <f t="shared" si="22"/>
        <v>1.6513376385422063</v>
      </c>
      <c r="DQ16" s="49">
        <f t="shared" si="23"/>
        <v>-7.7477434738031778</v>
      </c>
      <c r="DR16" s="49">
        <f t="shared" si="24"/>
        <v>-7.6565652484794775</v>
      </c>
      <c r="DS16" s="49">
        <f t="shared" si="25"/>
        <v>-0.11861794884153232</v>
      </c>
      <c r="DT16" s="49">
        <f t="shared" si="26"/>
        <v>0.11861794884153232</v>
      </c>
      <c r="DX16">
        <v>15</v>
      </c>
      <c r="DY16" s="19">
        <f t="shared" si="27"/>
        <v>0.91389492820921348</v>
      </c>
      <c r="EM16" s="21">
        <v>15</v>
      </c>
      <c r="EN16" s="16">
        <f t="shared" si="28"/>
        <v>-3.3814488521436692</v>
      </c>
      <c r="EO16" s="16">
        <f t="shared" si="4"/>
        <v>-4.2953437803528827</v>
      </c>
      <c r="EP16" s="16">
        <f t="shared" si="29"/>
        <v>-15.935305399133275</v>
      </c>
      <c r="EQ16" s="16">
        <f t="shared" si="30"/>
        <v>22.739885541082753</v>
      </c>
      <c r="ER16" s="16">
        <f t="shared" si="31"/>
        <v>-14.666793259419814</v>
      </c>
      <c r="ES16" s="16">
        <f t="shared" si="32"/>
        <v>-31.252990510629203</v>
      </c>
      <c r="ET16" s="16">
        <f t="shared" si="33"/>
        <v>-16.523028217464855</v>
      </c>
      <c r="EU16" s="16">
        <f t="shared" si="34"/>
        <v>57.792240198917696</v>
      </c>
      <c r="FK16" s="20"/>
      <c r="FL16" s="20"/>
    </row>
    <row r="17" spans="1:168" ht="14.4" thickBot="1" x14ac:dyDescent="0.35">
      <c r="A17" s="37" t="s">
        <v>51</v>
      </c>
      <c r="B17" s="38">
        <v>15</v>
      </c>
      <c r="C17" s="34">
        <f>RTD("fxbluelabs.excelrtd", , "21422436","@bh,AUDUSD,d1,close,15")</f>
        <v>0.65017999999999998</v>
      </c>
      <c r="D17" s="34">
        <f>RTD("fxbluelabs.excelrtd", , "21422436","@bh,AUDNZD,d1,close,15")</f>
        <v>1.09276</v>
      </c>
      <c r="E17" s="35">
        <f>RTD("fxbluelabs.excelrtd", , "21422436","@bh,AUDJPY,d1,close,15")</f>
        <v>97.076999999999998</v>
      </c>
      <c r="F17" s="34">
        <f>RTD("fxbluelabs.excelrtd", , "21422436","@bh,AUDCHF,d1,close,15")</f>
        <v>0.56749000000000005</v>
      </c>
      <c r="G17" s="34">
        <f>RTD("fxbluelabs.excelrtd", , "21422436","@bh,AUDCAD,d1,close,15")</f>
        <v>0.90193999999999996</v>
      </c>
      <c r="H17" s="34">
        <f>RTD("fxbluelabs.excelrtd", , "21422436","@bh,EURUSD,d1,close,15")</f>
        <v>1.0791299999999999</v>
      </c>
      <c r="I17" s="34">
        <f>RTD("fxbluelabs.excelrtd", , "21422436","@bh,EURCAD,d1,close,15")</f>
        <v>1.49705</v>
      </c>
      <c r="J17" s="34">
        <f>RTD("fxbluelabs.excelrtd", , "21422436","@bh,EURGBP,d1,close,15")</f>
        <v>0.84709999999999996</v>
      </c>
      <c r="K17" s="34">
        <f>RTD("fxbluelabs.excelrtd", , "21422436","@bh,EURCHF,d1,close,15")</f>
        <v>0.94201000000000001</v>
      </c>
      <c r="L17" s="35">
        <f>RTD("fxbluelabs.excelrtd", , "21422436","@bh,EURJPY,d1,close,15")</f>
        <v>161.148</v>
      </c>
      <c r="M17" s="34">
        <f>RTD("fxbluelabs.excelrtd", , "21422436","@bh,EURAUD,d1,close,15")</f>
        <v>1.65977</v>
      </c>
      <c r="N17" s="34">
        <f>RTD("fxbluelabs.excelrtd", , "21422436","@bh,EURNZD,d1,close,15")</f>
        <v>1.81375</v>
      </c>
      <c r="O17" s="34">
        <f>RTD("fxbluelabs.excelrtd", , "21422436","@bh,GBPUSD,d1,close,15")</f>
        <v>1.27386</v>
      </c>
      <c r="P17" s="34">
        <f>RTD("fxbluelabs.excelrtd", , "21422436","@bh,GBPAUD,d1,close,15")</f>
        <v>1.9592099999999999</v>
      </c>
      <c r="Q17" s="34">
        <f>RTD("fxbluelabs.excelrtd", , "21422436","@bh,GBPNZD,d1,close,15")</f>
        <v>2.1409600000000002</v>
      </c>
      <c r="R17" s="34">
        <f>RTD("fxbluelabs.excelrtd", , "21422436","@bh,GBPCAD,d1,close,15")</f>
        <v>1.7671300000000001</v>
      </c>
      <c r="S17" s="34">
        <f>RTD("fxbluelabs.excelrtd", , "21422436","@bh,GBPCHF,d1,close,15")</f>
        <v>1.11198</v>
      </c>
      <c r="T17" s="35">
        <f>RTD("fxbluelabs.excelrtd", , "21422436","@bh,GBPJPY,d1,close,15")</f>
        <v>190.22399999999999</v>
      </c>
      <c r="U17" s="35">
        <f>RTD("fxbluelabs.excelrtd", , "21422436","@bh,NZDJPY,d1,close,15")</f>
        <v>88.832999999999998</v>
      </c>
      <c r="V17" s="34">
        <f>RTD("fxbluelabs.excelrtd", , "21422436","@bh,NZDCHF,d1,close,15")</f>
        <v>0.51929999999999998</v>
      </c>
      <c r="W17" s="34">
        <f>RTD("fxbluelabs.excelrtd", , "21422436","@bh,NZDUSD,d1,close,15")</f>
        <v>0.59497</v>
      </c>
      <c r="X17" s="34">
        <f>RTD("fxbluelabs.excelrtd", , "21422436","@bh,NZDCAD,d1,close,15")</f>
        <v>0.82535000000000003</v>
      </c>
      <c r="Y17" s="35">
        <f>RTD("fxbluelabs.excelrtd", , "21422436","@bh,CADJPY,d1,close,15")</f>
        <v>107.627</v>
      </c>
      <c r="Z17" s="34">
        <f>RTD("fxbluelabs.excelrtd", , "21422436","@bh,CADCHF,d1,close,15")</f>
        <v>0.62916000000000005</v>
      </c>
      <c r="AA17" s="35">
        <f>RTD("fxbluelabs.excelrtd", , "21422436","@bh,CHFJPY,d1,close,15")</f>
        <v>171.06299999999999</v>
      </c>
      <c r="AB17" s="34">
        <f>RTD("fxbluelabs.excelrtd", , "21422436","@bh,USDCAD,d1,close,15")</f>
        <v>1.3873800000000001</v>
      </c>
      <c r="AC17" s="34">
        <f>RTD("fxbluelabs.excelrtd", , "21422436","@bh,USDCHF,d1,close,15")</f>
        <v>0.87292999999999998</v>
      </c>
      <c r="AD17" s="35">
        <f>RTD("fxbluelabs.excelrtd", , "21422436","@bh,USDJPY,d1,close,15")</f>
        <v>149.33000000000001</v>
      </c>
      <c r="AH17" s="21">
        <v>16</v>
      </c>
      <c r="AI17" s="22">
        <f t="shared" si="35"/>
        <v>-0.60689444317053109</v>
      </c>
      <c r="AJ17" s="22">
        <f t="shared" si="35"/>
        <v>-0.58859383386552189</v>
      </c>
      <c r="AK17" s="22">
        <f t="shared" si="35"/>
        <v>-1.0357517865698931</v>
      </c>
      <c r="AL17" s="22">
        <f t="shared" si="35"/>
        <v>-1.1892324836328183</v>
      </c>
      <c r="AM17" s="22">
        <f t="shared" si="35"/>
        <v>-0.14060960352520382</v>
      </c>
      <c r="AN17" s="22">
        <f t="shared" si="35"/>
        <v>-0.31960391283865719</v>
      </c>
      <c r="AO17" s="22">
        <f t="shared" si="35"/>
        <v>0.14918184129192505</v>
      </c>
      <c r="AP17" s="22">
        <f t="shared" si="35"/>
        <v>0.59255916685467913</v>
      </c>
      <c r="AQ17" s="22">
        <f t="shared" si="35"/>
        <v>-0.9088518382159555</v>
      </c>
      <c r="AR17" s="22">
        <f t="shared" si="35"/>
        <v>-0.73731867319597322</v>
      </c>
      <c r="AS17" s="22">
        <f t="shared" si="35"/>
        <v>0.29367155917843651</v>
      </c>
      <c r="AT17" s="22">
        <f t="shared" si="35"/>
        <v>-0.30615834487611165</v>
      </c>
      <c r="AU17" s="22">
        <f t="shared" si="35"/>
        <v>-0.90856760583100593</v>
      </c>
      <c r="AV17" s="22">
        <f t="shared" si="35"/>
        <v>-0.30175967106670326</v>
      </c>
      <c r="AW17" s="22">
        <f t="shared" si="35"/>
        <v>-0.88744658886270311</v>
      </c>
      <c r="AX17" s="22">
        <f t="shared" si="35"/>
        <v>-0.44562376059130282</v>
      </c>
      <c r="AY17" s="22">
        <f t="shared" si="1"/>
        <v>-1.4839687081941688</v>
      </c>
      <c r="AZ17" s="22">
        <f t="shared" si="1"/>
        <v>-1.3238162426858222</v>
      </c>
      <c r="BA17" s="22">
        <f t="shared" si="1"/>
        <v>-0.40808547372669968</v>
      </c>
      <c r="BB17" s="22">
        <f t="shared" si="1"/>
        <v>-0.60863573725311426</v>
      </c>
      <c r="BC17" s="22">
        <f t="shared" si="1"/>
        <v>-1.8484909591996789E-2</v>
      </c>
      <c r="BD17" s="22">
        <f t="shared" si="1"/>
        <v>0.46009469673917081</v>
      </c>
      <c r="BE17" s="22">
        <f t="shared" si="1"/>
        <v>-0.89503586589195883</v>
      </c>
      <c r="BF17" s="22">
        <f t="shared" si="1"/>
        <v>-1.0505787619526781</v>
      </c>
      <c r="BG17" s="22">
        <f t="shared" si="1"/>
        <v>0.20913148922709182</v>
      </c>
      <c r="BH17" s="22">
        <f t="shared" si="1"/>
        <v>0.47435238226284593</v>
      </c>
      <c r="BI17" s="22">
        <f t="shared" si="1"/>
        <v>-0.58084575697869023</v>
      </c>
      <c r="BJ17" s="22">
        <f t="shared" si="1"/>
        <v>-0.4201120298746302</v>
      </c>
      <c r="BN17">
        <v>16</v>
      </c>
      <c r="BO17" s="23">
        <f t="shared" si="5"/>
        <v>-3.4935426545644415</v>
      </c>
      <c r="BP17" s="23">
        <f t="shared" si="2"/>
        <v>-1.8194534318306528</v>
      </c>
      <c r="BQ17" s="23">
        <f t="shared" si="38"/>
        <v>-9.3474622057701708</v>
      </c>
      <c r="BR17" s="23">
        <f t="shared" si="38"/>
        <v>-5.8397996662198821</v>
      </c>
      <c r="BS17" s="23">
        <f t="shared" si="38"/>
        <v>-2.0466588990445631</v>
      </c>
      <c r="BT17" s="23">
        <f t="shared" si="38"/>
        <v>-0.98597556630494243</v>
      </c>
      <c r="BU17" s="23">
        <f t="shared" si="38"/>
        <v>0.46797532303659684</v>
      </c>
      <c r="BV17" s="23">
        <f t="shared" si="38"/>
        <v>0.83718197488679968</v>
      </c>
      <c r="BW17" s="23">
        <f t="shared" si="38"/>
        <v>-3.3377803507623409</v>
      </c>
      <c r="BX17" s="23">
        <f t="shared" si="38"/>
        <v>-6.844268477809039</v>
      </c>
      <c r="BY17" s="23">
        <f t="shared" si="38"/>
        <v>2.5279929482280026</v>
      </c>
      <c r="BZ17" s="23">
        <f t="shared" si="38"/>
        <v>0.69365328292538431</v>
      </c>
      <c r="CA17" s="23">
        <f t="shared" si="38"/>
        <v>-1.8155722948157083</v>
      </c>
      <c r="CB17" s="23">
        <f t="shared" si="38"/>
        <v>1.6889238793274013</v>
      </c>
      <c r="CC17" s="23">
        <f t="shared" si="38"/>
        <v>-0.13752193005723234</v>
      </c>
      <c r="CD17" s="23">
        <f t="shared" si="38"/>
        <v>-0.3681744010296335</v>
      </c>
      <c r="CE17" s="23">
        <f t="shared" si="38"/>
        <v>-4.1597337543003219</v>
      </c>
      <c r="CF17" s="23">
        <f t="shared" si="38"/>
        <v>-7.6730542075213188</v>
      </c>
      <c r="CG17" s="23">
        <f t="shared" si="38"/>
        <v>-7.5260734516731063</v>
      </c>
      <c r="CH17" s="23">
        <f t="shared" si="38"/>
        <v>-4.0072526775658899</v>
      </c>
      <c r="CI17" s="23">
        <f t="shared" si="38"/>
        <v>-1.6515597114664993</v>
      </c>
      <c r="CJ17" s="23">
        <f t="shared" si="38"/>
        <v>-0.2043212832200445</v>
      </c>
      <c r="CK17" s="23">
        <f t="shared" si="38"/>
        <v>-7.3138472555299705</v>
      </c>
      <c r="CL17" s="23">
        <f t="shared" si="37"/>
        <v>-3.8014415364386931</v>
      </c>
      <c r="CM17" s="23">
        <f t="shared" si="37"/>
        <v>-3.5073049791811357</v>
      </c>
      <c r="CN17" s="23">
        <f t="shared" si="37"/>
        <v>1.4620015056519122</v>
      </c>
      <c r="CO17" s="23">
        <f t="shared" si="37"/>
        <v>-2.3464676433380296</v>
      </c>
      <c r="CP17" s="23">
        <f t="shared" si="37"/>
        <v>-5.8539512016542439</v>
      </c>
      <c r="CU17" s="13">
        <v>16</v>
      </c>
      <c r="CV17" s="24">
        <f t="shared" si="6"/>
        <v>-6.6412208657995393</v>
      </c>
      <c r="CW17" s="24">
        <f t="shared" si="7"/>
        <v>1.2082328878112305</v>
      </c>
      <c r="CX17" s="24">
        <f t="shared" si="8"/>
        <v>-10.426111037362929</v>
      </c>
      <c r="CY17" s="24">
        <f t="shared" si="9"/>
        <v>16.183729113005327</v>
      </c>
      <c r="CZ17" s="24">
        <f t="shared" si="10"/>
        <v>-13.302314683283614</v>
      </c>
      <c r="DA17" s="24">
        <f t="shared" si="11"/>
        <v>-26.763833684985116</v>
      </c>
      <c r="DB17" s="24">
        <f t="shared" si="12"/>
        <v>-12.12588504496304</v>
      </c>
      <c r="DC17" s="24">
        <f t="shared" si="13"/>
        <v>48.065961779138988</v>
      </c>
      <c r="DF17" s="48">
        <v>16</v>
      </c>
      <c r="DG17" s="47">
        <f t="shared" si="36"/>
        <v>1.4620015056519122</v>
      </c>
      <c r="DH17" s="47">
        <f t="shared" si="14"/>
        <v>0.46797532303659684</v>
      </c>
      <c r="DI17" s="47">
        <f t="shared" si="15"/>
        <v>-2.3464676433380296</v>
      </c>
      <c r="DJ17" s="47">
        <f t="shared" si="16"/>
        <v>-3.3377803507623409</v>
      </c>
      <c r="DK17" s="47">
        <f t="shared" si="17"/>
        <v>1.8155722948157083</v>
      </c>
      <c r="DL17" s="47">
        <f t="shared" si="18"/>
        <v>0.83718197488679968</v>
      </c>
      <c r="DM17" s="47">
        <f t="shared" si="19"/>
        <v>3.4935426545644415</v>
      </c>
      <c r="DN17" s="47">
        <f t="shared" si="20"/>
        <v>2.5279929482280026</v>
      </c>
      <c r="DO17" s="47">
        <f t="shared" si="21"/>
        <v>1.6515597114664993</v>
      </c>
      <c r="DP17" s="47">
        <f t="shared" si="22"/>
        <v>0.69365328292538431</v>
      </c>
      <c r="DQ17" s="47">
        <f t="shared" si="23"/>
        <v>-5.8539512016542439</v>
      </c>
      <c r="DR17" s="47">
        <f t="shared" si="24"/>
        <v>-6.844268477809039</v>
      </c>
      <c r="DS17" s="47">
        <f t="shared" si="25"/>
        <v>0.98597556630494243</v>
      </c>
      <c r="DT17" s="47">
        <f t="shared" si="26"/>
        <v>-0.98597556630494243</v>
      </c>
      <c r="DX17">
        <v>16</v>
      </c>
      <c r="DY17" s="19">
        <f t="shared" si="27"/>
        <v>-7.8494537536107698</v>
      </c>
      <c r="EM17" s="13">
        <v>16</v>
      </c>
      <c r="EN17" s="16">
        <f t="shared" si="28"/>
        <v>-6.6412208657995393</v>
      </c>
      <c r="EO17" s="16">
        <f t="shared" si="4"/>
        <v>1.2082328878112305</v>
      </c>
      <c r="EP17" s="16">
        <f t="shared" si="29"/>
        <v>-10.426111037362929</v>
      </c>
      <c r="EQ17" s="16">
        <f t="shared" si="30"/>
        <v>16.183729113005327</v>
      </c>
      <c r="ER17" s="16">
        <f t="shared" si="31"/>
        <v>-13.302314683283614</v>
      </c>
      <c r="ES17" s="16">
        <f t="shared" si="32"/>
        <v>-26.763833684985116</v>
      </c>
      <c r="ET17" s="16">
        <f t="shared" si="33"/>
        <v>-12.12588504496304</v>
      </c>
      <c r="EU17" s="16">
        <f t="shared" si="34"/>
        <v>48.065961779138988</v>
      </c>
      <c r="FK17" s="20"/>
      <c r="FL17" s="20"/>
    </row>
    <row r="18" spans="1:168" ht="14.4" thickBot="1" x14ac:dyDescent="0.35">
      <c r="A18" s="37" t="s">
        <v>51</v>
      </c>
      <c r="B18" s="38">
        <v>16</v>
      </c>
      <c r="C18" s="34">
        <f>RTD("fxbluelabs.excelrtd", , "21422436","@bh,AUDUSD,d1,close,16")</f>
        <v>0.65415000000000001</v>
      </c>
      <c r="D18" s="34">
        <f>RTD("fxbluelabs.excelrtd", , "21422436","@bh,AUDNZD,d1,close,16")</f>
        <v>1.0992299999999999</v>
      </c>
      <c r="E18" s="35">
        <f>RTD("fxbluelabs.excelrtd", , "21422436","@bh,AUDJPY,d1,close,16")</f>
        <v>98.093000000000004</v>
      </c>
      <c r="F18" s="34">
        <f>RTD("fxbluelabs.excelrtd", , "21422436","@bh,AUDCHF,d1,close,16")</f>
        <v>0.57432000000000005</v>
      </c>
      <c r="G18" s="34">
        <f>RTD("fxbluelabs.excelrtd", , "21422436","@bh,AUDCAD,d1,close,16")</f>
        <v>0.90320999999999996</v>
      </c>
      <c r="H18" s="34">
        <f>RTD("fxbluelabs.excelrtd", , "21422436","@bh,EURUSD,d1,close,16")</f>
        <v>1.0825899999999999</v>
      </c>
      <c r="I18" s="34">
        <f>RTD("fxbluelabs.excelrtd", , "21422436","@bh,EURCAD,d1,close,16")</f>
        <v>1.49482</v>
      </c>
      <c r="J18" s="34">
        <f>RTD("fxbluelabs.excelrtd", , "21422436","@bh,EURGBP,d1,close,16")</f>
        <v>0.84211000000000003</v>
      </c>
      <c r="K18" s="34">
        <f>RTD("fxbluelabs.excelrtd", , "21422436","@bh,EURCHF,d1,close,16")</f>
        <v>0.95065</v>
      </c>
      <c r="L18" s="35">
        <f>RTD("fxbluelabs.excelrtd", , "21422436","@bh,EURJPY,d1,close,16")</f>
        <v>162.345</v>
      </c>
      <c r="M18" s="34">
        <f>RTD("fxbluelabs.excelrtd", , "21422436","@bh,EURAUD,d1,close,16")</f>
        <v>1.6549100000000001</v>
      </c>
      <c r="N18" s="34">
        <f>RTD("fxbluelabs.excelrtd", , "21422436","@bh,EURNZD,d1,close,16")</f>
        <v>1.81932</v>
      </c>
      <c r="O18" s="34">
        <f>RTD("fxbluelabs.excelrtd", , "21422436","@bh,GBPUSD,d1,close,16")</f>
        <v>1.2855399999999999</v>
      </c>
      <c r="P18" s="34">
        <f>RTD("fxbluelabs.excelrtd", , "21422436","@bh,GBPAUD,d1,close,16")</f>
        <v>1.9651400000000001</v>
      </c>
      <c r="Q18" s="34">
        <f>RTD("fxbluelabs.excelrtd", , "21422436","@bh,GBPNZD,d1,close,16")</f>
        <v>2.1601300000000001</v>
      </c>
      <c r="R18" s="34">
        <f>RTD("fxbluelabs.excelrtd", , "21422436","@bh,GBPCAD,d1,close,16")</f>
        <v>1.77504</v>
      </c>
      <c r="S18" s="34">
        <f>RTD("fxbluelabs.excelrtd", , "21422436","@bh,GBPCHF,d1,close,16")</f>
        <v>1.12873</v>
      </c>
      <c r="T18" s="35">
        <f>RTD("fxbluelabs.excelrtd", , "21422436","@bh,GBPJPY,d1,close,16")</f>
        <v>192.77600000000001</v>
      </c>
      <c r="U18" s="35">
        <f>RTD("fxbluelabs.excelrtd", , "21422436","@bh,NZDJPY,d1,close,16")</f>
        <v>89.197000000000003</v>
      </c>
      <c r="V18" s="34">
        <f>RTD("fxbluelabs.excelrtd", , "21422436","@bh,NZDCHF,d1,close,16")</f>
        <v>0.52248000000000006</v>
      </c>
      <c r="W18" s="34">
        <f>RTD("fxbluelabs.excelrtd", , "21422436","@bh,NZDUSD,d1,close,16")</f>
        <v>0.59508000000000005</v>
      </c>
      <c r="X18" s="34">
        <f>RTD("fxbluelabs.excelrtd", , "21422436","@bh,NZDCAD,d1,close,16")</f>
        <v>0.82157000000000002</v>
      </c>
      <c r="Y18" s="35">
        <f>RTD("fxbluelabs.excelrtd", , "21422436","@bh,CADJPY,d1,close,16")</f>
        <v>108.599</v>
      </c>
      <c r="Z18" s="34">
        <f>RTD("fxbluelabs.excelrtd", , "21422436","@bh,CADCHF,d1,close,16")</f>
        <v>0.63583999999999996</v>
      </c>
      <c r="AA18" s="35">
        <f>RTD("fxbluelabs.excelrtd", , "21422436","@bh,CHFJPY,d1,close,16")</f>
        <v>170.70599999999999</v>
      </c>
      <c r="AB18" s="34">
        <f>RTD("fxbluelabs.excelrtd", , "21422436","@bh,USDCAD,d1,close,16")</f>
        <v>1.38083</v>
      </c>
      <c r="AC18" s="34">
        <f>RTD("fxbluelabs.excelrtd", , "21422436","@bh,USDCHF,d1,close,16")</f>
        <v>0.87802999999999998</v>
      </c>
      <c r="AD18" s="35">
        <f>RTD("fxbluelabs.excelrtd", , "21422436","@bh,USDJPY,d1,close,16")</f>
        <v>149.96</v>
      </c>
      <c r="AH18" s="13">
        <v>17</v>
      </c>
      <c r="AI18" s="27">
        <f t="shared" si="35"/>
        <v>6.2716064490473497E-2</v>
      </c>
      <c r="AJ18" s="27">
        <f t="shared" si="35"/>
        <v>-0.73507499751664185</v>
      </c>
      <c r="AK18" s="27">
        <f t="shared" si="35"/>
        <v>-1.7684935759420695</v>
      </c>
      <c r="AL18" s="27">
        <f t="shared" si="35"/>
        <v>-0.47137113544987258</v>
      </c>
      <c r="AM18" s="27">
        <f t="shared" si="35"/>
        <v>-0.24628909701361384</v>
      </c>
      <c r="AN18" s="27">
        <f t="shared" si="35"/>
        <v>0.10726538009857781</v>
      </c>
      <c r="AO18" s="27">
        <f t="shared" si="35"/>
        <v>-0.2009573850169884</v>
      </c>
      <c r="AP18" s="27">
        <f t="shared" si="35"/>
        <v>-4.7477181279742195E-2</v>
      </c>
      <c r="AQ18" s="27">
        <f t="shared" si="35"/>
        <v>-0.41274264343854999</v>
      </c>
      <c r="AR18" s="27">
        <f t="shared" si="35"/>
        <v>-1.7258287125596257</v>
      </c>
      <c r="AS18" s="27">
        <f t="shared" si="35"/>
        <v>4.2316271815558179E-2</v>
      </c>
      <c r="AT18" s="27">
        <f t="shared" si="35"/>
        <v>-0.68780296082798076</v>
      </c>
      <c r="AU18" s="27">
        <f t="shared" si="35"/>
        <v>0.15425846863410131</v>
      </c>
      <c r="AV18" s="27">
        <f t="shared" si="35"/>
        <v>8.913155307912031E-2</v>
      </c>
      <c r="AW18" s="27">
        <f t="shared" si="35"/>
        <v>-0.64850544790569542</v>
      </c>
      <c r="AX18" s="27">
        <f t="shared" si="35"/>
        <v>-0.15468643653075057</v>
      </c>
      <c r="AY18" s="27">
        <f t="shared" ref="AX18:BJ28" si="39">IF(S18=0,0,(S18-S19)*100/S19)</f>
        <v>-0.37511694822504249</v>
      </c>
      <c r="AZ18" s="27">
        <f t="shared" si="39"/>
        <v>-1.6785078570080618</v>
      </c>
      <c r="BA18" s="27">
        <f t="shared" si="39"/>
        <v>-1.0659065196654745</v>
      </c>
      <c r="BB18" s="27">
        <f t="shared" si="39"/>
        <v>0.30909823948394038</v>
      </c>
      <c r="BC18" s="27">
        <f t="shared" si="39"/>
        <v>0.80805000762312207</v>
      </c>
      <c r="BD18" s="27">
        <f t="shared" si="39"/>
        <v>0.48802563663495307</v>
      </c>
      <c r="BE18" s="27">
        <f t="shared" si="39"/>
        <v>-1.5296592495874342</v>
      </c>
      <c r="BF18" s="27">
        <f t="shared" si="39"/>
        <v>-0.22909147967990223</v>
      </c>
      <c r="BG18" s="27">
        <f t="shared" si="39"/>
        <v>-1.332285230418879</v>
      </c>
      <c r="BH18" s="27">
        <f t="shared" si="39"/>
        <v>-0.30828099054219882</v>
      </c>
      <c r="BI18" s="27">
        <f t="shared" si="39"/>
        <v>-0.52905857029569081</v>
      </c>
      <c r="BJ18" s="27">
        <f t="shared" si="39"/>
        <v>-1.8290846720871354</v>
      </c>
      <c r="BN18">
        <v>17</v>
      </c>
      <c r="BO18" s="28">
        <f t="shared" si="5"/>
        <v>-2.8866482113939109</v>
      </c>
      <c r="BP18" s="28">
        <f t="shared" si="2"/>
        <v>-1.2308595979651309</v>
      </c>
      <c r="BQ18" s="28">
        <f t="shared" si="38"/>
        <v>-8.3117104192002778</v>
      </c>
      <c r="BR18" s="28">
        <f t="shared" si="38"/>
        <v>-4.6505671825870643</v>
      </c>
      <c r="BS18" s="28">
        <f t="shared" si="38"/>
        <v>-1.9060492955193593</v>
      </c>
      <c r="BT18" s="28">
        <f t="shared" si="38"/>
        <v>-0.66637165346628513</v>
      </c>
      <c r="BU18" s="28">
        <f t="shared" si="38"/>
        <v>0.31879348174467176</v>
      </c>
      <c r="BV18" s="28">
        <f t="shared" si="38"/>
        <v>0.2446228080321205</v>
      </c>
      <c r="BW18" s="28">
        <f t="shared" si="38"/>
        <v>-2.4289285125463858</v>
      </c>
      <c r="BX18" s="28">
        <f t="shared" si="38"/>
        <v>-6.106949804613067</v>
      </c>
      <c r="BY18" s="28">
        <f t="shared" si="38"/>
        <v>2.2343213890495655</v>
      </c>
      <c r="BZ18" s="28">
        <f t="shared" si="38"/>
        <v>0.99981162780149591</v>
      </c>
      <c r="CA18" s="28">
        <f t="shared" si="38"/>
        <v>-0.90700468898470232</v>
      </c>
      <c r="CB18" s="28">
        <f t="shared" si="38"/>
        <v>1.9906835503941045</v>
      </c>
      <c r="CC18" s="28">
        <f t="shared" si="38"/>
        <v>0.74992465880547055</v>
      </c>
      <c r="CD18" s="28">
        <f t="shared" si="38"/>
        <v>7.7449359561669373E-2</v>
      </c>
      <c r="CE18" s="28">
        <f t="shared" si="38"/>
        <v>-2.6757650461061528</v>
      </c>
      <c r="CF18" s="28">
        <f t="shared" si="38"/>
        <v>-6.3492379648354946</v>
      </c>
      <c r="CG18" s="28">
        <f t="shared" si="38"/>
        <v>-7.1179879779464068</v>
      </c>
      <c r="CH18" s="28">
        <f t="shared" si="38"/>
        <v>-3.3986169403127762</v>
      </c>
      <c r="CI18" s="28">
        <f t="shared" si="38"/>
        <v>-1.6330748018745027</v>
      </c>
      <c r="CJ18" s="28">
        <f t="shared" si="38"/>
        <v>-0.66441597995921531</v>
      </c>
      <c r="CK18" s="28">
        <f t="shared" si="38"/>
        <v>-6.4188113896380123</v>
      </c>
      <c r="CL18" s="28">
        <f t="shared" si="37"/>
        <v>-2.7508627744860155</v>
      </c>
      <c r="CM18" s="28">
        <f t="shared" si="37"/>
        <v>-3.7164364684082276</v>
      </c>
      <c r="CN18" s="28">
        <f t="shared" si="37"/>
        <v>0.98764912338906652</v>
      </c>
      <c r="CO18" s="28">
        <f t="shared" si="37"/>
        <v>-1.7656218863593396</v>
      </c>
      <c r="CP18" s="28">
        <f t="shared" si="37"/>
        <v>-5.4338391717796144</v>
      </c>
      <c r="CU18" s="21">
        <v>17</v>
      </c>
      <c r="CV18" s="29">
        <f t="shared" si="6"/>
        <v>-5.4047006639978843</v>
      </c>
      <c r="CW18" s="29">
        <f t="shared" si="7"/>
        <v>-0.1187125790304866</v>
      </c>
      <c r="CX18" s="29">
        <f t="shared" si="8"/>
        <v>-7.9831008533408614</v>
      </c>
      <c r="CY18" s="29">
        <f t="shared" si="9"/>
        <v>11.203063099503492</v>
      </c>
      <c r="CZ18" s="29">
        <f t="shared" si="10"/>
        <v>-7.3585729391972263</v>
      </c>
      <c r="DA18" s="29">
        <f t="shared" si="11"/>
        <v>-23.210839646109413</v>
      </c>
      <c r="DB18" s="29">
        <f t="shared" si="12"/>
        <v>-13.332972388734738</v>
      </c>
      <c r="DC18" s="29">
        <f t="shared" si="13"/>
        <v>43.454973196421101</v>
      </c>
      <c r="DF18" s="46">
        <v>17</v>
      </c>
      <c r="DG18" s="49">
        <f t="shared" si="36"/>
        <v>0.98764912338906652</v>
      </c>
      <c r="DH18" s="49">
        <f t="shared" si="14"/>
        <v>0.31879348174467176</v>
      </c>
      <c r="DI18" s="49">
        <f t="shared" si="15"/>
        <v>-1.7656218863593396</v>
      </c>
      <c r="DJ18" s="49">
        <f t="shared" si="16"/>
        <v>-2.4289285125463858</v>
      </c>
      <c r="DK18" s="49">
        <f t="shared" si="17"/>
        <v>0.90700468898470232</v>
      </c>
      <c r="DL18" s="49">
        <f t="shared" si="18"/>
        <v>0.2446228080321205</v>
      </c>
      <c r="DM18" s="49">
        <f t="shared" si="19"/>
        <v>2.8866482113939109</v>
      </c>
      <c r="DN18" s="49">
        <f t="shared" si="20"/>
        <v>2.2343213890495655</v>
      </c>
      <c r="DO18" s="49">
        <f t="shared" si="21"/>
        <v>1.6330748018745027</v>
      </c>
      <c r="DP18" s="49">
        <f t="shared" si="22"/>
        <v>0.99981162780149591</v>
      </c>
      <c r="DQ18" s="49">
        <f t="shared" si="23"/>
        <v>-5.4338391717796144</v>
      </c>
      <c r="DR18" s="49">
        <f t="shared" si="24"/>
        <v>-6.106949804613067</v>
      </c>
      <c r="DS18" s="49">
        <f t="shared" si="25"/>
        <v>0.66637165346628513</v>
      </c>
      <c r="DT18" s="49">
        <f t="shared" si="26"/>
        <v>-0.66637165346628513</v>
      </c>
      <c r="DX18">
        <v>17</v>
      </c>
      <c r="DY18" s="19">
        <f t="shared" si="27"/>
        <v>-5.2859880849673981</v>
      </c>
      <c r="EM18" s="21">
        <v>17</v>
      </c>
      <c r="EN18" s="16">
        <f t="shared" si="28"/>
        <v>-5.4047006639978843</v>
      </c>
      <c r="EO18" s="16">
        <f t="shared" si="4"/>
        <v>-0.1187125790304866</v>
      </c>
      <c r="EP18" s="16">
        <f t="shared" si="29"/>
        <v>-7.9831008533408614</v>
      </c>
      <c r="EQ18" s="16">
        <f t="shared" si="30"/>
        <v>11.203063099503492</v>
      </c>
      <c r="ER18" s="16">
        <f t="shared" si="31"/>
        <v>-7.3585729391972263</v>
      </c>
      <c r="ES18" s="16">
        <f t="shared" si="32"/>
        <v>-23.210839646109413</v>
      </c>
      <c r="ET18" s="16">
        <f t="shared" si="33"/>
        <v>-13.332972388734738</v>
      </c>
      <c r="EU18" s="16">
        <f t="shared" si="34"/>
        <v>43.454973196421101</v>
      </c>
      <c r="FK18" s="20"/>
      <c r="FL18" s="20"/>
    </row>
    <row r="19" spans="1:168" ht="14.4" thickBot="1" x14ac:dyDescent="0.35">
      <c r="A19" s="37" t="s">
        <v>51</v>
      </c>
      <c r="B19" s="38">
        <v>17</v>
      </c>
      <c r="C19" s="34">
        <f>RTD("fxbluelabs.excelrtd", , "21422436","@bh,AUDUSD,d1,close,17")</f>
        <v>0.65373999999999999</v>
      </c>
      <c r="D19" s="34">
        <f>RTD("fxbluelabs.excelrtd", , "21422436","@bh,AUDNZD,d1,close,17")</f>
        <v>1.10737</v>
      </c>
      <c r="E19" s="35">
        <f>RTD("fxbluelabs.excelrtd", , "21422436","@bh,AUDJPY,d1,close,17")</f>
        <v>99.858999999999995</v>
      </c>
      <c r="F19" s="34">
        <f>RTD("fxbluelabs.excelrtd", , "21422436","@bh,AUDCHF,d1,close,17")</f>
        <v>0.57704</v>
      </c>
      <c r="G19" s="34">
        <f>RTD("fxbluelabs.excelrtd", , "21422436","@bh,AUDCAD,d1,close,17")</f>
        <v>0.90544000000000002</v>
      </c>
      <c r="H19" s="34">
        <f>RTD("fxbluelabs.excelrtd", , "21422436","@bh,EURUSD,d1,close,17")</f>
        <v>1.0814299999999999</v>
      </c>
      <c r="I19" s="34">
        <f>RTD("fxbluelabs.excelrtd", , "21422436","@bh,EURCAD,d1,close,17")</f>
        <v>1.49783</v>
      </c>
      <c r="J19" s="34">
        <f>RTD("fxbluelabs.excelrtd", , "21422436","@bh,EURGBP,d1,close,17")</f>
        <v>0.84250999999999998</v>
      </c>
      <c r="K19" s="34">
        <f>RTD("fxbluelabs.excelrtd", , "21422436","@bh,EURCHF,d1,close,17")</f>
        <v>0.95459000000000005</v>
      </c>
      <c r="L19" s="35">
        <f>RTD("fxbluelabs.excelrtd", , "21422436","@bh,EURJPY,d1,close,17")</f>
        <v>165.196</v>
      </c>
      <c r="M19" s="34">
        <f>RTD("fxbluelabs.excelrtd", , "21422436","@bh,EURAUD,d1,close,17")</f>
        <v>1.65421</v>
      </c>
      <c r="N19" s="34">
        <f>RTD("fxbluelabs.excelrtd", , "21422436","@bh,EURNZD,d1,close,17")</f>
        <v>1.83192</v>
      </c>
      <c r="O19" s="34">
        <f>RTD("fxbluelabs.excelrtd", , "21422436","@bh,GBPUSD,d1,close,17")</f>
        <v>1.28356</v>
      </c>
      <c r="P19" s="34">
        <f>RTD("fxbluelabs.excelrtd", , "21422436","@bh,GBPAUD,d1,close,17")</f>
        <v>1.96339</v>
      </c>
      <c r="Q19" s="34">
        <f>RTD("fxbluelabs.excelrtd", , "21422436","@bh,GBPNZD,d1,close,17")</f>
        <v>2.1742300000000001</v>
      </c>
      <c r="R19" s="34">
        <f>RTD("fxbluelabs.excelrtd", , "21422436","@bh,GBPCAD,d1,close,17")</f>
        <v>1.77779</v>
      </c>
      <c r="S19" s="34">
        <f>RTD("fxbluelabs.excelrtd", , "21422436","@bh,GBPCHF,d1,close,17")</f>
        <v>1.1329800000000001</v>
      </c>
      <c r="T19" s="35">
        <f>RTD("fxbluelabs.excelrtd", , "21422436","@bh,GBPJPY,d1,close,17")</f>
        <v>196.06700000000001</v>
      </c>
      <c r="U19" s="35">
        <f>RTD("fxbluelabs.excelrtd", , "21422436","@bh,NZDJPY,d1,close,17")</f>
        <v>90.158000000000001</v>
      </c>
      <c r="V19" s="34">
        <f>RTD("fxbluelabs.excelrtd", , "21422436","@bh,NZDCHF,d1,close,17")</f>
        <v>0.52087000000000006</v>
      </c>
      <c r="W19" s="34">
        <f>RTD("fxbluelabs.excelrtd", , "21422436","@bh,NZDUSD,d1,close,17")</f>
        <v>0.59031</v>
      </c>
      <c r="X19" s="34">
        <f>RTD("fxbluelabs.excelrtd", , "21422436","@bh,NZDCAD,d1,close,17")</f>
        <v>0.81757999999999997</v>
      </c>
      <c r="Y19" s="35">
        <f>RTD("fxbluelabs.excelrtd", , "21422436","@bh,CADJPY,d1,close,17")</f>
        <v>110.286</v>
      </c>
      <c r="Z19" s="34">
        <f>RTD("fxbluelabs.excelrtd", , "21422436","@bh,CADCHF,d1,close,17")</f>
        <v>0.63729999999999998</v>
      </c>
      <c r="AA19" s="35">
        <f>RTD("fxbluelabs.excelrtd", , "21422436","@bh,CHFJPY,d1,close,17")</f>
        <v>173.011</v>
      </c>
      <c r="AB19" s="34">
        <f>RTD("fxbluelabs.excelrtd", , "21422436","@bh,USDCAD,d1,close,17")</f>
        <v>1.3851</v>
      </c>
      <c r="AC19" s="34">
        <f>RTD("fxbluelabs.excelrtd", , "21422436","@bh,USDCHF,d1,close,17")</f>
        <v>0.88270000000000004</v>
      </c>
      <c r="AD19" s="35">
        <f>RTD("fxbluelabs.excelrtd", , "21422436","@bh,USDJPY,d1,close,17")</f>
        <v>152.75399999999999</v>
      </c>
      <c r="AH19" s="21">
        <v>18</v>
      </c>
      <c r="AI19" s="22">
        <f t="shared" si="35"/>
        <v>-0.17865050159563978</v>
      </c>
      <c r="AJ19" s="22">
        <f t="shared" si="35"/>
        <v>-0.63796568803387677</v>
      </c>
      <c r="AK19" s="22">
        <f t="shared" si="35"/>
        <v>-1.0081684444268311</v>
      </c>
      <c r="AL19" s="22">
        <f t="shared" si="35"/>
        <v>-0.56349192672881654</v>
      </c>
      <c r="AM19" s="22">
        <f t="shared" si="35"/>
        <v>-0.18630185309712713</v>
      </c>
      <c r="AN19" s="22">
        <f t="shared" si="35"/>
        <v>-6.3763723062144631E-2</v>
      </c>
      <c r="AO19" s="22">
        <f t="shared" si="35"/>
        <v>-7.1385682834071942E-2</v>
      </c>
      <c r="AP19" s="22">
        <f t="shared" si="35"/>
        <v>0.13787365543471075</v>
      </c>
      <c r="AQ19" s="22">
        <f t="shared" si="35"/>
        <v>-0.44739696312363436</v>
      </c>
      <c r="AR19" s="22">
        <f t="shared" si="35"/>
        <v>-0.89211257296784607</v>
      </c>
      <c r="AS19" s="22">
        <f t="shared" si="35"/>
        <v>0.11680828915195896</v>
      </c>
      <c r="AT19" s="22">
        <f t="shared" si="35"/>
        <v>-0.52400940501854054</v>
      </c>
      <c r="AU19" s="22">
        <f t="shared" si="35"/>
        <v>-0.19827230952251768</v>
      </c>
      <c r="AV19" s="22">
        <f t="shared" si="35"/>
        <v>-1.7313989194034159E-2</v>
      </c>
      <c r="AW19" s="22">
        <f t="shared" si="35"/>
        <v>-0.65658411770081304</v>
      </c>
      <c r="AX19" s="22">
        <f t="shared" si="35"/>
        <v>-0.20545061607117779</v>
      </c>
      <c r="AY19" s="22">
        <f t="shared" si="39"/>
        <v>-0.58265035713658753</v>
      </c>
      <c r="AZ19" s="22">
        <f t="shared" si="39"/>
        <v>-1.027748191597301</v>
      </c>
      <c r="BA19" s="22">
        <f t="shared" si="39"/>
        <v>-0.36909340052159656</v>
      </c>
      <c r="BB19" s="22">
        <f t="shared" si="39"/>
        <v>6.7240451855850397E-2</v>
      </c>
      <c r="BC19" s="22">
        <f t="shared" si="39"/>
        <v>0.46461758398856501</v>
      </c>
      <c r="BD19" s="22">
        <f t="shared" si="39"/>
        <v>0.45708107045437119</v>
      </c>
      <c r="BE19" s="22">
        <f t="shared" si="39"/>
        <v>-0.8219424460431668</v>
      </c>
      <c r="BF19" s="22">
        <f t="shared" si="39"/>
        <v>-0.37517586368611355</v>
      </c>
      <c r="BG19" s="22">
        <f t="shared" si="39"/>
        <v>-0.46370608168361643</v>
      </c>
      <c r="BH19" s="22">
        <f t="shared" si="39"/>
        <v>-7.2191741264791354E-3</v>
      </c>
      <c r="BI19" s="22">
        <f t="shared" si="39"/>
        <v>-0.38595224123143351</v>
      </c>
      <c r="BJ19" s="22">
        <f t="shared" si="39"/>
        <v>-0.83098536686705615</v>
      </c>
      <c r="BN19">
        <v>18</v>
      </c>
      <c r="BO19" s="23">
        <f t="shared" si="5"/>
        <v>-2.9493642758843843</v>
      </c>
      <c r="BP19" s="23">
        <f t="shared" si="2"/>
        <v>-0.49578460044848904</v>
      </c>
      <c r="BQ19" s="23">
        <f t="shared" si="38"/>
        <v>-6.5432168432582083</v>
      </c>
      <c r="BR19" s="23">
        <f t="shared" si="38"/>
        <v>-4.1791960471371921</v>
      </c>
      <c r="BS19" s="23">
        <f t="shared" si="38"/>
        <v>-1.6597601985057455</v>
      </c>
      <c r="BT19" s="23">
        <f t="shared" si="38"/>
        <v>-0.77363703356486291</v>
      </c>
      <c r="BU19" s="23">
        <f t="shared" si="38"/>
        <v>0.51975086676166016</v>
      </c>
      <c r="BV19" s="23">
        <f t="shared" si="38"/>
        <v>0.29209998931186276</v>
      </c>
      <c r="BW19" s="23">
        <f t="shared" si="38"/>
        <v>-2.0161858691078351</v>
      </c>
      <c r="BX19" s="23">
        <f t="shared" si="38"/>
        <v>-4.3811210920534425</v>
      </c>
      <c r="BY19" s="23">
        <f t="shared" si="38"/>
        <v>2.1920051172340078</v>
      </c>
      <c r="BZ19" s="23">
        <f t="shared" si="38"/>
        <v>1.6876145886294767</v>
      </c>
      <c r="CA19" s="23">
        <f t="shared" si="38"/>
        <v>-1.0612631576188039</v>
      </c>
      <c r="CB19" s="23">
        <f t="shared" si="38"/>
        <v>1.9015519973149841</v>
      </c>
      <c r="CC19" s="23">
        <f t="shared" si="38"/>
        <v>1.398430106711166</v>
      </c>
      <c r="CD19" s="23">
        <f t="shared" si="38"/>
        <v>0.23213579609241999</v>
      </c>
      <c r="CE19" s="23">
        <f t="shared" si="38"/>
        <v>-2.3006480978811106</v>
      </c>
      <c r="CF19" s="23">
        <f t="shared" si="38"/>
        <v>-4.670730107827433</v>
      </c>
      <c r="CG19" s="23">
        <f t="shared" si="38"/>
        <v>-6.0520814582809326</v>
      </c>
      <c r="CH19" s="23">
        <f t="shared" si="38"/>
        <v>-3.7077151797967165</v>
      </c>
      <c r="CI19" s="23">
        <f t="shared" si="38"/>
        <v>-2.4411248094976243</v>
      </c>
      <c r="CJ19" s="23">
        <f t="shared" si="38"/>
        <v>-1.1524416165941687</v>
      </c>
      <c r="CK19" s="23">
        <f t="shared" si="38"/>
        <v>-4.8891521400505784</v>
      </c>
      <c r="CL19" s="23">
        <f t="shared" si="37"/>
        <v>-2.5217712948061131</v>
      </c>
      <c r="CM19" s="23">
        <f t="shared" si="37"/>
        <v>-2.3841512379893484</v>
      </c>
      <c r="CN19" s="23">
        <f t="shared" si="37"/>
        <v>1.2959301139312653</v>
      </c>
      <c r="CO19" s="23">
        <f t="shared" si="37"/>
        <v>-1.2365633160636489</v>
      </c>
      <c r="CP19" s="23">
        <f t="shared" si="37"/>
        <v>-3.6047544996924783</v>
      </c>
      <c r="CU19" s="21">
        <v>18</v>
      </c>
      <c r="CV19" s="24">
        <f t="shared" si="6"/>
        <v>-2.4794734327891339</v>
      </c>
      <c r="CW19" s="24">
        <f t="shared" si="7"/>
        <v>3.6800015747408135</v>
      </c>
      <c r="CX19" s="24">
        <f t="shared" si="8"/>
        <v>-6.6465383965421214</v>
      </c>
      <c r="CY19" s="24">
        <f t="shared" si="9"/>
        <v>11.056157271997154</v>
      </c>
      <c r="CZ19" s="24">
        <f t="shared" si="10"/>
        <v>-4.7926234525206404</v>
      </c>
      <c r="DA19" s="24">
        <f t="shared" si="11"/>
        <v>-19.920879079783013</v>
      </c>
      <c r="DB19" s="24">
        <f t="shared" si="12"/>
        <v>-15.943623159061596</v>
      </c>
      <c r="DC19" s="24">
        <f t="shared" si="13"/>
        <v>32.52520737915242</v>
      </c>
      <c r="DF19" s="48">
        <v>18</v>
      </c>
      <c r="DG19" s="47">
        <f t="shared" si="36"/>
        <v>1.2959301139312653</v>
      </c>
      <c r="DH19" s="47">
        <f t="shared" si="14"/>
        <v>0.51975086676166016</v>
      </c>
      <c r="DI19" s="47">
        <f t="shared" si="15"/>
        <v>-1.2365633160636489</v>
      </c>
      <c r="DJ19" s="47">
        <f t="shared" si="16"/>
        <v>-2.0161858691078351</v>
      </c>
      <c r="DK19" s="47">
        <f t="shared" si="17"/>
        <v>1.0612631576188039</v>
      </c>
      <c r="DL19" s="47">
        <f t="shared" si="18"/>
        <v>0.29209998931186276</v>
      </c>
      <c r="DM19" s="47">
        <f t="shared" si="19"/>
        <v>2.9493642758843843</v>
      </c>
      <c r="DN19" s="47">
        <f t="shared" si="20"/>
        <v>2.1920051172340078</v>
      </c>
      <c r="DO19" s="47">
        <f t="shared" si="21"/>
        <v>2.4411248094976243</v>
      </c>
      <c r="DP19" s="47">
        <f t="shared" si="22"/>
        <v>1.6876145886294767</v>
      </c>
      <c r="DQ19" s="47">
        <f t="shared" si="23"/>
        <v>-3.6047544996924783</v>
      </c>
      <c r="DR19" s="47">
        <f t="shared" si="24"/>
        <v>-4.3811210920534425</v>
      </c>
      <c r="DS19" s="47">
        <f t="shared" si="25"/>
        <v>0.77363703356486291</v>
      </c>
      <c r="DT19" s="47">
        <f t="shared" si="26"/>
        <v>-0.77363703356486291</v>
      </c>
      <c r="DX19">
        <v>18</v>
      </c>
      <c r="DY19" s="19">
        <f t="shared" si="27"/>
        <v>-6.1594750075299469</v>
      </c>
      <c r="EM19" s="21">
        <v>18</v>
      </c>
      <c r="EN19" s="16">
        <f t="shared" si="28"/>
        <v>-2.4794734327891339</v>
      </c>
      <c r="EO19" s="16">
        <f t="shared" si="4"/>
        <v>3.6800015747408135</v>
      </c>
      <c r="EP19" s="16">
        <f t="shared" si="29"/>
        <v>-6.6465383965421214</v>
      </c>
      <c r="EQ19" s="16">
        <f t="shared" si="30"/>
        <v>11.056157271997154</v>
      </c>
      <c r="ER19" s="16">
        <f t="shared" si="31"/>
        <v>-4.7926234525206404</v>
      </c>
      <c r="ES19" s="16">
        <f t="shared" si="32"/>
        <v>-19.920879079783013</v>
      </c>
      <c r="ET19" s="16">
        <f t="shared" si="33"/>
        <v>-15.943623159061596</v>
      </c>
      <c r="EU19" s="16">
        <f t="shared" si="34"/>
        <v>32.52520737915242</v>
      </c>
      <c r="FK19" s="20"/>
      <c r="FL19" s="20"/>
    </row>
    <row r="20" spans="1:168" ht="14.4" thickBot="1" x14ac:dyDescent="0.35">
      <c r="A20" s="37" t="s">
        <v>51</v>
      </c>
      <c r="B20" s="38">
        <v>18</v>
      </c>
      <c r="C20" s="34">
        <f>RTD("fxbluelabs.excelrtd", , "21422436","@bh,AUDUSD,d1,close,18")</f>
        <v>0.65490999999999999</v>
      </c>
      <c r="D20" s="34">
        <f>RTD("fxbluelabs.excelrtd", , "21422436","@bh,AUDNZD,d1,close,18")</f>
        <v>1.1144799999999999</v>
      </c>
      <c r="E20" s="35">
        <f>RTD("fxbluelabs.excelrtd", , "21422436","@bh,AUDJPY,d1,close,18")</f>
        <v>100.876</v>
      </c>
      <c r="F20" s="34">
        <f>RTD("fxbluelabs.excelrtd", , "21422436","@bh,AUDCHF,d1,close,18")</f>
        <v>0.58030999999999999</v>
      </c>
      <c r="G20" s="34">
        <f>RTD("fxbluelabs.excelrtd", , "21422436","@bh,AUDCAD,d1,close,18")</f>
        <v>0.90712999999999999</v>
      </c>
      <c r="H20" s="34">
        <f>RTD("fxbluelabs.excelrtd", , "21422436","@bh,EURUSD,d1,close,18")</f>
        <v>1.08212</v>
      </c>
      <c r="I20" s="34">
        <f>RTD("fxbluelabs.excelrtd", , "21422436","@bh,EURCAD,d1,close,18")</f>
        <v>1.4988999999999999</v>
      </c>
      <c r="J20" s="34">
        <f>RTD("fxbluelabs.excelrtd", , "21422436","@bh,EURGBP,d1,close,18")</f>
        <v>0.84135000000000004</v>
      </c>
      <c r="K20" s="34">
        <f>RTD("fxbluelabs.excelrtd", , "21422436","@bh,EURCHF,d1,close,18")</f>
        <v>0.95887999999999995</v>
      </c>
      <c r="L20" s="35">
        <f>RTD("fxbluelabs.excelrtd", , "21422436","@bh,EURJPY,d1,close,18")</f>
        <v>166.68299999999999</v>
      </c>
      <c r="M20" s="34">
        <f>RTD("fxbluelabs.excelrtd", , "21422436","@bh,EURAUD,d1,close,18")</f>
        <v>1.65228</v>
      </c>
      <c r="N20" s="34">
        <f>RTD("fxbluelabs.excelrtd", , "21422436","@bh,EURNZD,d1,close,18")</f>
        <v>1.8415699999999999</v>
      </c>
      <c r="O20" s="34">
        <f>RTD("fxbluelabs.excelrtd", , "21422436","@bh,GBPUSD,d1,close,18")</f>
        <v>1.2861100000000001</v>
      </c>
      <c r="P20" s="34">
        <f>RTD("fxbluelabs.excelrtd", , "21422436","@bh,GBPAUD,d1,close,18")</f>
        <v>1.96373</v>
      </c>
      <c r="Q20" s="34">
        <f>RTD("fxbluelabs.excelrtd", , "21422436","@bh,GBPNZD,d1,close,18")</f>
        <v>2.1886000000000001</v>
      </c>
      <c r="R20" s="34">
        <f>RTD("fxbluelabs.excelrtd", , "21422436","@bh,GBPCAD,d1,close,18")</f>
        <v>1.78145</v>
      </c>
      <c r="S20" s="34">
        <f>RTD("fxbluelabs.excelrtd", , "21422436","@bh,GBPCHF,d1,close,18")</f>
        <v>1.1396200000000001</v>
      </c>
      <c r="T20" s="35">
        <f>RTD("fxbluelabs.excelrtd", , "21422436","@bh,GBPJPY,d1,close,18")</f>
        <v>198.10300000000001</v>
      </c>
      <c r="U20" s="35">
        <f>RTD("fxbluelabs.excelrtd", , "21422436","@bh,NZDJPY,d1,close,18")</f>
        <v>90.492000000000004</v>
      </c>
      <c r="V20" s="34">
        <f>RTD("fxbluelabs.excelrtd", , "21422436","@bh,NZDCHF,d1,close,18")</f>
        <v>0.52051999999999998</v>
      </c>
      <c r="W20" s="34">
        <f>RTD("fxbluelabs.excelrtd", , "21422436","@bh,NZDUSD,d1,close,18")</f>
        <v>0.58757999999999999</v>
      </c>
      <c r="X20" s="34">
        <f>RTD("fxbluelabs.excelrtd", , "21422436","@bh,NZDCAD,d1,close,18")</f>
        <v>0.81386000000000003</v>
      </c>
      <c r="Y20" s="35">
        <f>RTD("fxbluelabs.excelrtd", , "21422436","@bh,CADJPY,d1,close,18")</f>
        <v>111.2</v>
      </c>
      <c r="Z20" s="34">
        <f>RTD("fxbluelabs.excelrtd", , "21422436","@bh,CADCHF,d1,close,18")</f>
        <v>0.63970000000000005</v>
      </c>
      <c r="AA20" s="35">
        <f>RTD("fxbluelabs.excelrtd", , "21422436","@bh,CHFJPY,d1,close,18")</f>
        <v>173.81700000000001</v>
      </c>
      <c r="AB20" s="34">
        <f>RTD("fxbluelabs.excelrtd", , "21422436","@bh,USDCAD,d1,close,18")</f>
        <v>1.3852</v>
      </c>
      <c r="AC20" s="34">
        <f>RTD("fxbluelabs.excelrtd", , "21422436","@bh,USDCHF,d1,close,18")</f>
        <v>0.88612000000000002</v>
      </c>
      <c r="AD20" s="35">
        <f>RTD("fxbluelabs.excelrtd", , "21422436","@bh,USDJPY,d1,close,18")</f>
        <v>154.03399999999999</v>
      </c>
      <c r="AH20" s="21">
        <v>19</v>
      </c>
      <c r="AI20" s="27">
        <f t="shared" ref="AI20:AX28" si="40">IF(C20=0,0,(C20-C21)*100/C21)</f>
        <v>4.1244042527189363E-2</v>
      </c>
      <c r="AJ20" s="27">
        <f t="shared" si="40"/>
        <v>0.24014894631276479</v>
      </c>
      <c r="AK20" s="27">
        <f t="shared" si="40"/>
        <v>0.21259263674474838</v>
      </c>
      <c r="AL20" s="27">
        <f t="shared" si="40"/>
        <v>0.31634628682063309</v>
      </c>
      <c r="AM20" s="27">
        <f t="shared" si="40"/>
        <v>0.1634185391707654</v>
      </c>
      <c r="AN20" s="27">
        <f t="shared" si="40"/>
        <v>-0.31505057390791485</v>
      </c>
      <c r="AO20" s="27">
        <f t="shared" si="40"/>
        <v>-0.19376618879886204</v>
      </c>
      <c r="AP20" s="27">
        <f t="shared" si="40"/>
        <v>-0.27380698385604668</v>
      </c>
      <c r="AQ20" s="27">
        <f t="shared" si="40"/>
        <v>-4.1697940121764962E-2</v>
      </c>
      <c r="AR20" s="27">
        <f t="shared" si="40"/>
        <v>-0.14557348765320863</v>
      </c>
      <c r="AS20" s="27">
        <f t="shared" si="40"/>
        <v>-0.34799915563463424</v>
      </c>
      <c r="AT20" s="27">
        <f t="shared" si="40"/>
        <v>-0.11498679279055166</v>
      </c>
      <c r="AU20" s="27">
        <f t="shared" si="40"/>
        <v>-3.0314807617558528E-2</v>
      </c>
      <c r="AV20" s="27">
        <f t="shared" si="40"/>
        <v>-6.3613879021668082E-2</v>
      </c>
      <c r="AW20" s="27">
        <f t="shared" si="40"/>
        <v>0.16475972540045983</v>
      </c>
      <c r="AX20" s="27">
        <f t="shared" si="40"/>
        <v>9.214466712739483E-2</v>
      </c>
      <c r="AY20" s="27">
        <f t="shared" si="39"/>
        <v>0.24453748988424093</v>
      </c>
      <c r="AZ20" s="27">
        <f t="shared" si="39"/>
        <v>0.14103445486897259</v>
      </c>
      <c r="BA20" s="27">
        <f t="shared" si="39"/>
        <v>-4.08708811540964E-2</v>
      </c>
      <c r="BB20" s="27">
        <f t="shared" si="39"/>
        <v>5.3821313240032857E-2</v>
      </c>
      <c r="BC20" s="27">
        <f t="shared" si="39"/>
        <v>-0.19533572265724261</v>
      </c>
      <c r="BD20" s="27">
        <f t="shared" si="39"/>
        <v>-7.6122188390132836E-2</v>
      </c>
      <c r="BE20" s="27">
        <f t="shared" si="39"/>
        <v>5.7587100489496799E-2</v>
      </c>
      <c r="BF20" s="27">
        <f t="shared" si="39"/>
        <v>0.16284094823537421</v>
      </c>
      <c r="BG20" s="27">
        <f t="shared" si="39"/>
        <v>-0.10402418418601546</v>
      </c>
      <c r="BH20" s="27">
        <f t="shared" si="39"/>
        <v>0.12070573099246568</v>
      </c>
      <c r="BI20" s="27">
        <f t="shared" si="39"/>
        <v>0.27498330862633313</v>
      </c>
      <c r="BJ20" s="27">
        <f t="shared" si="39"/>
        <v>0.16973070695115247</v>
      </c>
      <c r="BN20">
        <v>19</v>
      </c>
      <c r="BO20" s="28">
        <f t="shared" si="5"/>
        <v>-2.7707137742887444</v>
      </c>
      <c r="BP20" s="28">
        <f t="shared" si="2"/>
        <v>0.14218108758538778</v>
      </c>
      <c r="BQ20" s="28">
        <f t="shared" si="38"/>
        <v>-5.5350483988313774</v>
      </c>
      <c r="BR20" s="28">
        <f t="shared" si="38"/>
        <v>-3.6157041204083753</v>
      </c>
      <c r="BS20" s="28">
        <f t="shared" si="38"/>
        <v>-1.4734583454086183</v>
      </c>
      <c r="BT20" s="28">
        <f t="shared" si="38"/>
        <v>-0.7098733105027184</v>
      </c>
      <c r="BU20" s="28">
        <f t="shared" si="38"/>
        <v>0.59113654959573214</v>
      </c>
      <c r="BV20" s="28">
        <f t="shared" si="38"/>
        <v>0.15422633387715196</v>
      </c>
      <c r="BW20" s="28">
        <f t="shared" si="38"/>
        <v>-1.5687889059842006</v>
      </c>
      <c r="BX20" s="28">
        <f t="shared" si="38"/>
        <v>-3.4890085190855955</v>
      </c>
      <c r="BY20" s="28">
        <f t="shared" si="38"/>
        <v>2.0751968280820488</v>
      </c>
      <c r="BZ20" s="28">
        <f t="shared" si="38"/>
        <v>2.2116239936480171</v>
      </c>
      <c r="CA20" s="28">
        <f t="shared" si="38"/>
        <v>-0.86299084809628634</v>
      </c>
      <c r="CB20" s="28">
        <f t="shared" si="38"/>
        <v>1.9188659865090183</v>
      </c>
      <c r="CC20" s="28">
        <f t="shared" si="38"/>
        <v>2.0550142244119791</v>
      </c>
      <c r="CD20" s="28">
        <f t="shared" si="38"/>
        <v>0.43758641216359773</v>
      </c>
      <c r="CE20" s="28">
        <f t="shared" si="38"/>
        <v>-1.7179977407445228</v>
      </c>
      <c r="CF20" s="28">
        <f t="shared" si="38"/>
        <v>-3.642981916230132</v>
      </c>
      <c r="CG20" s="28">
        <f t="shared" si="38"/>
        <v>-5.6829880577593359</v>
      </c>
      <c r="CH20" s="28">
        <f t="shared" si="38"/>
        <v>-3.7749556316525674</v>
      </c>
      <c r="CI20" s="28">
        <f t="shared" si="38"/>
        <v>-2.9057423934861895</v>
      </c>
      <c r="CJ20" s="28">
        <f t="shared" si="38"/>
        <v>-1.6095226870485395</v>
      </c>
      <c r="CK20" s="28">
        <f t="shared" si="38"/>
        <v>-4.0672096940074125</v>
      </c>
      <c r="CL20" s="28">
        <f t="shared" si="37"/>
        <v>-2.1465954311199993</v>
      </c>
      <c r="CM20" s="28">
        <f t="shared" si="37"/>
        <v>-1.9204451563057321</v>
      </c>
      <c r="CN20" s="28">
        <f t="shared" si="37"/>
        <v>1.3031492880577447</v>
      </c>
      <c r="CO20" s="28">
        <f t="shared" si="37"/>
        <v>-0.85061107483221554</v>
      </c>
      <c r="CP20" s="28">
        <f t="shared" si="37"/>
        <v>-2.7737691328254228</v>
      </c>
      <c r="CU20" s="21">
        <v>19</v>
      </c>
      <c r="CV20" s="29">
        <f t="shared" si="6"/>
        <v>-0.73548703036956464</v>
      </c>
      <c r="CW20" s="29">
        <f t="shared" si="7"/>
        <v>4.9280894067740455</v>
      </c>
      <c r="CX20" s="29">
        <f t="shared" si="8"/>
        <v>-5.4626963424873285</v>
      </c>
      <c r="CY20" s="29">
        <f t="shared" si="9"/>
        <v>9.6076123173161498</v>
      </c>
      <c r="CZ20" s="29">
        <f t="shared" si="10"/>
        <v>-1.9667302158634978</v>
      </c>
      <c r="DA20" s="29">
        <f t="shared" si="11"/>
        <v>-17.246806365942795</v>
      </c>
      <c r="DB20" s="29">
        <f t="shared" si="12"/>
        <v>-18.382028075592018</v>
      </c>
      <c r="DC20" s="29">
        <f t="shared" si="13"/>
        <v>27.111450875045009</v>
      </c>
      <c r="DF20" s="44">
        <v>19</v>
      </c>
      <c r="DG20" s="49">
        <f t="shared" si="36"/>
        <v>1.3031492880577447</v>
      </c>
      <c r="DH20" s="49">
        <f t="shared" si="14"/>
        <v>0.59113654959573214</v>
      </c>
      <c r="DI20" s="49">
        <f t="shared" si="15"/>
        <v>-0.85061107483221554</v>
      </c>
      <c r="DJ20" s="49">
        <f t="shared" si="16"/>
        <v>-1.5687889059842006</v>
      </c>
      <c r="DK20" s="49">
        <f t="shared" si="17"/>
        <v>0.86299084809628634</v>
      </c>
      <c r="DL20" s="49">
        <f t="shared" si="18"/>
        <v>0.15422633387715196</v>
      </c>
      <c r="DM20" s="49">
        <f t="shared" si="19"/>
        <v>2.7707137742887444</v>
      </c>
      <c r="DN20" s="49">
        <f t="shared" si="20"/>
        <v>2.0751968280820488</v>
      </c>
      <c r="DO20" s="49">
        <f t="shared" si="21"/>
        <v>2.9057423934861895</v>
      </c>
      <c r="DP20" s="49">
        <f t="shared" si="22"/>
        <v>2.2116239936480171</v>
      </c>
      <c r="DQ20" s="49">
        <f t="shared" si="23"/>
        <v>-2.7737691328254228</v>
      </c>
      <c r="DR20" s="49">
        <f t="shared" si="24"/>
        <v>-3.4890085190855955</v>
      </c>
      <c r="DS20" s="49">
        <f t="shared" si="25"/>
        <v>0.7098733105027184</v>
      </c>
      <c r="DT20" s="49">
        <f t="shared" si="26"/>
        <v>-0.7098733105027184</v>
      </c>
      <c r="DX20">
        <v>19</v>
      </c>
      <c r="DY20" s="19">
        <f t="shared" si="27"/>
        <v>-5.6635764371436101</v>
      </c>
      <c r="EM20" s="21">
        <v>19</v>
      </c>
      <c r="EN20" s="16">
        <f t="shared" si="28"/>
        <v>-0.73548703036956464</v>
      </c>
      <c r="EO20" s="16">
        <f t="shared" si="4"/>
        <v>4.9280894067740455</v>
      </c>
      <c r="EP20" s="16">
        <f t="shared" si="29"/>
        <v>-5.4626963424873285</v>
      </c>
      <c r="EQ20" s="16">
        <f t="shared" si="30"/>
        <v>9.6076123173161498</v>
      </c>
      <c r="ER20" s="16">
        <f t="shared" si="31"/>
        <v>-1.9667302158634978</v>
      </c>
      <c r="ES20" s="16">
        <f t="shared" si="32"/>
        <v>-17.246806365942795</v>
      </c>
      <c r="ET20" s="16">
        <f t="shared" si="33"/>
        <v>-18.382028075592018</v>
      </c>
      <c r="EU20" s="16">
        <f t="shared" si="34"/>
        <v>27.111450875045009</v>
      </c>
      <c r="FK20" s="20"/>
      <c r="FL20" s="20"/>
    </row>
    <row r="21" spans="1:168" ht="14.4" thickBot="1" x14ac:dyDescent="0.35">
      <c r="A21" s="37" t="s">
        <v>51</v>
      </c>
      <c r="B21" s="38">
        <v>19</v>
      </c>
      <c r="C21" s="34">
        <f>RTD("fxbluelabs.excelrtd", , "21422436","@bh,AUDUSD,d1,close,19")</f>
        <v>0.65464</v>
      </c>
      <c r="D21" s="34">
        <f>RTD("fxbluelabs.excelrtd", , "21422436","@bh,AUDNZD,d1,close,19")</f>
        <v>1.11181</v>
      </c>
      <c r="E21" s="35">
        <f>RTD("fxbluelabs.excelrtd", , "21422436","@bh,AUDJPY,d1,close,19")</f>
        <v>100.66200000000001</v>
      </c>
      <c r="F21" s="34">
        <f>RTD("fxbluelabs.excelrtd", , "21422436","@bh,AUDCHF,d1,close,19")</f>
        <v>0.57847999999999999</v>
      </c>
      <c r="G21" s="34">
        <f>RTD("fxbluelabs.excelrtd", , "21422436","@bh,AUDCAD,d1,close,19")</f>
        <v>0.90564999999999996</v>
      </c>
      <c r="H21" s="34">
        <f>RTD("fxbluelabs.excelrtd", , "21422436","@bh,EURUSD,d1,close,19")</f>
        <v>1.0855399999999999</v>
      </c>
      <c r="I21" s="34">
        <f>RTD("fxbluelabs.excelrtd", , "21422436","@bh,EURCAD,d1,close,19")</f>
        <v>1.5018100000000001</v>
      </c>
      <c r="J21" s="34">
        <f>RTD("fxbluelabs.excelrtd", , "21422436","@bh,EURGBP,d1,close,19")</f>
        <v>0.84365999999999997</v>
      </c>
      <c r="K21" s="34">
        <f>RTD("fxbluelabs.excelrtd", , "21422436","@bh,EURCHF,d1,close,19")</f>
        <v>0.95928000000000002</v>
      </c>
      <c r="L21" s="35">
        <f>RTD("fxbluelabs.excelrtd", , "21422436","@bh,EURJPY,d1,close,19")</f>
        <v>166.92599999999999</v>
      </c>
      <c r="M21" s="34">
        <f>RTD("fxbluelabs.excelrtd", , "21422436","@bh,EURAUD,d1,close,19")</f>
        <v>1.65805</v>
      </c>
      <c r="N21" s="34">
        <f>RTD("fxbluelabs.excelrtd", , "21422436","@bh,EURNZD,d1,close,19")</f>
        <v>1.8436900000000001</v>
      </c>
      <c r="O21" s="34">
        <f>RTD("fxbluelabs.excelrtd", , "21422436","@bh,GBPUSD,d1,close,19")</f>
        <v>1.2865</v>
      </c>
      <c r="P21" s="34">
        <f>RTD("fxbluelabs.excelrtd", , "21422436","@bh,GBPAUD,d1,close,19")</f>
        <v>1.9649799999999999</v>
      </c>
      <c r="Q21" s="34">
        <f>RTD("fxbluelabs.excelrtd", , "21422436","@bh,GBPNZD,d1,close,19")</f>
        <v>2.1850000000000001</v>
      </c>
      <c r="R21" s="34">
        <f>RTD("fxbluelabs.excelrtd", , "21422436","@bh,GBPCAD,d1,close,19")</f>
        <v>1.7798099999999999</v>
      </c>
      <c r="S21" s="34">
        <f>RTD("fxbluelabs.excelrtd", , "21422436","@bh,GBPCHF,d1,close,19")</f>
        <v>1.1368400000000001</v>
      </c>
      <c r="T21" s="35">
        <f>RTD("fxbluelabs.excelrtd", , "21422436","@bh,GBPJPY,d1,close,19")</f>
        <v>197.82400000000001</v>
      </c>
      <c r="U21" s="35">
        <f>RTD("fxbluelabs.excelrtd", , "21422436","@bh,NZDJPY,d1,close,19")</f>
        <v>90.528999999999996</v>
      </c>
      <c r="V21" s="34">
        <f>RTD("fxbluelabs.excelrtd", , "21422436","@bh,NZDCHF,d1,close,19")</f>
        <v>0.52024000000000004</v>
      </c>
      <c r="W21" s="34">
        <f>RTD("fxbluelabs.excelrtd", , "21422436","@bh,NZDUSD,d1,close,19")</f>
        <v>0.58872999999999998</v>
      </c>
      <c r="X21" s="34">
        <f>RTD("fxbluelabs.excelrtd", , "21422436","@bh,NZDCAD,d1,close,19")</f>
        <v>0.81447999999999998</v>
      </c>
      <c r="Y21" s="35">
        <f>RTD("fxbluelabs.excelrtd", , "21422436","@bh,CADJPY,d1,close,19")</f>
        <v>111.136</v>
      </c>
      <c r="Z21" s="34">
        <f>RTD("fxbluelabs.excelrtd", , "21422436","@bh,CADCHF,d1,close,19")</f>
        <v>0.63866000000000001</v>
      </c>
      <c r="AA21" s="35">
        <f>RTD("fxbluelabs.excelrtd", , "21422436","@bh,CHFJPY,d1,close,19")</f>
        <v>173.99799999999999</v>
      </c>
      <c r="AB21" s="34">
        <f>RTD("fxbluelabs.excelrtd", , "21422436","@bh,USDCAD,d1,close,19")</f>
        <v>1.3835299999999999</v>
      </c>
      <c r="AC21" s="34">
        <f>RTD("fxbluelabs.excelrtd", , "21422436","@bh,USDCHF,d1,close,19")</f>
        <v>0.88368999999999998</v>
      </c>
      <c r="AD21" s="35">
        <f>RTD("fxbluelabs.excelrtd", , "21422436","@bh,USDJPY,d1,close,19")</f>
        <v>153.773</v>
      </c>
      <c r="AH21" s="21">
        <v>20</v>
      </c>
      <c r="AI21" s="22">
        <f t="shared" si="40"/>
        <v>0.12847965738757294</v>
      </c>
      <c r="AJ21" s="22">
        <f t="shared" si="40"/>
        <v>0.1179648806843694</v>
      </c>
      <c r="AK21" s="22">
        <f t="shared" si="40"/>
        <v>1.6891052710030423E-2</v>
      </c>
      <c r="AL21" s="22">
        <f t="shared" si="40"/>
        <v>0.36434296818071249</v>
      </c>
      <c r="AM21" s="22">
        <f t="shared" si="40"/>
        <v>0.20469130338569452</v>
      </c>
      <c r="AN21" s="22">
        <f>IF(H21=0,0,(H21-H22)*100/H22)</f>
        <v>9.6819703270661361E-2</v>
      </c>
      <c r="AO21" s="22">
        <f t="shared" si="40"/>
        <v>0.17409284951974394</v>
      </c>
      <c r="AP21" s="22">
        <f t="shared" si="40"/>
        <v>-3.4362225250312517E-2</v>
      </c>
      <c r="AQ21" s="22">
        <f t="shared" si="40"/>
        <v>0.33260119234390462</v>
      </c>
      <c r="AR21" s="22">
        <f t="shared" si="40"/>
        <v>-1.3177755947971692E-2</v>
      </c>
      <c r="AS21" s="22">
        <f t="shared" si="40"/>
        <v>-4.0995219233993109E-2</v>
      </c>
      <c r="AT21" s="22">
        <f t="shared" si="40"/>
        <v>8.4684577092822205E-2</v>
      </c>
      <c r="AU21" s="22">
        <f t="shared" si="40"/>
        <v>0.12062726176115338</v>
      </c>
      <c r="AV21" s="22">
        <f t="shared" si="40"/>
        <v>-1.8317441256990544E-2</v>
      </c>
      <c r="AW21" s="22">
        <f t="shared" si="40"/>
        <v>0.11179532292353922</v>
      </c>
      <c r="AX21" s="22">
        <f t="shared" si="40"/>
        <v>0.19647360835885389</v>
      </c>
      <c r="AY21" s="22">
        <f t="shared" si="39"/>
        <v>0.35575250924691498</v>
      </c>
      <c r="AZ21" s="22">
        <f t="shared" si="39"/>
        <v>9.6054194787823649E-3</v>
      </c>
      <c r="BA21" s="22">
        <f t="shared" si="39"/>
        <v>-8.4983334437011004E-2</v>
      </c>
      <c r="BB21" s="22">
        <f t="shared" si="39"/>
        <v>0.25630648860111643</v>
      </c>
      <c r="BC21" s="22">
        <f t="shared" si="39"/>
        <v>1.0192467766312023E-2</v>
      </c>
      <c r="BD21" s="22">
        <f t="shared" si="39"/>
        <v>8.9708141321045584E-2</v>
      </c>
      <c r="BE21" s="22">
        <f t="shared" si="39"/>
        <v>-0.19846080623580345</v>
      </c>
      <c r="BF21" s="22">
        <f t="shared" si="39"/>
        <v>0.14582973985855868</v>
      </c>
      <c r="BG21" s="22">
        <f t="shared" si="39"/>
        <v>-0.34478808705613051</v>
      </c>
      <c r="BH21" s="22">
        <f t="shared" si="39"/>
        <v>7.2331160987457038E-2</v>
      </c>
      <c r="BI21" s="22">
        <f t="shared" si="39"/>
        <v>0.23593198806728266</v>
      </c>
      <c r="BJ21" s="22">
        <f t="shared" si="39"/>
        <v>-0.10978160605943221</v>
      </c>
      <c r="BN21">
        <v>20</v>
      </c>
      <c r="BO21" s="23">
        <f t="shared" si="5"/>
        <v>-2.811957816815934</v>
      </c>
      <c r="BP21" s="23">
        <f t="shared" si="2"/>
        <v>-9.7967858727376997E-2</v>
      </c>
      <c r="BQ21" s="23">
        <f t="shared" si="38"/>
        <v>-5.7476410355761258</v>
      </c>
      <c r="BR21" s="23">
        <f t="shared" si="38"/>
        <v>-3.9320504072290086</v>
      </c>
      <c r="BS21" s="23">
        <f t="shared" si="38"/>
        <v>-1.636876884579384</v>
      </c>
      <c r="BT21" s="23">
        <f t="shared" si="38"/>
        <v>-0.39482273659480349</v>
      </c>
      <c r="BU21" s="23">
        <f t="shared" si="38"/>
        <v>0.78490273839459412</v>
      </c>
      <c r="BV21" s="23">
        <f t="shared" si="38"/>
        <v>0.42803331773319864</v>
      </c>
      <c r="BW21" s="23">
        <f t="shared" si="38"/>
        <v>-1.5270909658624361</v>
      </c>
      <c r="BX21" s="23">
        <f t="shared" si="38"/>
        <v>-3.3434350314323869</v>
      </c>
      <c r="BY21" s="23">
        <f t="shared" si="38"/>
        <v>2.4231959837166825</v>
      </c>
      <c r="BZ21" s="23">
        <f t="shared" si="38"/>
        <v>2.3266107864385686</v>
      </c>
      <c r="CA21" s="23">
        <f t="shared" si="38"/>
        <v>-0.83267604047872745</v>
      </c>
      <c r="CB21" s="23">
        <f t="shared" si="38"/>
        <v>1.9824798655306863</v>
      </c>
      <c r="CC21" s="23">
        <f t="shared" si="38"/>
        <v>1.8902544990115193</v>
      </c>
      <c r="CD21" s="23">
        <f t="shared" si="38"/>
        <v>0.34544174503620284</v>
      </c>
      <c r="CE21" s="23">
        <f t="shared" si="38"/>
        <v>-1.9625352306287638</v>
      </c>
      <c r="CF21" s="23">
        <f t="shared" si="38"/>
        <v>-3.784016371099105</v>
      </c>
      <c r="CG21" s="23">
        <f t="shared" si="38"/>
        <v>-5.6421171766052396</v>
      </c>
      <c r="CH21" s="23">
        <f t="shared" si="38"/>
        <v>-3.8287769448926001</v>
      </c>
      <c r="CI21" s="23">
        <f t="shared" si="38"/>
        <v>-2.7104066708289469</v>
      </c>
      <c r="CJ21" s="23">
        <f t="shared" si="38"/>
        <v>-1.5334004986584064</v>
      </c>
      <c r="CK21" s="23">
        <f t="shared" si="38"/>
        <v>-4.1247967944969091</v>
      </c>
      <c r="CL21" s="23">
        <f t="shared" si="37"/>
        <v>-2.3094363793553732</v>
      </c>
      <c r="CM21" s="23">
        <f t="shared" si="37"/>
        <v>-1.8164209721197166</v>
      </c>
      <c r="CN21" s="23">
        <f t="shared" si="37"/>
        <v>1.1824435570652789</v>
      </c>
      <c r="CO21" s="23">
        <f t="shared" si="37"/>
        <v>-1.1255943834585489</v>
      </c>
      <c r="CP21" s="23">
        <f t="shared" si="37"/>
        <v>-2.943499839776575</v>
      </c>
      <c r="CU21" s="21">
        <v>20</v>
      </c>
      <c r="CV21" s="24">
        <f t="shared" si="6"/>
        <v>0.69739409239341743</v>
      </c>
      <c r="CW21" s="24">
        <f t="shared" si="7"/>
        <v>3.863212598548567</v>
      </c>
      <c r="CX21" s="24">
        <f t="shared" si="8"/>
        <v>-5.5767438311105675</v>
      </c>
      <c r="CY21" s="24">
        <f t="shared" si="9"/>
        <v>10.55962695995164</v>
      </c>
      <c r="CZ21" s="24">
        <f t="shared" si="10"/>
        <v>-2.7890848503613861</v>
      </c>
      <c r="DA21" s="24">
        <f t="shared" si="11"/>
        <v>-18.632169852175196</v>
      </c>
      <c r="DB21" s="24">
        <f t="shared" si="12"/>
        <v>-17.833598717707904</v>
      </c>
      <c r="DC21" s="24">
        <f t="shared" si="13"/>
        <v>27.401927221106053</v>
      </c>
      <c r="DF21" s="46">
        <v>20</v>
      </c>
      <c r="DG21" s="47">
        <f t="shared" si="36"/>
        <v>1.1824435570652789</v>
      </c>
      <c r="DH21" s="47">
        <f t="shared" si="14"/>
        <v>0.78490273839459412</v>
      </c>
      <c r="DI21" s="47">
        <f t="shared" si="15"/>
        <v>-1.1255943834585489</v>
      </c>
      <c r="DJ21" s="47">
        <f t="shared" si="16"/>
        <v>-1.5270909658624361</v>
      </c>
      <c r="DK21" s="47">
        <f t="shared" si="17"/>
        <v>0.83267604047872745</v>
      </c>
      <c r="DL21" s="47">
        <f t="shared" si="18"/>
        <v>0.42803331773319864</v>
      </c>
      <c r="DM21" s="47">
        <f t="shared" si="19"/>
        <v>2.811957816815934</v>
      </c>
      <c r="DN21" s="47">
        <f t="shared" si="20"/>
        <v>2.4231959837166825</v>
      </c>
      <c r="DO21" s="47">
        <f t="shared" si="21"/>
        <v>2.7104066708289469</v>
      </c>
      <c r="DP21" s="47">
        <f t="shared" si="22"/>
        <v>2.3266107864385686</v>
      </c>
      <c r="DQ21" s="47">
        <f t="shared" si="23"/>
        <v>-2.943499839776575</v>
      </c>
      <c r="DR21" s="47">
        <f t="shared" si="24"/>
        <v>-3.3434350314323869</v>
      </c>
      <c r="DS21" s="47">
        <f t="shared" si="25"/>
        <v>0.39482273659480349</v>
      </c>
      <c r="DT21" s="47">
        <f t="shared" si="26"/>
        <v>-0.39482273659480349</v>
      </c>
      <c r="DX21">
        <v>20</v>
      </c>
      <c r="DY21" s="19">
        <f t="shared" si="27"/>
        <v>-3.1658185061551496</v>
      </c>
      <c r="EM21" s="21">
        <v>20</v>
      </c>
      <c r="EN21" s="16">
        <f t="shared" si="28"/>
        <v>0.69739409239341743</v>
      </c>
      <c r="EO21" s="16">
        <f t="shared" si="4"/>
        <v>3.863212598548567</v>
      </c>
      <c r="EP21" s="16">
        <f t="shared" si="29"/>
        <v>-5.5767438311105675</v>
      </c>
      <c r="EQ21" s="16">
        <f t="shared" si="30"/>
        <v>10.55962695995164</v>
      </c>
      <c r="ER21" s="16">
        <f t="shared" si="31"/>
        <v>-2.7890848503613861</v>
      </c>
      <c r="ES21" s="16">
        <f t="shared" si="32"/>
        <v>-18.632169852175196</v>
      </c>
      <c r="ET21" s="16">
        <f t="shared" si="33"/>
        <v>-17.833598717707904</v>
      </c>
      <c r="EU21" s="16">
        <f t="shared" si="34"/>
        <v>27.401927221106053</v>
      </c>
      <c r="FK21" s="20"/>
      <c r="FL21" s="20"/>
    </row>
    <row r="22" spans="1:168" ht="14.4" thickBot="1" x14ac:dyDescent="0.35">
      <c r="A22" s="37" t="s">
        <v>51</v>
      </c>
      <c r="B22" s="38">
        <v>20</v>
      </c>
      <c r="C22" s="34">
        <f>RTD("fxbluelabs.excelrtd", , "21422436","@bh,AUDUSD,d1,close,20")</f>
        <v>0.65380000000000005</v>
      </c>
      <c r="D22" s="34">
        <f>RTD("fxbluelabs.excelrtd", , "21422436","@bh,AUDNZD,d1,close,20")</f>
        <v>1.1105</v>
      </c>
      <c r="E22" s="35">
        <f>RTD("fxbluelabs.excelrtd", , "21422436","@bh,AUDJPY,d1,close,20")</f>
        <v>100.645</v>
      </c>
      <c r="F22" s="34">
        <f>RTD("fxbluelabs.excelrtd", , "21422436","@bh,AUDCHF,d1,close,20")</f>
        <v>0.57638</v>
      </c>
      <c r="G22" s="34">
        <f>RTD("fxbluelabs.excelrtd", , "21422436","@bh,AUDCAD,d1,close,20")</f>
        <v>0.90380000000000005</v>
      </c>
      <c r="H22" s="34">
        <f>RTD("fxbluelabs.excelrtd", , "21422436","@bh,EURUSD,d1,close,20")</f>
        <v>1.08449</v>
      </c>
      <c r="I22" s="34">
        <f>RTD("fxbluelabs.excelrtd", , "21422436","@bh,EURCAD,d1,close,20")</f>
        <v>1.4992000000000001</v>
      </c>
      <c r="J22" s="34">
        <f>RTD("fxbluelabs.excelrtd", , "21422436","@bh,EURGBP,d1,close,20")</f>
        <v>0.84394999999999998</v>
      </c>
      <c r="K22" s="34">
        <f>RTD("fxbluelabs.excelrtd", , "21422436","@bh,EURCHF,d1,close,20")</f>
        <v>0.95609999999999995</v>
      </c>
      <c r="L22" s="35">
        <f>RTD("fxbluelabs.excelrtd", , "21422436","@bh,EURJPY,d1,close,20")</f>
        <v>166.94800000000001</v>
      </c>
      <c r="M22" s="34">
        <f>RTD("fxbluelabs.excelrtd", , "21422436","@bh,EURAUD,d1,close,20")</f>
        <v>1.65873</v>
      </c>
      <c r="N22" s="34">
        <f>RTD("fxbluelabs.excelrtd", , "21422436","@bh,EURNZD,d1,close,20")</f>
        <v>1.84213</v>
      </c>
      <c r="O22" s="34">
        <f>RTD("fxbluelabs.excelrtd", , "21422436","@bh,GBPUSD,d1,close,20")</f>
        <v>1.28495</v>
      </c>
      <c r="P22" s="34">
        <f>RTD("fxbluelabs.excelrtd", , "21422436","@bh,GBPAUD,d1,close,20")</f>
        <v>1.9653400000000001</v>
      </c>
      <c r="Q22" s="34">
        <f>RTD("fxbluelabs.excelrtd", , "21422436","@bh,GBPNZD,d1,close,20")</f>
        <v>2.1825600000000001</v>
      </c>
      <c r="R22" s="34">
        <f>RTD("fxbluelabs.excelrtd", , "21422436","@bh,GBPCAD,d1,close,20")</f>
        <v>1.7763199999999999</v>
      </c>
      <c r="S22" s="34">
        <f>RTD("fxbluelabs.excelrtd", , "21422436","@bh,GBPCHF,d1,close,20")</f>
        <v>1.1328100000000001</v>
      </c>
      <c r="T22" s="35">
        <f>RTD("fxbluelabs.excelrtd", , "21422436","@bh,GBPJPY,d1,close,20")</f>
        <v>197.80500000000001</v>
      </c>
      <c r="U22" s="35">
        <f>RTD("fxbluelabs.excelrtd", , "21422436","@bh,NZDJPY,d1,close,20")</f>
        <v>90.605999999999995</v>
      </c>
      <c r="V22" s="34">
        <f>RTD("fxbluelabs.excelrtd", , "21422436","@bh,NZDCHF,d1,close,20")</f>
        <v>0.51890999999999998</v>
      </c>
      <c r="W22" s="34">
        <f>RTD("fxbluelabs.excelrtd", , "21422436","@bh,NZDUSD,d1,close,20")</f>
        <v>0.58867000000000003</v>
      </c>
      <c r="X22" s="34">
        <f>RTD("fxbluelabs.excelrtd", , "21422436","@bh,NZDCAD,d1,close,20")</f>
        <v>0.81374999999999997</v>
      </c>
      <c r="Y22" s="35">
        <f>RTD("fxbluelabs.excelrtd", , "21422436","@bh,CADJPY,d1,close,20")</f>
        <v>111.357</v>
      </c>
      <c r="Z22" s="34">
        <f>RTD("fxbluelabs.excelrtd", , "21422436","@bh,CADCHF,d1,close,20")</f>
        <v>0.63773000000000002</v>
      </c>
      <c r="AA22" s="35">
        <f>RTD("fxbluelabs.excelrtd", , "21422436","@bh,CHFJPY,d1,close,20")</f>
        <v>174.6</v>
      </c>
      <c r="AB22" s="34">
        <f>RTD("fxbluelabs.excelrtd", , "21422436","@bh,USDCAD,d1,close,20")</f>
        <v>1.38253</v>
      </c>
      <c r="AC22" s="34">
        <f>RTD("fxbluelabs.excelrtd", , "21422436","@bh,USDCHF,d1,close,20")</f>
        <v>0.88161</v>
      </c>
      <c r="AD22" s="35">
        <f>RTD("fxbluelabs.excelrtd", , "21422436","@bh,USDJPY,d1,close,20")</f>
        <v>153.94200000000001</v>
      </c>
      <c r="AH22" s="13">
        <v>21</v>
      </c>
      <c r="AI22" s="27">
        <f t="shared" si="40"/>
        <v>-0.65037685387794042</v>
      </c>
      <c r="AJ22" s="27">
        <f t="shared" si="40"/>
        <v>7.9306429228023279E-2</v>
      </c>
      <c r="AK22" s="27">
        <f t="shared" si="40"/>
        <v>-0.62108734719671865</v>
      </c>
      <c r="AL22" s="27">
        <f t="shared" si="40"/>
        <v>-1.0472462573822268</v>
      </c>
      <c r="AM22" s="27">
        <f t="shared" si="40"/>
        <v>-0.52500082547298954</v>
      </c>
      <c r="AN22" s="27">
        <f t="shared" si="40"/>
        <v>5.2586906782784652E-2</v>
      </c>
      <c r="AO22" s="27">
        <f t="shared" si="40"/>
        <v>0.17774332794312928</v>
      </c>
      <c r="AP22" s="27">
        <f t="shared" si="40"/>
        <v>0.49416527744700967</v>
      </c>
      <c r="AQ22" s="27">
        <f t="shared" si="40"/>
        <v>-0.3481197365129669</v>
      </c>
      <c r="AR22" s="27">
        <f t="shared" si="40"/>
        <v>8.1528906793273667E-2</v>
      </c>
      <c r="AS22" s="27">
        <f t="shared" si="40"/>
        <v>0.71098104455319966</v>
      </c>
      <c r="AT22" s="27">
        <f t="shared" si="40"/>
        <v>0.78124572585278174</v>
      </c>
      <c r="AU22" s="27">
        <f t="shared" si="40"/>
        <v>-0.44163793437415549</v>
      </c>
      <c r="AV22" s="27">
        <f t="shared" si="40"/>
        <v>0.21416115116717732</v>
      </c>
      <c r="AW22" s="27">
        <f t="shared" si="40"/>
        <v>0.29179169289727808</v>
      </c>
      <c r="AX22" s="27">
        <f t="shared" si="40"/>
        <v>-0.31650542099710932</v>
      </c>
      <c r="AY22" s="27">
        <f t="shared" si="39"/>
        <v>-0.83859277479669125</v>
      </c>
      <c r="AZ22" s="27">
        <f t="shared" si="39"/>
        <v>-0.41233687771869887</v>
      </c>
      <c r="BA22" s="27">
        <f t="shared" si="39"/>
        <v>-0.67309800482350834</v>
      </c>
      <c r="BB22" s="27">
        <f t="shared" si="39"/>
        <v>-1.1053724914714846</v>
      </c>
      <c r="BC22" s="27">
        <f t="shared" si="39"/>
        <v>-0.73185949646717763</v>
      </c>
      <c r="BD22" s="27">
        <f t="shared" si="39"/>
        <v>-0.60218888943176696</v>
      </c>
      <c r="BE22" s="27">
        <f t="shared" si="39"/>
        <v>-9.1513471321296502E-2</v>
      </c>
      <c r="BF22" s="27">
        <f t="shared" si="39"/>
        <v>-0.51945215736435657</v>
      </c>
      <c r="BG22" s="27">
        <f t="shared" si="39"/>
        <v>0.43198407813677664</v>
      </c>
      <c r="BH22" s="27">
        <f t="shared" si="39"/>
        <v>0.13109102497248459</v>
      </c>
      <c r="BI22" s="27">
        <f t="shared" si="39"/>
        <v>-0.39993221487883268</v>
      </c>
      <c r="BJ22" s="27">
        <f t="shared" si="39"/>
        <v>2.9240336068939561E-2</v>
      </c>
      <c r="BN22">
        <v>21</v>
      </c>
      <c r="BO22" s="28">
        <f t="shared" si="5"/>
        <v>-2.9404374742035069</v>
      </c>
      <c r="BP22" s="28">
        <f t="shared" si="2"/>
        <v>-0.21593273941174645</v>
      </c>
      <c r="BQ22" s="28">
        <f t="shared" si="38"/>
        <v>-5.764532088286157</v>
      </c>
      <c r="BR22" s="28">
        <f t="shared" si="38"/>
        <v>-4.2963933754097212</v>
      </c>
      <c r="BS22" s="28">
        <f t="shared" si="38"/>
        <v>-1.8415681879650783</v>
      </c>
      <c r="BT22" s="28">
        <f t="shared" si="38"/>
        <v>-0.49164243986546485</v>
      </c>
      <c r="BU22" s="28">
        <f t="shared" si="38"/>
        <v>0.61080988887485022</v>
      </c>
      <c r="BV22" s="28">
        <f t="shared" si="38"/>
        <v>0.46239554298351115</v>
      </c>
      <c r="BW22" s="28">
        <f t="shared" si="38"/>
        <v>-1.8596921582063404</v>
      </c>
      <c r="BX22" s="28">
        <f t="shared" si="38"/>
        <v>-3.3302572754844153</v>
      </c>
      <c r="BY22" s="28">
        <f t="shared" si="38"/>
        <v>2.4641912029506758</v>
      </c>
      <c r="BZ22" s="28">
        <f t="shared" si="38"/>
        <v>2.2419262093457468</v>
      </c>
      <c r="CA22" s="28">
        <f t="shared" si="38"/>
        <v>-0.95330330223988091</v>
      </c>
      <c r="CB22" s="28">
        <f t="shared" si="38"/>
        <v>2.000797306787677</v>
      </c>
      <c r="CC22" s="28">
        <f t="shared" si="38"/>
        <v>1.77845917608798</v>
      </c>
      <c r="CD22" s="28">
        <f t="shared" si="38"/>
        <v>0.14896813667734904</v>
      </c>
      <c r="CE22" s="28">
        <f t="shared" si="38"/>
        <v>-2.3182877398756787</v>
      </c>
      <c r="CF22" s="28">
        <f t="shared" si="38"/>
        <v>-3.7936217905778871</v>
      </c>
      <c r="CG22" s="28">
        <f t="shared" si="38"/>
        <v>-5.5571338421682297</v>
      </c>
      <c r="CH22" s="28">
        <f t="shared" si="38"/>
        <v>-4.0850834334937165</v>
      </c>
      <c r="CI22" s="28">
        <f t="shared" si="38"/>
        <v>-2.7205991385952588</v>
      </c>
      <c r="CJ22" s="28">
        <f t="shared" si="38"/>
        <v>-1.6231086399794523</v>
      </c>
      <c r="CK22" s="28">
        <f t="shared" si="38"/>
        <v>-3.9263359882611053</v>
      </c>
      <c r="CL22" s="28">
        <f t="shared" si="37"/>
        <v>-2.455266119213932</v>
      </c>
      <c r="CM22" s="28">
        <f t="shared" si="37"/>
        <v>-1.471632885063586</v>
      </c>
      <c r="CN22" s="28">
        <f t="shared" si="37"/>
        <v>1.1101123960778216</v>
      </c>
      <c r="CO22" s="28">
        <f t="shared" si="37"/>
        <v>-1.3615263715258312</v>
      </c>
      <c r="CP22" s="28">
        <f t="shared" si="37"/>
        <v>-2.8337182337171427</v>
      </c>
      <c r="CU22" s="13">
        <v>21</v>
      </c>
      <c r="CV22" s="29">
        <f t="shared" si="6"/>
        <v>9.7730970598563616E-2</v>
      </c>
      <c r="CW22" s="29">
        <f t="shared" si="7"/>
        <v>4.0208501457389589</v>
      </c>
      <c r="CX22" s="29">
        <f t="shared" si="8"/>
        <v>-4.7868157011605277</v>
      </c>
      <c r="CY22" s="29">
        <f t="shared" si="9"/>
        <v>12.449350193447703</v>
      </c>
      <c r="CZ22" s="29">
        <f t="shared" si="10"/>
        <v>-3.5993837561239523</v>
      </c>
      <c r="DA22" s="29">
        <f t="shared" si="11"/>
        <v>-19.523852375014563</v>
      </c>
      <c r="DB22" s="29">
        <f t="shared" si="12"/>
        <v>-17.790377700258638</v>
      </c>
      <c r="DC22" s="29">
        <f t="shared" si="13"/>
        <v>26.677232103558524</v>
      </c>
      <c r="DF22" s="48">
        <v>21</v>
      </c>
      <c r="DG22" s="49">
        <f t="shared" si="36"/>
        <v>1.1101123960778216</v>
      </c>
      <c r="DH22" s="49">
        <f t="shared" si="14"/>
        <v>0.61080988887485022</v>
      </c>
      <c r="DI22" s="49">
        <f t="shared" si="15"/>
        <v>-1.3615263715258312</v>
      </c>
      <c r="DJ22" s="49">
        <f t="shared" si="16"/>
        <v>-1.8596921582063404</v>
      </c>
      <c r="DK22" s="49">
        <f t="shared" si="17"/>
        <v>0.95330330223988091</v>
      </c>
      <c r="DL22" s="49">
        <f t="shared" si="18"/>
        <v>0.46239554298351115</v>
      </c>
      <c r="DM22" s="49">
        <f t="shared" si="19"/>
        <v>2.9404374742035069</v>
      </c>
      <c r="DN22" s="49">
        <f t="shared" si="20"/>
        <v>2.4641912029506758</v>
      </c>
      <c r="DO22" s="49">
        <f t="shared" si="21"/>
        <v>2.7205991385952588</v>
      </c>
      <c r="DP22" s="49">
        <f t="shared" si="22"/>
        <v>2.2419262093457468</v>
      </c>
      <c r="DQ22" s="49">
        <f t="shared" si="23"/>
        <v>-2.8337182337171427</v>
      </c>
      <c r="DR22" s="49">
        <f t="shared" si="24"/>
        <v>-3.3302572754844153</v>
      </c>
      <c r="DS22" s="49">
        <f t="shared" si="25"/>
        <v>0.49164243986546485</v>
      </c>
      <c r="DT22" s="49">
        <f t="shared" si="26"/>
        <v>-0.49164243986546485</v>
      </c>
      <c r="DX22">
        <v>21</v>
      </c>
      <c r="DY22" s="19">
        <f t="shared" si="27"/>
        <v>-3.9231191751403953</v>
      </c>
      <c r="EM22" s="13">
        <v>21</v>
      </c>
      <c r="EN22" s="16">
        <f t="shared" si="28"/>
        <v>9.7730970598563616E-2</v>
      </c>
      <c r="EO22" s="16">
        <f t="shared" si="4"/>
        <v>4.0208501457389589</v>
      </c>
      <c r="EP22" s="16">
        <f t="shared" si="29"/>
        <v>-4.7868157011605277</v>
      </c>
      <c r="EQ22" s="16">
        <f t="shared" si="30"/>
        <v>12.449350193447703</v>
      </c>
      <c r="ER22" s="16">
        <f t="shared" si="31"/>
        <v>-3.5993837561239523</v>
      </c>
      <c r="ES22" s="16">
        <f t="shared" si="32"/>
        <v>-19.523852375014563</v>
      </c>
      <c r="ET22" s="16">
        <f t="shared" si="33"/>
        <v>-17.790377700258638</v>
      </c>
      <c r="EU22" s="16">
        <f t="shared" si="34"/>
        <v>26.677232103558524</v>
      </c>
      <c r="FK22" s="20"/>
      <c r="FL22" s="20"/>
    </row>
    <row r="23" spans="1:168" ht="14.4" thickBot="1" x14ac:dyDescent="0.35">
      <c r="A23" s="37" t="s">
        <v>51</v>
      </c>
      <c r="B23" s="38">
        <v>21</v>
      </c>
      <c r="C23" s="34">
        <f>RTD("fxbluelabs.excelrtd", , "21422436","@bh,AUDUSD,d1,close,21")</f>
        <v>0.65808</v>
      </c>
      <c r="D23" s="34">
        <f>RTD("fxbluelabs.excelrtd", , "21422436","@bh,AUDNZD,d1,close,21")</f>
        <v>1.1096200000000001</v>
      </c>
      <c r="E23" s="35">
        <f>RTD("fxbluelabs.excelrtd", , "21422436","@bh,AUDJPY,d1,close,21")</f>
        <v>101.274</v>
      </c>
      <c r="F23" s="34">
        <f>RTD("fxbluelabs.excelrtd", , "21422436","@bh,AUDCHF,d1,close,21")</f>
        <v>0.58248</v>
      </c>
      <c r="G23" s="34">
        <f>RTD("fxbluelabs.excelrtd", , "21422436","@bh,AUDCAD,d1,close,21")</f>
        <v>0.90856999999999999</v>
      </c>
      <c r="H23" s="34">
        <f>RTD("fxbluelabs.excelrtd", , "21422436","@bh,EURUSD,d1,close,21")</f>
        <v>1.08392</v>
      </c>
      <c r="I23" s="34">
        <f>RTD("fxbluelabs.excelrtd", , "21422436","@bh,EURCAD,d1,close,21")</f>
        <v>1.49654</v>
      </c>
      <c r="J23" s="34">
        <f>RTD("fxbluelabs.excelrtd", , "21422436","@bh,EURGBP,d1,close,21")</f>
        <v>0.83979999999999999</v>
      </c>
      <c r="K23" s="34">
        <f>RTD("fxbluelabs.excelrtd", , "21422436","@bh,EURCHF,d1,close,21")</f>
        <v>0.95943999999999996</v>
      </c>
      <c r="L23" s="35">
        <f>RTD("fxbluelabs.excelrtd", , "21422436","@bh,EURJPY,d1,close,21")</f>
        <v>166.81200000000001</v>
      </c>
      <c r="M23" s="34">
        <f>RTD("fxbluelabs.excelrtd", , "21422436","@bh,EURAUD,d1,close,21")</f>
        <v>1.6470199999999999</v>
      </c>
      <c r="N23" s="34">
        <f>RTD("fxbluelabs.excelrtd", , "21422436","@bh,EURNZD,d1,close,21")</f>
        <v>1.82785</v>
      </c>
      <c r="O23" s="34">
        <f>RTD("fxbluelabs.excelrtd", , "21422436","@bh,GBPUSD,d1,close,21")</f>
        <v>1.2906500000000001</v>
      </c>
      <c r="P23" s="34">
        <f>RTD("fxbluelabs.excelrtd", , "21422436","@bh,GBPAUD,d1,close,21")</f>
        <v>1.9611400000000001</v>
      </c>
      <c r="Q23" s="34">
        <f>RTD("fxbluelabs.excelrtd", , "21422436","@bh,GBPNZD,d1,close,21")</f>
        <v>2.1762100000000002</v>
      </c>
      <c r="R23" s="34">
        <f>RTD("fxbluelabs.excelrtd", , "21422436","@bh,GBPCAD,d1,close,21")</f>
        <v>1.78196</v>
      </c>
      <c r="S23" s="34">
        <f>RTD("fxbluelabs.excelrtd", , "21422436","@bh,GBPCHF,d1,close,21")</f>
        <v>1.14239</v>
      </c>
      <c r="T23" s="35">
        <f>RTD("fxbluelabs.excelrtd", , "21422436","@bh,GBPJPY,d1,close,21")</f>
        <v>198.624</v>
      </c>
      <c r="U23" s="35">
        <f>RTD("fxbluelabs.excelrtd", , "21422436","@bh,NZDJPY,d1,close,21")</f>
        <v>91.22</v>
      </c>
      <c r="V23" s="34">
        <f>RTD("fxbluelabs.excelrtd", , "21422436","@bh,NZDCHF,d1,close,21")</f>
        <v>0.52471000000000001</v>
      </c>
      <c r="W23" s="34">
        <f>RTD("fxbluelabs.excelrtd", , "21422436","@bh,NZDUSD,d1,close,21")</f>
        <v>0.59301000000000004</v>
      </c>
      <c r="X23" s="34">
        <f>RTD("fxbluelabs.excelrtd", , "21422436","@bh,NZDCAD,d1,close,21")</f>
        <v>0.81867999999999996</v>
      </c>
      <c r="Y23" s="35">
        <f>RTD("fxbluelabs.excelrtd", , "21422436","@bh,CADJPY,d1,close,21")</f>
        <v>111.459</v>
      </c>
      <c r="Z23" s="34">
        <f>RTD("fxbluelabs.excelrtd", , "21422436","@bh,CADCHF,d1,close,21")</f>
        <v>0.64105999999999996</v>
      </c>
      <c r="AA23" s="35">
        <f>RTD("fxbluelabs.excelrtd", , "21422436","@bh,CHFJPY,d1,close,21")</f>
        <v>173.84899999999999</v>
      </c>
      <c r="AB23" s="34">
        <f>RTD("fxbluelabs.excelrtd", , "21422436","@bh,USDCAD,d1,close,21")</f>
        <v>1.3807199999999999</v>
      </c>
      <c r="AC23" s="34">
        <f>RTD("fxbluelabs.excelrtd", , "21422436","@bh,USDCHF,d1,close,21")</f>
        <v>0.88514999999999999</v>
      </c>
      <c r="AD23" s="35">
        <f>RTD("fxbluelabs.excelrtd", , "21422436","@bh,USDJPY,d1,close,21")</f>
        <v>153.89699999999999</v>
      </c>
      <c r="AH23" s="21">
        <v>22</v>
      </c>
      <c r="AI23" s="22">
        <f t="shared" si="40"/>
        <v>-0.52753298970630369</v>
      </c>
      <c r="AJ23" s="22">
        <f t="shared" si="40"/>
        <v>-9.9034860270804423E-2</v>
      </c>
      <c r="AK23" s="22">
        <f t="shared" si="40"/>
        <v>-1.6117280172539477</v>
      </c>
      <c r="AL23" s="22">
        <f t="shared" si="40"/>
        <v>-1.2193260637305661</v>
      </c>
      <c r="AM23" s="22">
        <f t="shared" si="40"/>
        <v>-0.360801000153534</v>
      </c>
      <c r="AN23" s="22">
        <f t="shared" si="40"/>
        <v>-0.1271537823643174</v>
      </c>
      <c r="AO23" s="22">
        <f t="shared" si="40"/>
        <v>4.0108560503759098E-2</v>
      </c>
      <c r="AP23" s="22">
        <f t="shared" si="40"/>
        <v>-0.12368583797155712</v>
      </c>
      <c r="AQ23" s="22">
        <f t="shared" si="40"/>
        <v>-0.82282406450279899</v>
      </c>
      <c r="AR23" s="22">
        <f t="shared" si="40"/>
        <v>-1.2169340368455521</v>
      </c>
      <c r="AS23" s="22">
        <f t="shared" si="40"/>
        <v>0.4017239382356988</v>
      </c>
      <c r="AT23" s="22">
        <f t="shared" si="40"/>
        <v>0.30841331774803171</v>
      </c>
      <c r="AU23" s="22">
        <f t="shared" si="40"/>
        <v>-3.0991175262702867E-3</v>
      </c>
      <c r="AV23" s="22">
        <f t="shared" si="40"/>
        <v>0.5264317970956548</v>
      </c>
      <c r="AW23" s="22">
        <f t="shared" si="40"/>
        <v>0.42501153668668135</v>
      </c>
      <c r="AX23" s="22">
        <f t="shared" si="40"/>
        <v>0.16413346523968173</v>
      </c>
      <c r="AY23" s="22">
        <f t="shared" si="39"/>
        <v>-0.70059541918379387</v>
      </c>
      <c r="AZ23" s="22">
        <f t="shared" si="39"/>
        <v>-1.0940090926745722</v>
      </c>
      <c r="BA23" s="22">
        <f t="shared" si="39"/>
        <v>-1.5476935696246223</v>
      </c>
      <c r="BB23" s="22">
        <f t="shared" si="39"/>
        <v>-1.1473247927656443</v>
      </c>
      <c r="BC23" s="22">
        <f t="shared" si="39"/>
        <v>-0.43151213942710653</v>
      </c>
      <c r="BD23" s="22">
        <f t="shared" si="39"/>
        <v>-0.27043488853697162</v>
      </c>
      <c r="BE23" s="22">
        <f t="shared" si="39"/>
        <v>-1.2562346625087415</v>
      </c>
      <c r="BF23" s="22">
        <f t="shared" si="39"/>
        <v>-0.86292218235803997</v>
      </c>
      <c r="BG23" s="22">
        <f t="shared" si="39"/>
        <v>-0.39989229262033005</v>
      </c>
      <c r="BH23" s="22">
        <f t="shared" si="39"/>
        <v>0.16758439071103912</v>
      </c>
      <c r="BI23" s="22">
        <f t="shared" si="39"/>
        <v>-0.69668820678514276</v>
      </c>
      <c r="BJ23" s="22">
        <f t="shared" si="39"/>
        <v>-1.0912947074134822</v>
      </c>
      <c r="BN23">
        <v>22</v>
      </c>
      <c r="BO23" s="23">
        <f t="shared" si="5"/>
        <v>-2.2900606203255665</v>
      </c>
      <c r="BP23" s="23">
        <f t="shared" si="2"/>
        <v>-0.29523916863976973</v>
      </c>
      <c r="BQ23" s="23">
        <f t="shared" si="38"/>
        <v>-5.1434447410894384</v>
      </c>
      <c r="BR23" s="23">
        <f t="shared" si="38"/>
        <v>-3.2491471180274942</v>
      </c>
      <c r="BS23" s="23">
        <f t="shared" si="38"/>
        <v>-1.3165673624920888</v>
      </c>
      <c r="BT23" s="23">
        <f t="shared" si="38"/>
        <v>-0.54422934664824951</v>
      </c>
      <c r="BU23" s="23">
        <f t="shared" si="38"/>
        <v>0.43306656093172091</v>
      </c>
      <c r="BV23" s="23">
        <f t="shared" si="38"/>
        <v>-3.1769734463498497E-2</v>
      </c>
      <c r="BW23" s="23">
        <f t="shared" si="38"/>
        <v>-1.5115724216933735</v>
      </c>
      <c r="BX23" s="23">
        <f t="shared" si="38"/>
        <v>-3.4117861822776887</v>
      </c>
      <c r="BY23" s="23">
        <f t="shared" si="38"/>
        <v>1.7532101583974762</v>
      </c>
      <c r="BZ23" s="23">
        <f t="shared" si="38"/>
        <v>1.460680483492965</v>
      </c>
      <c r="CA23" s="23">
        <f t="shared" si="38"/>
        <v>-0.51166536786572536</v>
      </c>
      <c r="CB23" s="23">
        <f t="shared" si="38"/>
        <v>1.7866361556204997</v>
      </c>
      <c r="CC23" s="23">
        <f t="shared" si="38"/>
        <v>1.4866674831907019</v>
      </c>
      <c r="CD23" s="23">
        <f t="shared" si="38"/>
        <v>0.4654735576744583</v>
      </c>
      <c r="CE23" s="23">
        <f t="shared" si="38"/>
        <v>-1.4796949650789877</v>
      </c>
      <c r="CF23" s="23">
        <f t="shared" si="38"/>
        <v>-3.3812849128591882</v>
      </c>
      <c r="CG23" s="23">
        <f t="shared" si="38"/>
        <v>-4.8840358373447206</v>
      </c>
      <c r="CH23" s="23">
        <f t="shared" si="38"/>
        <v>-2.9797109420222316</v>
      </c>
      <c r="CI23" s="23">
        <f t="shared" si="38"/>
        <v>-1.9887396421280812</v>
      </c>
      <c r="CJ23" s="23">
        <f t="shared" si="38"/>
        <v>-1.0209197505476852</v>
      </c>
      <c r="CK23" s="23">
        <f t="shared" si="38"/>
        <v>-3.8348225169398082</v>
      </c>
      <c r="CL23" s="23">
        <f t="shared" si="37"/>
        <v>-1.9358139618495758</v>
      </c>
      <c r="CM23" s="23">
        <f t="shared" si="37"/>
        <v>-1.9036169632003628</v>
      </c>
      <c r="CN23" s="23">
        <f t="shared" si="37"/>
        <v>0.97902137110533705</v>
      </c>
      <c r="CO23" s="23">
        <f t="shared" si="37"/>
        <v>-0.96159415664699854</v>
      </c>
      <c r="CP23" s="23">
        <f t="shared" si="37"/>
        <v>-2.8629585697860827</v>
      </c>
      <c r="CU23" s="21">
        <v>22</v>
      </c>
      <c r="CV23" s="24">
        <f t="shared" si="6"/>
        <v>-1.8524004822606479</v>
      </c>
      <c r="CW23" s="24">
        <f t="shared" si="7"/>
        <v>2.4891636216398783</v>
      </c>
      <c r="CX23" s="24">
        <f t="shared" si="8"/>
        <v>-5.3107108554611253</v>
      </c>
      <c r="CY23" s="24">
        <f t="shared" si="9"/>
        <v>8.2781026402687239</v>
      </c>
      <c r="CZ23" s="24">
        <f t="shared" si="10"/>
        <v>-1.6020983148547427</v>
      </c>
      <c r="DA23" s="24">
        <f t="shared" si="11"/>
        <v>-15.834305324592332</v>
      </c>
      <c r="DB23" s="24">
        <f t="shared" si="12"/>
        <v>-13.525514970086617</v>
      </c>
      <c r="DC23" s="24">
        <f t="shared" si="13"/>
        <v>25.421949723497292</v>
      </c>
      <c r="DF23" s="46">
        <v>22</v>
      </c>
      <c r="DG23" s="47">
        <f t="shared" si="36"/>
        <v>0.97902137110533705</v>
      </c>
      <c r="DH23" s="47">
        <f t="shared" si="14"/>
        <v>0.43306656093172091</v>
      </c>
      <c r="DI23" s="47">
        <f t="shared" si="15"/>
        <v>-0.96159415664699854</v>
      </c>
      <c r="DJ23" s="47">
        <f t="shared" si="16"/>
        <v>-1.5115724216933735</v>
      </c>
      <c r="DK23" s="47">
        <f t="shared" si="17"/>
        <v>0.51166536786572536</v>
      </c>
      <c r="DL23" s="47">
        <f t="shared" si="18"/>
        <v>-3.1769734463498497E-2</v>
      </c>
      <c r="DM23" s="47">
        <f t="shared" si="19"/>
        <v>2.2900606203255665</v>
      </c>
      <c r="DN23" s="47">
        <f t="shared" si="20"/>
        <v>1.7532101583974762</v>
      </c>
      <c r="DO23" s="47">
        <f t="shared" si="21"/>
        <v>1.9887396421280812</v>
      </c>
      <c r="DP23" s="47">
        <f t="shared" si="22"/>
        <v>1.460680483492965</v>
      </c>
      <c r="DQ23" s="47">
        <f t="shared" si="23"/>
        <v>-2.8629585697860827</v>
      </c>
      <c r="DR23" s="47">
        <f t="shared" si="24"/>
        <v>-3.4117861822776887</v>
      </c>
      <c r="DS23" s="47">
        <f t="shared" si="25"/>
        <v>0.54422934664824951</v>
      </c>
      <c r="DT23" s="47">
        <f t="shared" si="26"/>
        <v>-0.54422934664824951</v>
      </c>
      <c r="DX23">
        <v>22</v>
      </c>
      <c r="DY23" s="19">
        <f t="shared" si="27"/>
        <v>-4.3415641039005264</v>
      </c>
      <c r="EM23" s="21">
        <v>22</v>
      </c>
      <c r="EN23" s="16">
        <f t="shared" si="28"/>
        <v>-1.8524004822606479</v>
      </c>
      <c r="EO23" s="16">
        <f t="shared" si="4"/>
        <v>2.4891636216398783</v>
      </c>
      <c r="EP23" s="16">
        <f t="shared" si="29"/>
        <v>-5.3107108554611253</v>
      </c>
      <c r="EQ23" s="16">
        <f t="shared" si="30"/>
        <v>8.2781026402687239</v>
      </c>
      <c r="ER23" s="16">
        <f t="shared" si="31"/>
        <v>-1.6020983148547427</v>
      </c>
      <c r="ES23" s="16">
        <f t="shared" si="32"/>
        <v>-15.834305324592332</v>
      </c>
      <c r="ET23" s="16">
        <f t="shared" si="33"/>
        <v>-13.525514970086617</v>
      </c>
      <c r="EU23" s="16">
        <f t="shared" si="34"/>
        <v>25.421949723497292</v>
      </c>
      <c r="FK23" s="20"/>
      <c r="FL23" s="20"/>
    </row>
    <row r="24" spans="1:168" ht="14.4" thickBot="1" x14ac:dyDescent="0.35">
      <c r="A24" s="37" t="s">
        <v>51</v>
      </c>
      <c r="B24" s="38">
        <v>22</v>
      </c>
      <c r="C24" s="34">
        <f>RTD("fxbluelabs.excelrtd", , "21422436","@bh,AUDUSD,d1,close,22")</f>
        <v>0.66156999999999999</v>
      </c>
      <c r="D24" s="34">
        <f>RTD("fxbluelabs.excelrtd", , "21422436","@bh,AUDNZD,d1,close,22")</f>
        <v>1.1107199999999999</v>
      </c>
      <c r="E24" s="35">
        <f>RTD("fxbluelabs.excelrtd", , "21422436","@bh,AUDJPY,d1,close,22")</f>
        <v>102.93300000000001</v>
      </c>
      <c r="F24" s="34">
        <f>RTD("fxbluelabs.excelrtd", , "21422436","@bh,AUDCHF,d1,close,22")</f>
        <v>0.58967000000000003</v>
      </c>
      <c r="G24" s="34">
        <f>RTD("fxbluelabs.excelrtd", , "21422436","@bh,AUDCAD,d1,close,22")</f>
        <v>0.91186</v>
      </c>
      <c r="H24" s="34">
        <f>RTD("fxbluelabs.excelrtd", , "21422436","@bh,EURUSD,d1,close,22")</f>
        <v>1.0852999999999999</v>
      </c>
      <c r="I24" s="34">
        <f>RTD("fxbluelabs.excelrtd", , "21422436","@bh,EURCAD,d1,close,22")</f>
        <v>1.49594</v>
      </c>
      <c r="J24" s="34">
        <f>RTD("fxbluelabs.excelrtd", , "21422436","@bh,EURGBP,d1,close,22")</f>
        <v>0.84084000000000003</v>
      </c>
      <c r="K24" s="34">
        <f>RTD("fxbluelabs.excelrtd", , "21422436","@bh,EURCHF,d1,close,22")</f>
        <v>0.96740000000000004</v>
      </c>
      <c r="L24" s="35">
        <f>RTD("fxbluelabs.excelrtd", , "21422436","@bh,EURJPY,d1,close,22")</f>
        <v>168.86699999999999</v>
      </c>
      <c r="M24" s="34">
        <f>RTD("fxbluelabs.excelrtd", , "21422436","@bh,EURAUD,d1,close,22")</f>
        <v>1.6404300000000001</v>
      </c>
      <c r="N24" s="34">
        <f>RTD("fxbluelabs.excelrtd", , "21422436","@bh,EURNZD,d1,close,22")</f>
        <v>1.82223</v>
      </c>
      <c r="O24" s="34">
        <f>RTD("fxbluelabs.excelrtd", , "21422436","@bh,GBPUSD,d1,close,22")</f>
        <v>1.2906899999999999</v>
      </c>
      <c r="P24" s="34">
        <f>RTD("fxbluelabs.excelrtd", , "21422436","@bh,GBPAUD,d1,close,22")</f>
        <v>1.9508700000000001</v>
      </c>
      <c r="Q24" s="34">
        <f>RTD("fxbluelabs.excelrtd", , "21422436","@bh,GBPNZD,d1,close,22")</f>
        <v>2.1669999999999998</v>
      </c>
      <c r="R24" s="34">
        <f>RTD("fxbluelabs.excelrtd", , "21422436","@bh,GBPCAD,d1,close,22")</f>
        <v>1.77904</v>
      </c>
      <c r="S24" s="34">
        <f>RTD("fxbluelabs.excelrtd", , "21422436","@bh,GBPCHF,d1,close,22")</f>
        <v>1.15045</v>
      </c>
      <c r="T24" s="35">
        <f>RTD("fxbluelabs.excelrtd", , "21422436","@bh,GBPJPY,d1,close,22")</f>
        <v>200.821</v>
      </c>
      <c r="U24" s="35">
        <f>RTD("fxbluelabs.excelrtd", , "21422436","@bh,NZDJPY,d1,close,22")</f>
        <v>92.653999999999996</v>
      </c>
      <c r="V24" s="34">
        <f>RTD("fxbluelabs.excelrtd", , "21422436","@bh,NZDCHF,d1,close,22")</f>
        <v>0.53080000000000005</v>
      </c>
      <c r="W24" s="34">
        <f>RTD("fxbluelabs.excelrtd", , "21422436","@bh,NZDUSD,d1,close,22")</f>
        <v>0.59558</v>
      </c>
      <c r="X24" s="34">
        <f>RTD("fxbluelabs.excelrtd", , "21422436","@bh,NZDCAD,d1,close,22")</f>
        <v>0.82089999999999996</v>
      </c>
      <c r="Y24" s="35">
        <f>RTD("fxbluelabs.excelrtd", , "21422436","@bh,CADJPY,d1,close,22")</f>
        <v>112.877</v>
      </c>
      <c r="Z24" s="34">
        <f>RTD("fxbluelabs.excelrtd", , "21422436","@bh,CADCHF,d1,close,22")</f>
        <v>0.64663999999999999</v>
      </c>
      <c r="AA24" s="35">
        <f>RTD("fxbluelabs.excelrtd", , "21422436","@bh,CHFJPY,d1,close,22")</f>
        <v>174.547</v>
      </c>
      <c r="AB24" s="34">
        <f>RTD("fxbluelabs.excelrtd", , "21422436","@bh,USDCAD,d1,close,22")</f>
        <v>1.3784099999999999</v>
      </c>
      <c r="AC24" s="34">
        <f>RTD("fxbluelabs.excelrtd", , "21422436","@bh,USDCHF,d1,close,22")</f>
        <v>0.89136000000000004</v>
      </c>
      <c r="AD24" s="35">
        <f>RTD("fxbluelabs.excelrtd", , "21422436","@bh,USDJPY,d1,close,22")</f>
        <v>155.595</v>
      </c>
      <c r="AH24" s="21">
        <v>23</v>
      </c>
      <c r="AI24" s="27">
        <f t="shared" si="40"/>
        <v>-0.40196314585090642</v>
      </c>
      <c r="AJ24" s="27">
        <f t="shared" si="40"/>
        <v>-1.8003096532601626E-2</v>
      </c>
      <c r="AK24" s="27">
        <f t="shared" si="40"/>
        <v>-1.3333461140293617</v>
      </c>
      <c r="AL24" s="27">
        <f t="shared" si="40"/>
        <v>-0.20984583100641702</v>
      </c>
      <c r="AM24" s="27">
        <f t="shared" si="40"/>
        <v>-0.20683994528043201</v>
      </c>
      <c r="AN24" s="27">
        <f t="shared" si="40"/>
        <v>-0.34433680730913563</v>
      </c>
      <c r="AO24" s="27">
        <f t="shared" si="40"/>
        <v>-0.14951474455673014</v>
      </c>
      <c r="AP24" s="27">
        <f t="shared" si="40"/>
        <v>-0.1448827874498253</v>
      </c>
      <c r="AQ24" s="27">
        <f t="shared" si="40"/>
        <v>-0.15069256652148058</v>
      </c>
      <c r="AR24" s="27">
        <f t="shared" si="40"/>
        <v>-1.2750806791076257</v>
      </c>
      <c r="AS24" s="27">
        <f t="shared" si="40"/>
        <v>5.7334902927139719E-2</v>
      </c>
      <c r="AT24" s="27">
        <f t="shared" si="40"/>
        <v>4.0076859730997498E-2</v>
      </c>
      <c r="AU24" s="27">
        <f t="shared" si="40"/>
        <v>-0.20643904249398251</v>
      </c>
      <c r="AV24" s="27">
        <f t="shared" si="40"/>
        <v>0.1956796400727297</v>
      </c>
      <c r="AW24" s="27">
        <f t="shared" si="40"/>
        <v>0.1789074165676402</v>
      </c>
      <c r="AX24" s="27">
        <f t="shared" si="40"/>
        <v>-1.0678776774230117E-2</v>
      </c>
      <c r="AY24" s="27">
        <f t="shared" si="39"/>
        <v>-1.2167670499485394E-2</v>
      </c>
      <c r="AZ24" s="27">
        <f t="shared" si="39"/>
        <v>-1.1386572410330069</v>
      </c>
      <c r="BA24" s="27">
        <f t="shared" si="39"/>
        <v>-1.3090761905776331</v>
      </c>
      <c r="BB24" s="27">
        <f t="shared" si="39"/>
        <v>-0.18428673511602181</v>
      </c>
      <c r="BC24" s="27">
        <f t="shared" si="39"/>
        <v>-0.37802756590392739</v>
      </c>
      <c r="BD24" s="27">
        <f t="shared" si="39"/>
        <v>-0.18360671684439772</v>
      </c>
      <c r="BE24" s="27">
        <f t="shared" si="39"/>
        <v>-1.1316557033870855</v>
      </c>
      <c r="BF24" s="27">
        <f t="shared" si="39"/>
        <v>-4.6391513445767536E-3</v>
      </c>
      <c r="BG24" s="27">
        <f t="shared" si="39"/>
        <v>-1.1233218149889561</v>
      </c>
      <c r="BH24" s="27">
        <f t="shared" si="39"/>
        <v>0.19626229365199968</v>
      </c>
      <c r="BI24" s="27">
        <f t="shared" si="39"/>
        <v>0.19446286658498582</v>
      </c>
      <c r="BJ24" s="27">
        <f t="shared" si="39"/>
        <v>-0.93402605340566969</v>
      </c>
      <c r="BN24">
        <v>23</v>
      </c>
      <c r="BO24" s="28">
        <f t="shared" si="5"/>
        <v>-1.762527630619263</v>
      </c>
      <c r="BP24" s="28">
        <f t="shared" si="2"/>
        <v>-0.1962043083689653</v>
      </c>
      <c r="BQ24" s="28">
        <f t="shared" si="38"/>
        <v>-3.5317167238354901</v>
      </c>
      <c r="BR24" s="28">
        <f t="shared" si="38"/>
        <v>-2.0298210542969284</v>
      </c>
      <c r="BS24" s="28">
        <f t="shared" si="38"/>
        <v>-0.95576636233855505</v>
      </c>
      <c r="BT24" s="28">
        <f t="shared" ref="BT24:CK28" si="41">AN24+SUM(AN25:AN59)</f>
        <v>-0.41707556428393211</v>
      </c>
      <c r="BU24" s="28">
        <f t="shared" si="41"/>
        <v>0.39295800042796186</v>
      </c>
      <c r="BV24" s="28">
        <f t="shared" si="41"/>
        <v>9.1916103508058622E-2</v>
      </c>
      <c r="BW24" s="28">
        <f t="shared" si="41"/>
        <v>-0.68874835719057448</v>
      </c>
      <c r="BX24" s="28">
        <f t="shared" si="41"/>
        <v>-2.1948521454321366</v>
      </c>
      <c r="BY24" s="28">
        <f t="shared" si="41"/>
        <v>1.3514862201617774</v>
      </c>
      <c r="BZ24" s="28">
        <f t="shared" si="41"/>
        <v>1.1522671657449333</v>
      </c>
      <c r="CA24" s="28">
        <f t="shared" si="41"/>
        <v>-0.50856625033945513</v>
      </c>
      <c r="CB24" s="28">
        <f t="shared" si="41"/>
        <v>1.2602043585248448</v>
      </c>
      <c r="CC24" s="28">
        <f t="shared" si="41"/>
        <v>1.0616559465040207</v>
      </c>
      <c r="CD24" s="28">
        <f t="shared" si="41"/>
        <v>0.30134009243477661</v>
      </c>
      <c r="CE24" s="28">
        <f t="shared" si="41"/>
        <v>-0.77909954589519381</v>
      </c>
      <c r="CF24" s="28">
        <f t="shared" si="41"/>
        <v>-2.2872758201846164</v>
      </c>
      <c r="CG24" s="28">
        <f t="shared" si="41"/>
        <v>-3.3363422677200987</v>
      </c>
      <c r="CH24" s="28">
        <f t="shared" si="41"/>
        <v>-1.8323861492565876</v>
      </c>
      <c r="CI24" s="28">
        <f t="shared" si="41"/>
        <v>-1.557227502700975</v>
      </c>
      <c r="CJ24" s="28">
        <f t="shared" si="41"/>
        <v>-0.75048486201071385</v>
      </c>
      <c r="CK24" s="28">
        <f t="shared" si="41"/>
        <v>-2.578587854431067</v>
      </c>
      <c r="CL24" s="28">
        <f t="shared" si="37"/>
        <v>-1.0728917794915358</v>
      </c>
      <c r="CM24" s="28">
        <f t="shared" si="37"/>
        <v>-1.5037246705800327</v>
      </c>
      <c r="CN24" s="28">
        <f t="shared" si="37"/>
        <v>0.8114369803942979</v>
      </c>
      <c r="CO24" s="28">
        <f t="shared" si="37"/>
        <v>-0.26490594986185589</v>
      </c>
      <c r="CP24" s="28">
        <f t="shared" si="37"/>
        <v>-1.7716638623726002</v>
      </c>
      <c r="CU24" s="21">
        <v>23</v>
      </c>
      <c r="CV24" s="29">
        <f t="shared" si="6"/>
        <v>-0.31204857706391209</v>
      </c>
      <c r="CW24" s="29">
        <f t="shared" si="7"/>
        <v>3.0202641161034669</v>
      </c>
      <c r="CX24" s="29">
        <f t="shared" si="8"/>
        <v>-3.4509634828303701</v>
      </c>
      <c r="CY24" s="29">
        <f t="shared" si="9"/>
        <v>4.0912363859211069</v>
      </c>
      <c r="CZ24" s="29">
        <f t="shared" si="10"/>
        <v>-1.0436573224636823</v>
      </c>
      <c r="DA24" s="29">
        <f t="shared" si="11"/>
        <v>-11.087726658145824</v>
      </c>
      <c r="DB24" s="29">
        <f t="shared" si="12"/>
        <v>-9.4941595855683616</v>
      </c>
      <c r="DC24" s="29">
        <f t="shared" si="13"/>
        <v>17.204163344556044</v>
      </c>
      <c r="DF24" s="48">
        <v>23</v>
      </c>
      <c r="DG24" s="49">
        <f t="shared" si="36"/>
        <v>0.8114369803942979</v>
      </c>
      <c r="DH24" s="49">
        <f t="shared" si="14"/>
        <v>0.39295800042796186</v>
      </c>
      <c r="DI24" s="49">
        <f t="shared" si="15"/>
        <v>-0.26490594986185589</v>
      </c>
      <c r="DJ24" s="49">
        <f t="shared" si="16"/>
        <v>-0.68874835719057448</v>
      </c>
      <c r="DK24" s="49">
        <f t="shared" si="17"/>
        <v>0.50856625033945513</v>
      </c>
      <c r="DL24" s="49">
        <f t="shared" si="18"/>
        <v>9.1916103508058622E-2</v>
      </c>
      <c r="DM24" s="49">
        <f t="shared" si="19"/>
        <v>1.762527630619263</v>
      </c>
      <c r="DN24" s="49">
        <f t="shared" si="20"/>
        <v>1.3514862201617774</v>
      </c>
      <c r="DO24" s="49">
        <f t="shared" si="21"/>
        <v>1.557227502700975</v>
      </c>
      <c r="DP24" s="49">
        <f t="shared" si="22"/>
        <v>1.1522671657449333</v>
      </c>
      <c r="DQ24" s="49">
        <f t="shared" si="23"/>
        <v>-1.7716638623726002</v>
      </c>
      <c r="DR24" s="49">
        <f t="shared" si="24"/>
        <v>-2.1948521454321366</v>
      </c>
      <c r="DS24" s="49">
        <f t="shared" si="25"/>
        <v>0.41707556428393211</v>
      </c>
      <c r="DT24" s="49">
        <f t="shared" si="26"/>
        <v>-0.41707556428393211</v>
      </c>
      <c r="DX24">
        <v>23</v>
      </c>
      <c r="DY24" s="19">
        <f t="shared" si="27"/>
        <v>-3.332312693167379</v>
      </c>
      <c r="EM24" s="21">
        <v>23</v>
      </c>
      <c r="EN24" s="16">
        <f t="shared" si="28"/>
        <v>-0.31204857706391209</v>
      </c>
      <c r="EO24" s="16">
        <f t="shared" si="4"/>
        <v>3.0202641161034669</v>
      </c>
      <c r="EP24" s="16">
        <f t="shared" si="29"/>
        <v>-3.4509634828303701</v>
      </c>
      <c r="EQ24" s="16">
        <f t="shared" si="30"/>
        <v>4.0912363859211069</v>
      </c>
      <c r="ER24" s="16">
        <f t="shared" si="31"/>
        <v>-1.0436573224636823</v>
      </c>
      <c r="ES24" s="16">
        <f t="shared" si="32"/>
        <v>-11.087726658145824</v>
      </c>
      <c r="ET24" s="16">
        <f t="shared" si="33"/>
        <v>-9.4941595855683616</v>
      </c>
      <c r="EU24" s="16">
        <f t="shared" si="34"/>
        <v>17.204163344556044</v>
      </c>
      <c r="FK24" s="20"/>
      <c r="FL24" s="20"/>
    </row>
    <row r="25" spans="1:168" ht="14.4" thickBot="1" x14ac:dyDescent="0.35">
      <c r="A25" s="37" t="s">
        <v>51</v>
      </c>
      <c r="B25" s="38">
        <v>23</v>
      </c>
      <c r="C25" s="34">
        <f>RTD("fxbluelabs.excelrtd", , "21422436","@bh,AUDUSD,d1,close,23")</f>
        <v>0.66424000000000005</v>
      </c>
      <c r="D25" s="34">
        <f>RTD("fxbluelabs.excelrtd", , "21422436","@bh,AUDNZD,d1,close,23")</f>
        <v>1.1109199999999999</v>
      </c>
      <c r="E25" s="35">
        <f>RTD("fxbluelabs.excelrtd", , "21422436","@bh,AUDJPY,d1,close,23")</f>
        <v>104.324</v>
      </c>
      <c r="F25" s="34">
        <f>RTD("fxbluelabs.excelrtd", , "21422436","@bh,AUDCHF,d1,close,23")</f>
        <v>0.59091000000000005</v>
      </c>
      <c r="G25" s="34">
        <f>RTD("fxbluelabs.excelrtd", , "21422436","@bh,AUDCAD,d1,close,23")</f>
        <v>0.91374999999999995</v>
      </c>
      <c r="H25" s="34">
        <f>RTD("fxbluelabs.excelrtd", , "21422436","@bh,EURUSD,d1,close,23")</f>
        <v>1.0890500000000001</v>
      </c>
      <c r="I25" s="34">
        <f>RTD("fxbluelabs.excelrtd", , "21422436","@bh,EURCAD,d1,close,23")</f>
        <v>1.4981800000000001</v>
      </c>
      <c r="J25" s="34">
        <f>RTD("fxbluelabs.excelrtd", , "21422436","@bh,EURGBP,d1,close,23")</f>
        <v>0.84206000000000003</v>
      </c>
      <c r="K25" s="34">
        <f>RTD("fxbluelabs.excelrtd", , "21422436","@bh,EURCHF,d1,close,23")</f>
        <v>0.96886000000000005</v>
      </c>
      <c r="L25" s="35">
        <f>RTD("fxbluelabs.excelrtd", , "21422436","@bh,EURJPY,d1,close,23")</f>
        <v>171.048</v>
      </c>
      <c r="M25" s="34">
        <f>RTD("fxbluelabs.excelrtd", , "21422436","@bh,EURAUD,d1,close,23")</f>
        <v>1.6394899999999999</v>
      </c>
      <c r="N25" s="34">
        <f>RTD("fxbluelabs.excelrtd", , "21422436","@bh,EURNZD,d1,close,23")</f>
        <v>1.8214999999999999</v>
      </c>
      <c r="O25" s="34">
        <f>RTD("fxbluelabs.excelrtd", , "21422436","@bh,GBPUSD,d1,close,23")</f>
        <v>1.2933600000000001</v>
      </c>
      <c r="P25" s="34">
        <f>RTD("fxbluelabs.excelrtd", , "21422436","@bh,GBPAUD,d1,close,23")</f>
        <v>1.94706</v>
      </c>
      <c r="Q25" s="34">
        <f>RTD("fxbluelabs.excelrtd", , "21422436","@bh,GBPNZD,d1,close,23")</f>
        <v>2.1631300000000002</v>
      </c>
      <c r="R25" s="34">
        <f>RTD("fxbluelabs.excelrtd", , "21422436","@bh,GBPCAD,d1,close,23")</f>
        <v>1.7792300000000001</v>
      </c>
      <c r="S25" s="34">
        <f>RTD("fxbluelabs.excelrtd", , "21422436","@bh,GBPCHF,d1,close,23")</f>
        <v>1.15059</v>
      </c>
      <c r="T25" s="35">
        <f>RTD("fxbluelabs.excelrtd", , "21422436","@bh,GBPJPY,d1,close,23")</f>
        <v>203.13399999999999</v>
      </c>
      <c r="U25" s="35">
        <f>RTD("fxbluelabs.excelrtd", , "21422436","@bh,NZDJPY,d1,close,23")</f>
        <v>93.882999999999996</v>
      </c>
      <c r="V25" s="34">
        <f>RTD("fxbluelabs.excelrtd", , "21422436","@bh,NZDCHF,d1,close,23")</f>
        <v>0.53178000000000003</v>
      </c>
      <c r="W25" s="34">
        <f>RTD("fxbluelabs.excelrtd", , "21422436","@bh,NZDUSD,d1,close,23")</f>
        <v>0.59784000000000004</v>
      </c>
      <c r="X25" s="34">
        <f>RTD("fxbluelabs.excelrtd", , "21422436","@bh,NZDCAD,d1,close,23")</f>
        <v>0.82240999999999997</v>
      </c>
      <c r="Y25" s="35">
        <f>RTD("fxbluelabs.excelrtd", , "21422436","@bh,CADJPY,d1,close,23")</f>
        <v>114.169</v>
      </c>
      <c r="Z25" s="34">
        <f>RTD("fxbluelabs.excelrtd", , "21422436","@bh,CADCHF,d1,close,23")</f>
        <v>0.64666999999999997</v>
      </c>
      <c r="AA25" s="35">
        <f>RTD("fxbluelabs.excelrtd", , "21422436","@bh,CHFJPY,d1,close,23")</f>
        <v>176.53</v>
      </c>
      <c r="AB25" s="34">
        <f>RTD("fxbluelabs.excelrtd", , "21422436","@bh,USDCAD,d1,close,23")</f>
        <v>1.37571</v>
      </c>
      <c r="AC25" s="34">
        <f>RTD("fxbluelabs.excelrtd", , "21422436","@bh,USDCHF,d1,close,23")</f>
        <v>0.88963000000000003</v>
      </c>
      <c r="AD25" s="35">
        <f>RTD("fxbluelabs.excelrtd", , "21422436","@bh,USDJPY,d1,close,23")</f>
        <v>157.06200000000001</v>
      </c>
      <c r="AH25" s="21">
        <v>24</v>
      </c>
      <c r="AI25" s="22">
        <f t="shared" si="40"/>
        <v>-0.62238180730100856</v>
      </c>
      <c r="AJ25" s="22">
        <f t="shared" si="40"/>
        <v>-0.11778139413611792</v>
      </c>
      <c r="AK25" s="22">
        <f t="shared" si="40"/>
        <v>-0.90805471124620352</v>
      </c>
      <c r="AL25" s="22">
        <f t="shared" si="40"/>
        <v>-0.5402948899212171</v>
      </c>
      <c r="AM25" s="22">
        <f t="shared" si="40"/>
        <v>-0.42825385755384227</v>
      </c>
      <c r="AN25" s="22">
        <f t="shared" si="40"/>
        <v>7.4432110563844134E-2</v>
      </c>
      <c r="AO25" s="22">
        <f t="shared" si="40"/>
        <v>0.27173185554039669</v>
      </c>
      <c r="AP25" s="22">
        <f t="shared" si="40"/>
        <v>-7.7132109503854046E-2</v>
      </c>
      <c r="AQ25" s="22">
        <f t="shared" si="40"/>
        <v>0.16334463650649511</v>
      </c>
      <c r="AR25" s="22">
        <f t="shared" si="40"/>
        <v>-0.19313918274700451</v>
      </c>
      <c r="AS25" s="22">
        <f t="shared" si="40"/>
        <v>0.7156723019461334</v>
      </c>
      <c r="AT25" s="22">
        <f t="shared" si="40"/>
        <v>0.58534430393726566</v>
      </c>
      <c r="AU25" s="22">
        <f t="shared" si="40"/>
        <v>0.16573473149424814</v>
      </c>
      <c r="AV25" s="22">
        <f t="shared" si="40"/>
        <v>0.80820109244350746</v>
      </c>
      <c r="AW25" s="22">
        <f t="shared" si="40"/>
        <v>0.67438007297641001</v>
      </c>
      <c r="AX25" s="22">
        <f t="shared" si="39"/>
        <v>0.36326919714122941</v>
      </c>
      <c r="AY25" s="22">
        <f t="shared" si="39"/>
        <v>0.24831407810131381</v>
      </c>
      <c r="AZ25" s="22">
        <f t="shared" si="39"/>
        <v>-0.12193802794741858</v>
      </c>
      <c r="BA25" s="22">
        <f t="shared" si="39"/>
        <v>-0.79777679156365267</v>
      </c>
      <c r="BB25" s="22">
        <f t="shared" si="39"/>
        <v>-0.42878274383508042</v>
      </c>
      <c r="BC25" s="22">
        <f t="shared" si="39"/>
        <v>-0.49764492452106873</v>
      </c>
      <c r="BD25" s="22">
        <f t="shared" si="39"/>
        <v>-0.30427192939921593</v>
      </c>
      <c r="BE25" s="22">
        <f t="shared" si="39"/>
        <v>-0.47856482853606808</v>
      </c>
      <c r="BF25" s="22">
        <f t="shared" si="39"/>
        <v>-0.10967283512002046</v>
      </c>
      <c r="BG25" s="22">
        <f t="shared" si="39"/>
        <v>-0.35504828995421667</v>
      </c>
      <c r="BH25" s="22">
        <f t="shared" si="39"/>
        <v>0.19591848625657904</v>
      </c>
      <c r="BI25" s="22">
        <f t="shared" si="39"/>
        <v>8.0998076295694041E-2</v>
      </c>
      <c r="BJ25" s="22">
        <f t="shared" si="39"/>
        <v>-0.28759165793732316</v>
      </c>
      <c r="BN25">
        <v>24</v>
      </c>
      <c r="BO25" s="23">
        <f t="shared" si="5"/>
        <v>-1.3605644847683565</v>
      </c>
      <c r="BP25" s="23">
        <f t="shared" si="2"/>
        <v>-0.17820121183636367</v>
      </c>
      <c r="BQ25" s="23">
        <f t="shared" ref="BQ25:BS28" si="42">AK25+SUM(AK26:AK60)</f>
        <v>-2.1983706098061284</v>
      </c>
      <c r="BR25" s="23">
        <f t="shared" si="42"/>
        <v>-1.8199752232905113</v>
      </c>
      <c r="BS25" s="23">
        <f t="shared" si="42"/>
        <v>-0.74892641705812291</v>
      </c>
      <c r="BT25" s="23">
        <f t="shared" si="41"/>
        <v>-7.2738756974796481E-2</v>
      </c>
      <c r="BU25" s="23">
        <f t="shared" si="41"/>
        <v>0.542472744984692</v>
      </c>
      <c r="BV25" s="23">
        <f t="shared" si="41"/>
        <v>0.23679889095788395</v>
      </c>
      <c r="BW25" s="23">
        <f t="shared" si="41"/>
        <v>-0.53805579066909393</v>
      </c>
      <c r="BX25" s="23">
        <f t="shared" si="41"/>
        <v>-0.9197714663245109</v>
      </c>
      <c r="BY25" s="23">
        <f t="shared" si="41"/>
        <v>1.2941513172346377</v>
      </c>
      <c r="BZ25" s="23">
        <f t="shared" si="41"/>
        <v>1.1121903060139358</v>
      </c>
      <c r="CA25" s="23">
        <f t="shared" si="41"/>
        <v>-0.30212720784547276</v>
      </c>
      <c r="CB25" s="23">
        <f t="shared" si="41"/>
        <v>1.0645247184521152</v>
      </c>
      <c r="CC25" s="23">
        <f t="shared" si="41"/>
        <v>0.88274852993638042</v>
      </c>
      <c r="CD25" s="23">
        <f t="shared" si="41"/>
        <v>0.31201886920900673</v>
      </c>
      <c r="CE25" s="23">
        <f t="shared" si="41"/>
        <v>-0.7669318753957084</v>
      </c>
      <c r="CF25" s="23">
        <f t="shared" si="41"/>
        <v>-1.148618579151609</v>
      </c>
      <c r="CG25" s="23">
        <f t="shared" si="41"/>
        <v>-2.0272660771424653</v>
      </c>
      <c r="CH25" s="23">
        <f t="shared" si="41"/>
        <v>-1.6480994141405658</v>
      </c>
      <c r="CI25" s="23">
        <f t="shared" si="41"/>
        <v>-1.1791999367970474</v>
      </c>
      <c r="CJ25" s="23">
        <f t="shared" si="41"/>
        <v>-0.56687814516631607</v>
      </c>
      <c r="CK25" s="23">
        <f t="shared" si="41"/>
        <v>-1.4469321510439812</v>
      </c>
      <c r="CL25" s="23">
        <f t="shared" si="37"/>
        <v>-1.0682526281469591</v>
      </c>
      <c r="CM25" s="23">
        <f t="shared" si="37"/>
        <v>-0.38040285559107656</v>
      </c>
      <c r="CN25" s="23">
        <f t="shared" si="37"/>
        <v>0.61517468674229825</v>
      </c>
      <c r="CO25" s="23">
        <f t="shared" si="37"/>
        <v>-0.45936881644684163</v>
      </c>
      <c r="CP25" s="23">
        <f t="shared" si="37"/>
        <v>-0.83763780896693052</v>
      </c>
      <c r="CU25" s="21">
        <v>24</v>
      </c>
      <c r="CV25" s="24">
        <f t="shared" si="6"/>
        <v>1.655047245222748</v>
      </c>
      <c r="CW25" s="24">
        <f t="shared" si="7"/>
        <v>2.2327984477141989</v>
      </c>
      <c r="CX25" s="24">
        <f t="shared" si="8"/>
        <v>-2.6690465179024985</v>
      </c>
      <c r="CY25" s="24">
        <f t="shared" si="9"/>
        <v>4.8520282643516452</v>
      </c>
      <c r="CZ25" s="24">
        <f t="shared" si="10"/>
        <v>-0.19518443575317199</v>
      </c>
      <c r="DA25" s="24">
        <f t="shared" si="11"/>
        <v>-8.6647139824462354</v>
      </c>
      <c r="DB25" s="24">
        <f t="shared" si="12"/>
        <v>-7.2381811973603476</v>
      </c>
      <c r="DC25" s="24">
        <f t="shared" si="13"/>
        <v>8.9589995480267017</v>
      </c>
      <c r="DF25" s="46">
        <v>24</v>
      </c>
      <c r="DG25" s="47">
        <f t="shared" si="36"/>
        <v>0.61517468674229825</v>
      </c>
      <c r="DH25" s="47">
        <f t="shared" si="14"/>
        <v>0.542472744984692</v>
      </c>
      <c r="DI25" s="47">
        <f t="shared" si="15"/>
        <v>-0.45936881644684163</v>
      </c>
      <c r="DJ25" s="47">
        <f t="shared" si="16"/>
        <v>-0.53805579066909393</v>
      </c>
      <c r="DK25" s="47">
        <f t="shared" si="17"/>
        <v>0.30212720784547276</v>
      </c>
      <c r="DL25" s="47">
        <f t="shared" si="18"/>
        <v>0.23679889095788395</v>
      </c>
      <c r="DM25" s="47">
        <f t="shared" si="19"/>
        <v>1.3605644847683565</v>
      </c>
      <c r="DN25" s="47">
        <f t="shared" si="20"/>
        <v>1.2941513172346377</v>
      </c>
      <c r="DO25" s="47">
        <f t="shared" si="21"/>
        <v>1.1791999367970474</v>
      </c>
      <c r="DP25" s="47">
        <f t="shared" si="22"/>
        <v>1.1121903060139358</v>
      </c>
      <c r="DQ25" s="47">
        <f t="shared" si="23"/>
        <v>-0.83763780896693052</v>
      </c>
      <c r="DR25" s="47">
        <f t="shared" si="24"/>
        <v>-0.9197714663245109</v>
      </c>
      <c r="DS25" s="47">
        <f t="shared" si="25"/>
        <v>7.2738756974796481E-2</v>
      </c>
      <c r="DT25" s="47">
        <f t="shared" si="26"/>
        <v>-7.2738756974796481E-2</v>
      </c>
      <c r="DX25">
        <v>24</v>
      </c>
      <c r="DY25" s="19">
        <f t="shared" si="27"/>
        <v>-0.57775120249145084</v>
      </c>
      <c r="EM25" s="21">
        <v>24</v>
      </c>
      <c r="EN25" s="16">
        <f t="shared" si="28"/>
        <v>1.655047245222748</v>
      </c>
      <c r="EO25" s="16">
        <f t="shared" si="4"/>
        <v>2.2327984477141989</v>
      </c>
      <c r="EP25" s="16">
        <f t="shared" si="29"/>
        <v>-2.6690465179024985</v>
      </c>
      <c r="EQ25" s="16">
        <f t="shared" si="30"/>
        <v>4.8520282643516452</v>
      </c>
      <c r="ER25" s="16">
        <f t="shared" si="31"/>
        <v>-0.19518443575317199</v>
      </c>
      <c r="ES25" s="16">
        <f t="shared" si="32"/>
        <v>-8.6647139824462354</v>
      </c>
      <c r="ET25" s="16">
        <f t="shared" si="33"/>
        <v>-7.2381811973603476</v>
      </c>
      <c r="EU25" s="16">
        <f t="shared" si="34"/>
        <v>8.9589995480267017</v>
      </c>
      <c r="FK25" s="20"/>
      <c r="FL25" s="20"/>
    </row>
    <row r="26" spans="1:168" ht="14.4" thickBot="1" x14ac:dyDescent="0.35">
      <c r="A26" s="37" t="s">
        <v>51</v>
      </c>
      <c r="B26" s="38">
        <v>24</v>
      </c>
      <c r="C26" s="34">
        <f>RTD("fxbluelabs.excelrtd", , "21422436","@bh,AUDUSD,d1,close,24")</f>
        <v>0.66839999999999999</v>
      </c>
      <c r="D26" s="34">
        <f>RTD("fxbluelabs.excelrtd", , "21422436","@bh,AUDNZD,d1,close,24")</f>
        <v>1.1122300000000001</v>
      </c>
      <c r="E26" s="35">
        <f>RTD("fxbluelabs.excelrtd", , "21422436","@bh,AUDJPY,d1,close,24")</f>
        <v>105.28</v>
      </c>
      <c r="F26" s="34">
        <f>RTD("fxbluelabs.excelrtd", , "21422436","@bh,AUDCHF,d1,close,24")</f>
        <v>0.59411999999999998</v>
      </c>
      <c r="G26" s="34">
        <f>RTD("fxbluelabs.excelrtd", , "21422436","@bh,AUDCAD,d1,close,24")</f>
        <v>0.91768000000000005</v>
      </c>
      <c r="H26" s="34">
        <f>RTD("fxbluelabs.excelrtd", , "21422436","@bh,EURUSD,d1,close,24")</f>
        <v>1.0882400000000001</v>
      </c>
      <c r="I26" s="34">
        <f>RTD("fxbluelabs.excelrtd", , "21422436","@bh,EURCAD,d1,close,24")</f>
        <v>1.4941199999999999</v>
      </c>
      <c r="J26" s="34">
        <f>RTD("fxbluelabs.excelrtd", , "21422436","@bh,EURGBP,d1,close,24")</f>
        <v>0.84270999999999996</v>
      </c>
      <c r="K26" s="34">
        <f>RTD("fxbluelabs.excelrtd", , "21422436","@bh,EURCHF,d1,close,24")</f>
        <v>0.96728000000000003</v>
      </c>
      <c r="L26" s="35">
        <f>RTD("fxbluelabs.excelrtd", , "21422436","@bh,EURJPY,d1,close,24")</f>
        <v>171.37899999999999</v>
      </c>
      <c r="M26" s="34">
        <f>RTD("fxbluelabs.excelrtd", , "21422436","@bh,EURAUD,d1,close,24")</f>
        <v>1.62784</v>
      </c>
      <c r="N26" s="34">
        <f>RTD("fxbluelabs.excelrtd", , "21422436","@bh,EURNZD,d1,close,24")</f>
        <v>1.8109</v>
      </c>
      <c r="O26" s="34">
        <f>RTD("fxbluelabs.excelrtd", , "21422436","@bh,GBPUSD,d1,close,24")</f>
        <v>1.29122</v>
      </c>
      <c r="P26" s="34">
        <f>RTD("fxbluelabs.excelrtd", , "21422436","@bh,GBPAUD,d1,close,24")</f>
        <v>1.9314499999999999</v>
      </c>
      <c r="Q26" s="34">
        <f>RTD("fxbluelabs.excelrtd", , "21422436","@bh,GBPNZD,d1,close,24")</f>
        <v>2.1486399999999999</v>
      </c>
      <c r="R26" s="34">
        <f>RTD("fxbluelabs.excelrtd", , "21422436","@bh,GBPCAD,d1,close,24")</f>
        <v>1.7727900000000001</v>
      </c>
      <c r="S26" s="34">
        <f>RTD("fxbluelabs.excelrtd", , "21422436","@bh,GBPCHF,d1,close,24")</f>
        <v>1.14774</v>
      </c>
      <c r="T26" s="35">
        <f>RTD("fxbluelabs.excelrtd", , "21422436","@bh,GBPJPY,d1,close,24")</f>
        <v>203.38200000000001</v>
      </c>
      <c r="U26" s="35">
        <f>RTD("fxbluelabs.excelrtd", , "21422436","@bh,NZDJPY,d1,close,24")</f>
        <v>94.638000000000005</v>
      </c>
      <c r="V26" s="34">
        <f>RTD("fxbluelabs.excelrtd", , "21422436","@bh,NZDCHF,d1,close,24")</f>
        <v>0.53407000000000004</v>
      </c>
      <c r="W26" s="34">
        <f>RTD("fxbluelabs.excelrtd", , "21422436","@bh,NZDUSD,d1,close,24")</f>
        <v>0.60082999999999998</v>
      </c>
      <c r="X26" s="34">
        <f>RTD("fxbluelabs.excelrtd", , "21422436","@bh,NZDCAD,d1,close,24")</f>
        <v>0.82491999999999999</v>
      </c>
      <c r="Y26" s="35">
        <f>RTD("fxbluelabs.excelrtd", , "21422436","@bh,CADJPY,d1,close,24")</f>
        <v>114.718</v>
      </c>
      <c r="Z26" s="34">
        <f>RTD("fxbluelabs.excelrtd", , "21422436","@bh,CADCHF,d1,close,24")</f>
        <v>0.64737999999999996</v>
      </c>
      <c r="AA26" s="35">
        <f>RTD("fxbluelabs.excelrtd", , "21422436","@bh,CHFJPY,d1,close,24")</f>
        <v>177.15899999999999</v>
      </c>
      <c r="AB26" s="34">
        <f>RTD("fxbluelabs.excelrtd", , "21422436","@bh,USDCAD,d1,close,24")</f>
        <v>1.3730199999999999</v>
      </c>
      <c r="AC26" s="34">
        <f>RTD("fxbluelabs.excelrtd", , "21422436","@bh,USDCHF,d1,close,24")</f>
        <v>0.88890999999999998</v>
      </c>
      <c r="AD26" s="35">
        <f>RTD("fxbluelabs.excelrtd", , "21422436","@bh,USDJPY,d1,close,24")</f>
        <v>157.51499999999999</v>
      </c>
      <c r="AH26" s="13">
        <v>25</v>
      </c>
      <c r="AI26" s="27">
        <f t="shared" si="40"/>
        <v>-0.3280644199224545</v>
      </c>
      <c r="AJ26" s="27">
        <f t="shared" si="40"/>
        <v>0.26141905474476712</v>
      </c>
      <c r="AK26" s="27">
        <f t="shared" si="40"/>
        <v>-0.23217247097844543</v>
      </c>
      <c r="AL26" s="27">
        <f t="shared" si="40"/>
        <v>-0.19989585258101231</v>
      </c>
      <c r="AM26" s="27">
        <f t="shared" si="40"/>
        <v>-0.14798050139274863</v>
      </c>
      <c r="AN26" s="27">
        <f t="shared" si="40"/>
        <v>-0.12389981552693786</v>
      </c>
      <c r="AO26" s="27">
        <f t="shared" si="40"/>
        <v>5.6252009000318223E-2</v>
      </c>
      <c r="AP26" s="27">
        <f t="shared" si="40"/>
        <v>0.10691248619047196</v>
      </c>
      <c r="AQ26" s="27">
        <f t="shared" si="40"/>
        <v>-4.1351362527321861E-3</v>
      </c>
      <c r="AR26" s="27">
        <f t="shared" si="40"/>
        <v>-4.8990161142639044E-2</v>
      </c>
      <c r="AS26" s="27">
        <f t="shared" si="40"/>
        <v>0.195733261113092</v>
      </c>
      <c r="AT26" s="27">
        <f t="shared" si="40"/>
        <v>0.4654620501411863</v>
      </c>
      <c r="AU26" s="27">
        <f t="shared" si="40"/>
        <v>-0.23796646836127416</v>
      </c>
      <c r="AV26" s="27">
        <f t="shared" si="40"/>
        <v>8.1352208427459188E-2</v>
      </c>
      <c r="AW26" s="27">
        <f t="shared" si="40"/>
        <v>0.35403024670022887</v>
      </c>
      <c r="AX26" s="27">
        <f t="shared" si="39"/>
        <v>-5.8066771149263417E-2</v>
      </c>
      <c r="AY26" s="27">
        <f t="shared" si="39"/>
        <v>-0.11052993446533139</v>
      </c>
      <c r="AZ26" s="27">
        <f t="shared" si="39"/>
        <v>-0.1428760807765373</v>
      </c>
      <c r="BA26" s="27">
        <f t="shared" si="39"/>
        <v>-0.49522127243477426</v>
      </c>
      <c r="BB26" s="27">
        <f t="shared" si="39"/>
        <v>-0.4659224332333054</v>
      </c>
      <c r="BC26" s="27">
        <f t="shared" si="39"/>
        <v>-0.60546907310294573</v>
      </c>
      <c r="BD26" s="27">
        <f t="shared" si="39"/>
        <v>-0.42369300966889334</v>
      </c>
      <c r="BE26" s="27">
        <f t="shared" si="39"/>
        <v>-8.5353957636565433E-2</v>
      </c>
      <c r="BF26" s="27">
        <f t="shared" si="39"/>
        <v>-5.4034860204108574E-2</v>
      </c>
      <c r="BG26" s="27">
        <f t="shared" si="39"/>
        <v>-4.6264690449739083E-2</v>
      </c>
      <c r="BH26" s="27">
        <f t="shared" si="39"/>
        <v>0.17729590906105636</v>
      </c>
      <c r="BI26" s="27">
        <f t="shared" si="39"/>
        <v>0.12841163814952408</v>
      </c>
      <c r="BJ26" s="27">
        <f t="shared" si="39"/>
        <v>9.5955873007792153E-2</v>
      </c>
      <c r="BN26">
        <v>25</v>
      </c>
      <c r="BO26" s="28">
        <f t="shared" si="5"/>
        <v>-0.73818267746734789</v>
      </c>
      <c r="BP26" s="28">
        <f t="shared" si="2"/>
        <v>-6.0419817700245737E-2</v>
      </c>
      <c r="BQ26" s="28">
        <f t="shared" si="42"/>
        <v>-1.2903158985599248</v>
      </c>
      <c r="BR26" s="28">
        <f t="shared" si="42"/>
        <v>-1.2796803333692943</v>
      </c>
      <c r="BS26" s="28">
        <f t="shared" si="42"/>
        <v>-0.32067255950428064</v>
      </c>
      <c r="BT26" s="28">
        <f t="shared" si="41"/>
        <v>-0.14717086753864062</v>
      </c>
      <c r="BU26" s="28">
        <f t="shared" si="41"/>
        <v>0.27074088944429525</v>
      </c>
      <c r="BV26" s="28">
        <f t="shared" si="41"/>
        <v>0.31393100046173794</v>
      </c>
      <c r="BW26" s="28">
        <f t="shared" si="41"/>
        <v>-0.70140042717558904</v>
      </c>
      <c r="BX26" s="28">
        <f t="shared" si="41"/>
        <v>-0.72663228357750653</v>
      </c>
      <c r="BY26" s="28">
        <f t="shared" si="41"/>
        <v>0.57847901528850432</v>
      </c>
      <c r="BZ26" s="28">
        <f t="shared" si="41"/>
        <v>0.52684600207667009</v>
      </c>
      <c r="CA26" s="28">
        <f t="shared" si="41"/>
        <v>-0.46786193933972081</v>
      </c>
      <c r="CB26" s="28">
        <f t="shared" si="41"/>
        <v>0.25632362600860781</v>
      </c>
      <c r="CC26" s="28">
        <f t="shared" si="41"/>
        <v>0.20836845695997042</v>
      </c>
      <c r="CD26" s="28">
        <f t="shared" si="41"/>
        <v>-5.1250327932222693E-2</v>
      </c>
      <c r="CE26" s="28">
        <f t="shared" si="41"/>
        <v>-1.0152459534970222</v>
      </c>
      <c r="CF26" s="28">
        <f t="shared" si="41"/>
        <v>-1.0266805512041906</v>
      </c>
      <c r="CG26" s="28">
        <f t="shared" si="41"/>
        <v>-1.2294892855788127</v>
      </c>
      <c r="CH26" s="28">
        <f t="shared" si="41"/>
        <v>-1.2193166703054854</v>
      </c>
      <c r="CI26" s="28">
        <f t="shared" si="41"/>
        <v>-0.6815550122759787</v>
      </c>
      <c r="CJ26" s="28">
        <f t="shared" si="41"/>
        <v>-0.26260621576710003</v>
      </c>
      <c r="CK26" s="28">
        <f t="shared" si="41"/>
        <v>-0.96836732250791324</v>
      </c>
      <c r="CL26" s="28">
        <f t="shared" si="37"/>
        <v>-0.95857979302693841</v>
      </c>
      <c r="CM26" s="28">
        <f t="shared" si="37"/>
        <v>-2.5354565636859928E-2</v>
      </c>
      <c r="CN26" s="28">
        <f t="shared" si="37"/>
        <v>0.41925620048571927</v>
      </c>
      <c r="CO26" s="28">
        <f t="shared" si="37"/>
        <v>-0.54036689274253569</v>
      </c>
      <c r="CP26" s="28">
        <f t="shared" si="37"/>
        <v>-0.55004615102960741</v>
      </c>
      <c r="CU26" s="21">
        <v>25</v>
      </c>
      <c r="CV26" s="29">
        <f t="shared" si="6"/>
        <v>0.11479332897947148</v>
      </c>
      <c r="CW26" s="29">
        <f t="shared" si="7"/>
        <v>1.3636136533352641</v>
      </c>
      <c r="CX26" s="29">
        <f t="shared" si="8"/>
        <v>-1.9824151022612626</v>
      </c>
      <c r="CY26" s="29">
        <f t="shared" si="9"/>
        <v>4.7306557114530667</v>
      </c>
      <c r="CZ26" s="29">
        <f t="shared" si="10"/>
        <v>-2.4102776894663163</v>
      </c>
      <c r="DA26" s="29">
        <f t="shared" si="11"/>
        <v>-4.5240739278982058</v>
      </c>
      <c r="DB26" s="29">
        <f t="shared" si="12"/>
        <v>-4.0677618252637719</v>
      </c>
      <c r="DC26" s="29">
        <f t="shared" si="13"/>
        <v>5.8168860580948163</v>
      </c>
      <c r="DF26" s="48">
        <v>25</v>
      </c>
      <c r="DG26" s="49">
        <f t="shared" si="36"/>
        <v>0.41925620048571927</v>
      </c>
      <c r="DH26" s="49">
        <f t="shared" si="14"/>
        <v>0.27074088944429525</v>
      </c>
      <c r="DI26" s="49">
        <f t="shared" si="15"/>
        <v>-0.54036689274253569</v>
      </c>
      <c r="DJ26" s="49">
        <f t="shared" si="16"/>
        <v>-0.70140042717558904</v>
      </c>
      <c r="DK26" s="49">
        <f t="shared" si="17"/>
        <v>0.46786193933972081</v>
      </c>
      <c r="DL26" s="49">
        <f t="shared" si="18"/>
        <v>0.31393100046173794</v>
      </c>
      <c r="DM26" s="49">
        <f t="shared" si="19"/>
        <v>0.73818267746734789</v>
      </c>
      <c r="DN26" s="49">
        <f t="shared" si="20"/>
        <v>0.57847901528850432</v>
      </c>
      <c r="DO26" s="49">
        <f t="shared" si="21"/>
        <v>0.6815550122759787</v>
      </c>
      <c r="DP26" s="49">
        <f t="shared" si="22"/>
        <v>0.52684600207667009</v>
      </c>
      <c r="DQ26" s="49">
        <f t="shared" si="23"/>
        <v>-0.55004615102960741</v>
      </c>
      <c r="DR26" s="49">
        <f t="shared" si="24"/>
        <v>-0.72663228357750653</v>
      </c>
      <c r="DS26" s="49">
        <f t="shared" si="25"/>
        <v>0.14717086753864062</v>
      </c>
      <c r="DT26" s="49">
        <f t="shared" si="26"/>
        <v>-0.14717086753864062</v>
      </c>
      <c r="DX26">
        <v>25</v>
      </c>
      <c r="DY26" s="19">
        <f t="shared" si="27"/>
        <v>-1.2488203243557927</v>
      </c>
      <c r="EM26" s="21">
        <v>25</v>
      </c>
      <c r="EN26" s="16">
        <f t="shared" si="28"/>
        <v>0.11479332897947148</v>
      </c>
      <c r="EO26" s="16">
        <f t="shared" si="4"/>
        <v>1.3636136533352641</v>
      </c>
      <c r="EP26" s="16">
        <f t="shared" si="29"/>
        <v>-1.9824151022612626</v>
      </c>
      <c r="EQ26" s="16">
        <f t="shared" si="30"/>
        <v>4.7306557114530667</v>
      </c>
      <c r="ER26" s="16">
        <f t="shared" si="31"/>
        <v>-2.4102776894663163</v>
      </c>
      <c r="ES26" s="16">
        <f t="shared" si="32"/>
        <v>-4.5240739278982058</v>
      </c>
      <c r="ET26" s="16">
        <f t="shared" si="33"/>
        <v>-4.0677618252637719</v>
      </c>
      <c r="EU26" s="16">
        <f t="shared" si="34"/>
        <v>5.8168860580948163</v>
      </c>
      <c r="FK26" s="20"/>
      <c r="FL26" s="20"/>
    </row>
    <row r="27" spans="1:168" ht="14.4" thickBot="1" x14ac:dyDescent="0.35">
      <c r="A27" s="37" t="s">
        <v>51</v>
      </c>
      <c r="B27" s="38">
        <v>25</v>
      </c>
      <c r="C27" s="34">
        <f>RTD("fxbluelabs.excelrtd", , "21422436","@bh,AUDUSD,d1,close,25")</f>
        <v>0.67059999999999997</v>
      </c>
      <c r="D27" s="34">
        <f>RTD("fxbluelabs.excelrtd", , "21422436","@bh,AUDNZD,d1,close,25")</f>
        <v>1.1093299999999999</v>
      </c>
      <c r="E27" s="35">
        <f>RTD("fxbluelabs.excelrtd", , "21422436","@bh,AUDJPY,d1,close,25")</f>
        <v>105.52500000000001</v>
      </c>
      <c r="F27" s="34">
        <f>RTD("fxbluelabs.excelrtd", , "21422436","@bh,AUDCHF,d1,close,25")</f>
        <v>0.59531000000000001</v>
      </c>
      <c r="G27" s="34">
        <f>RTD("fxbluelabs.excelrtd", , "21422436","@bh,AUDCAD,d1,close,25")</f>
        <v>0.91903999999999997</v>
      </c>
      <c r="H27" s="34">
        <f>RTD("fxbluelabs.excelrtd", , "21422436","@bh,EURUSD,d1,close,25")</f>
        <v>1.0895900000000001</v>
      </c>
      <c r="I27" s="34">
        <f>RTD("fxbluelabs.excelrtd", , "21422436","@bh,EURCAD,d1,close,25")</f>
        <v>1.4932799999999999</v>
      </c>
      <c r="J27" s="34">
        <f>RTD("fxbluelabs.excelrtd", , "21422436","@bh,EURGBP,d1,close,25")</f>
        <v>0.84180999999999995</v>
      </c>
      <c r="K27" s="34">
        <f>RTD("fxbluelabs.excelrtd", , "21422436","@bh,EURCHF,d1,close,25")</f>
        <v>0.96731999999999996</v>
      </c>
      <c r="L27" s="35">
        <f>RTD("fxbluelabs.excelrtd", , "21422436","@bh,EURJPY,d1,close,25")</f>
        <v>171.46299999999999</v>
      </c>
      <c r="M27" s="34">
        <f>RTD("fxbluelabs.excelrtd", , "21422436","@bh,EURAUD,d1,close,25")</f>
        <v>1.62466</v>
      </c>
      <c r="N27" s="34">
        <f>RTD("fxbluelabs.excelrtd", , "21422436","@bh,EURNZD,d1,close,25")</f>
        <v>1.8025100000000001</v>
      </c>
      <c r="O27" s="34">
        <f>RTD("fxbluelabs.excelrtd", , "21422436","@bh,GBPUSD,d1,close,25")</f>
        <v>1.2943</v>
      </c>
      <c r="P27" s="34">
        <f>RTD("fxbluelabs.excelrtd", , "21422436","@bh,GBPAUD,d1,close,25")</f>
        <v>1.92988</v>
      </c>
      <c r="Q27" s="34">
        <f>RTD("fxbluelabs.excelrtd", , "21422436","@bh,GBPNZD,d1,close,25")</f>
        <v>2.14106</v>
      </c>
      <c r="R27" s="34">
        <f>RTD("fxbluelabs.excelrtd", , "21422436","@bh,GBPCAD,d1,close,25")</f>
        <v>1.77382</v>
      </c>
      <c r="S27" s="34">
        <f>RTD("fxbluelabs.excelrtd", , "21422436","@bh,GBPCHF,d1,close,25")</f>
        <v>1.1490100000000001</v>
      </c>
      <c r="T27" s="35">
        <f>RTD("fxbluelabs.excelrtd", , "21422436","@bh,GBPJPY,d1,close,25")</f>
        <v>203.673</v>
      </c>
      <c r="U27" s="35">
        <f>RTD("fxbluelabs.excelrtd", , "21422436","@bh,NZDJPY,d1,close,25")</f>
        <v>95.108999999999995</v>
      </c>
      <c r="V27" s="34">
        <f>RTD("fxbluelabs.excelrtd", , "21422436","@bh,NZDCHF,d1,close,25")</f>
        <v>0.53656999999999999</v>
      </c>
      <c r="W27" s="34">
        <f>RTD("fxbluelabs.excelrtd", , "21422436","@bh,NZDUSD,d1,close,25")</f>
        <v>0.60448999999999997</v>
      </c>
      <c r="X27" s="34">
        <f>RTD("fxbluelabs.excelrtd", , "21422436","@bh,NZDCAD,d1,close,25")</f>
        <v>0.82843</v>
      </c>
      <c r="Y27" s="35">
        <f>RTD("fxbluelabs.excelrtd", , "21422436","@bh,CADJPY,d1,close,25")</f>
        <v>114.816</v>
      </c>
      <c r="Z27" s="34">
        <f>RTD("fxbluelabs.excelrtd", , "21422436","@bh,CADCHF,d1,close,25")</f>
        <v>0.64773000000000003</v>
      </c>
      <c r="AA27" s="35">
        <f>RTD("fxbluelabs.excelrtd", , "21422436","@bh,CHFJPY,d1,close,25")</f>
        <v>177.24100000000001</v>
      </c>
      <c r="AB27" s="34">
        <f>RTD("fxbluelabs.excelrtd", , "21422436","@bh,USDCAD,d1,close,25")</f>
        <v>1.37059</v>
      </c>
      <c r="AC27" s="34">
        <f>RTD("fxbluelabs.excelrtd", , "21422436","@bh,USDCHF,d1,close,25")</f>
        <v>0.88776999999999995</v>
      </c>
      <c r="AD27" s="35">
        <f>RTD("fxbluelabs.excelrtd", , "21422436","@bh,USDJPY,d1,close,25")</f>
        <v>157.364</v>
      </c>
      <c r="AH27" s="21">
        <v>26</v>
      </c>
      <c r="AI27" s="22">
        <f t="shared" si="40"/>
        <v>-0.34180413137168669</v>
      </c>
      <c r="AJ27" s="22">
        <f t="shared" si="40"/>
        <v>0.27388592605982698</v>
      </c>
      <c r="AK27" s="22">
        <f t="shared" si="40"/>
        <v>0.40819821877141094</v>
      </c>
      <c r="AL27" s="22">
        <f t="shared" si="40"/>
        <v>0.15646556075237833</v>
      </c>
      <c r="AM27" s="22">
        <f t="shared" si="40"/>
        <v>-0.18138175972891141</v>
      </c>
      <c r="AN27" s="22">
        <f t="shared" si="40"/>
        <v>-0.39946615964020482</v>
      </c>
      <c r="AO27" s="22">
        <f t="shared" si="40"/>
        <v>-0.23850085178876126</v>
      </c>
      <c r="AP27" s="22">
        <f t="shared" si="40"/>
        <v>0.10107496194823848</v>
      </c>
      <c r="AQ27" s="22">
        <f t="shared" si="40"/>
        <v>0.10037770993945416</v>
      </c>
      <c r="AR27" s="22">
        <f t="shared" si="40"/>
        <v>0.3464601951179454</v>
      </c>
      <c r="AS27" s="22">
        <f t="shared" si="40"/>
        <v>-6.397244264008918E-2</v>
      </c>
      <c r="AT27" s="22">
        <f t="shared" si="40"/>
        <v>0.21237678532710788</v>
      </c>
      <c r="AU27" s="22">
        <f t="shared" si="40"/>
        <v>-0.50045740730775556</v>
      </c>
      <c r="AV27" s="22">
        <f t="shared" si="40"/>
        <v>-0.16553893268772477</v>
      </c>
      <c r="AW27" s="22">
        <f t="shared" si="40"/>
        <v>0.11877373136560633</v>
      </c>
      <c r="AX27" s="22">
        <f t="shared" si="39"/>
        <v>-0.33991246551715071</v>
      </c>
      <c r="AY27" s="22">
        <f t="shared" si="39"/>
        <v>-1.7405985918478176E-3</v>
      </c>
      <c r="AZ27" s="22">
        <f t="shared" si="39"/>
        <v>0.25004306844191165</v>
      </c>
      <c r="BA27" s="22">
        <f t="shared" si="39"/>
        <v>0.16956649955765407</v>
      </c>
      <c r="BB27" s="22">
        <f t="shared" si="39"/>
        <v>-8.7516758528223312E-2</v>
      </c>
      <c r="BC27" s="22">
        <f t="shared" si="39"/>
        <v>-0.60999671160802227</v>
      </c>
      <c r="BD27" s="22">
        <f t="shared" si="39"/>
        <v>-0.44583844064700545</v>
      </c>
      <c r="BE27" s="22">
        <f t="shared" si="39"/>
        <v>0.58873002523128415</v>
      </c>
      <c r="BF27" s="22">
        <f t="shared" si="39"/>
        <v>0.33614226408079889</v>
      </c>
      <c r="BG27" s="22">
        <f t="shared" si="39"/>
        <v>0.25453784412103392</v>
      </c>
      <c r="BH27" s="22">
        <f t="shared" si="39"/>
        <v>0.1658968662301212</v>
      </c>
      <c r="BI27" s="22">
        <f t="shared" si="39"/>
        <v>0.50150564901396222</v>
      </c>
      <c r="BJ27" s="22">
        <f t="shared" si="39"/>
        <v>0.75358384500630171</v>
      </c>
      <c r="BN27">
        <v>26</v>
      </c>
      <c r="BO27" s="23">
        <f t="shared" si="5"/>
        <v>-0.41011825754489345</v>
      </c>
      <c r="BP27" s="23">
        <f t="shared" si="2"/>
        <v>-0.32183887244501286</v>
      </c>
      <c r="BQ27" s="23">
        <f t="shared" si="42"/>
        <v>-1.0581434275814794</v>
      </c>
      <c r="BR27" s="23">
        <f t="shared" si="42"/>
        <v>-1.0797844807882819</v>
      </c>
      <c r="BS27" s="23">
        <f t="shared" si="42"/>
        <v>-0.17269205811153202</v>
      </c>
      <c r="BT27" s="23">
        <f t="shared" si="41"/>
        <v>-2.3271052011702764E-2</v>
      </c>
      <c r="BU27" s="23">
        <f t="shared" si="41"/>
        <v>0.21448888044397704</v>
      </c>
      <c r="BV27" s="23">
        <f t="shared" si="41"/>
        <v>0.207018514271266</v>
      </c>
      <c r="BW27" s="23">
        <f t="shared" si="41"/>
        <v>-0.69726529092285683</v>
      </c>
      <c r="BX27" s="23">
        <f t="shared" si="41"/>
        <v>-0.67764212243486743</v>
      </c>
      <c r="BY27" s="23">
        <f t="shared" si="41"/>
        <v>0.38274575417541234</v>
      </c>
      <c r="BZ27" s="23">
        <f t="shared" si="41"/>
        <v>6.1383951935483766E-2</v>
      </c>
      <c r="CA27" s="23">
        <f t="shared" si="41"/>
        <v>-0.22989547097844665</v>
      </c>
      <c r="CB27" s="23">
        <f t="shared" si="41"/>
        <v>0.17497141758114862</v>
      </c>
      <c r="CC27" s="23">
        <f t="shared" si="41"/>
        <v>-0.14566178974025845</v>
      </c>
      <c r="CD27" s="23">
        <f t="shared" si="41"/>
        <v>6.8164432170407241E-3</v>
      </c>
      <c r="CE27" s="23">
        <f t="shared" si="41"/>
        <v>-0.90471601903169085</v>
      </c>
      <c r="CF27" s="23">
        <f t="shared" si="41"/>
        <v>-0.88380447042765331</v>
      </c>
      <c r="CG27" s="23">
        <f t="shared" si="41"/>
        <v>-0.73426801314403845</v>
      </c>
      <c r="CH27" s="23">
        <f t="shared" si="41"/>
        <v>-0.75339423707218001</v>
      </c>
      <c r="CI27" s="23">
        <f t="shared" si="41"/>
        <v>-7.6085939173032968E-2</v>
      </c>
      <c r="CJ27" s="23">
        <f t="shared" si="41"/>
        <v>0.16108679390179331</v>
      </c>
      <c r="CK27" s="23">
        <f t="shared" si="41"/>
        <v>-0.88301336487134785</v>
      </c>
      <c r="CL27" s="23">
        <f t="shared" ref="CL27:CP28" si="43">BF27+SUM(BF28:BF62)</f>
        <v>-0.90454493282282988</v>
      </c>
      <c r="CM27" s="23">
        <f t="shared" si="43"/>
        <v>2.0910124812879155E-2</v>
      </c>
      <c r="CN27" s="23">
        <f t="shared" si="43"/>
        <v>0.24196029142466291</v>
      </c>
      <c r="CO27" s="23">
        <f t="shared" si="43"/>
        <v>-0.66877853089205974</v>
      </c>
      <c r="CP27" s="23">
        <f t="shared" si="43"/>
        <v>-0.64600202403739959</v>
      </c>
      <c r="CU27" s="13">
        <v>26</v>
      </c>
      <c r="CV27" s="24">
        <f t="shared" si="6"/>
        <v>-0.53254136454328793</v>
      </c>
      <c r="CW27" s="24">
        <f t="shared" si="7"/>
        <v>-0.33344954379672048</v>
      </c>
      <c r="CX27" s="24">
        <f t="shared" si="8"/>
        <v>-2.2392186485701195</v>
      </c>
      <c r="CY27" s="24">
        <f t="shared" si="9"/>
        <v>4.1248486835199483</v>
      </c>
      <c r="CZ27" s="24">
        <f t="shared" si="10"/>
        <v>-2.1893084036511259</v>
      </c>
      <c r="DA27" s="24">
        <f t="shared" si="11"/>
        <v>-3.6002942682277603</v>
      </c>
      <c r="DB27" s="24">
        <f t="shared" si="12"/>
        <v>-0.99654468523767037</v>
      </c>
      <c r="DC27" s="24">
        <f t="shared" si="13"/>
        <v>4.8619632976839071</v>
      </c>
      <c r="DF27" s="46">
        <v>26</v>
      </c>
      <c r="DG27" s="47">
        <f t="shared" si="36"/>
        <v>0.24196029142466291</v>
      </c>
      <c r="DH27" s="47">
        <f t="shared" si="14"/>
        <v>0.21448888044397704</v>
      </c>
      <c r="DI27" s="47">
        <f t="shared" si="15"/>
        <v>-0.66877853089205974</v>
      </c>
      <c r="DJ27" s="47">
        <f t="shared" si="16"/>
        <v>-0.69726529092285683</v>
      </c>
      <c r="DK27" s="47">
        <f t="shared" si="17"/>
        <v>0.22989547097844665</v>
      </c>
      <c r="DL27" s="47">
        <f t="shared" si="18"/>
        <v>0.207018514271266</v>
      </c>
      <c r="DM27" s="47">
        <f t="shared" si="19"/>
        <v>0.41011825754489345</v>
      </c>
      <c r="DN27" s="47">
        <f t="shared" si="20"/>
        <v>0.38274575417541234</v>
      </c>
      <c r="DO27" s="47">
        <f t="shared" si="21"/>
        <v>7.6085939173032968E-2</v>
      </c>
      <c r="DP27" s="47">
        <f t="shared" si="22"/>
        <v>6.1383951935483766E-2</v>
      </c>
      <c r="DQ27" s="47">
        <f t="shared" si="23"/>
        <v>-0.64600202403739959</v>
      </c>
      <c r="DR27" s="47">
        <f t="shared" si="24"/>
        <v>-0.67764212243486743</v>
      </c>
      <c r="DS27" s="47">
        <f t="shared" si="25"/>
        <v>2.3271052011702764E-2</v>
      </c>
      <c r="DT27" s="47">
        <f t="shared" si="26"/>
        <v>-2.3271052011702764E-2</v>
      </c>
      <c r="DX27">
        <v>26</v>
      </c>
      <c r="DY27" s="19">
        <f t="shared" si="27"/>
        <v>-0.19909182074656745</v>
      </c>
      <c r="EM27" s="13">
        <v>26</v>
      </c>
      <c r="EN27" s="16">
        <f t="shared" si="28"/>
        <v>-0.53254136454328793</v>
      </c>
      <c r="EO27" s="16">
        <f t="shared" si="4"/>
        <v>-0.33344954379672048</v>
      </c>
      <c r="EP27" s="16">
        <f t="shared" si="29"/>
        <v>-2.2392186485701195</v>
      </c>
      <c r="EQ27" s="16">
        <f t="shared" si="30"/>
        <v>4.1248486835199483</v>
      </c>
      <c r="ER27" s="16">
        <f t="shared" si="31"/>
        <v>-2.1893084036511259</v>
      </c>
      <c r="ES27" s="16">
        <f t="shared" si="32"/>
        <v>-3.6002942682277603</v>
      </c>
      <c r="ET27" s="16">
        <f t="shared" si="33"/>
        <v>-0.99654468523767037</v>
      </c>
      <c r="EU27" s="16">
        <f t="shared" si="34"/>
        <v>4.8619632976839071</v>
      </c>
      <c r="FK27" s="20"/>
      <c r="FL27" s="20"/>
    </row>
    <row r="28" spans="1:168" ht="14.4" thickBot="1" x14ac:dyDescent="0.35">
      <c r="A28" s="37" t="s">
        <v>51</v>
      </c>
      <c r="B28" s="38">
        <v>26</v>
      </c>
      <c r="C28" s="34">
        <f>RTD("fxbluelabs.excelrtd", , "21422436","@bh,AUDUSD,d1,close,26")</f>
        <v>0.67290000000000005</v>
      </c>
      <c r="D28" s="34">
        <f>RTD("fxbluelabs.excelrtd", , "21422436","@bh,AUDNZD,d1,close,26")</f>
        <v>1.1063000000000001</v>
      </c>
      <c r="E28" s="35">
        <f>RTD("fxbluelabs.excelrtd", , "21422436","@bh,AUDJPY,d1,close,26")</f>
        <v>105.096</v>
      </c>
      <c r="F28" s="34">
        <f>RTD("fxbluelabs.excelrtd", , "21422436","@bh,AUDCHF,d1,close,26")</f>
        <v>0.59438000000000002</v>
      </c>
      <c r="G28" s="34">
        <f>RTD("fxbluelabs.excelrtd", , "21422436","@bh,AUDCAD,d1,close,26")</f>
        <v>0.92071000000000003</v>
      </c>
      <c r="H28" s="34">
        <f>RTD("fxbluelabs.excelrtd", , "21422436","@bh,EURUSD,d1,close,26")</f>
        <v>1.09396</v>
      </c>
      <c r="I28" s="34">
        <f>RTD("fxbluelabs.excelrtd", , "21422436","@bh,EURCAD,d1,close,26")</f>
        <v>1.49685</v>
      </c>
      <c r="J28" s="34">
        <f>RTD("fxbluelabs.excelrtd", , "21422436","@bh,EURGBP,d1,close,26")</f>
        <v>0.84096000000000004</v>
      </c>
      <c r="K28" s="34">
        <f>RTD("fxbluelabs.excelrtd", , "21422436","@bh,EURCHF,d1,close,26")</f>
        <v>0.96635000000000004</v>
      </c>
      <c r="L28" s="35">
        <f>RTD("fxbluelabs.excelrtd", , "21422436","@bh,EURJPY,d1,close,26")</f>
        <v>170.87100000000001</v>
      </c>
      <c r="M28" s="34">
        <f>RTD("fxbluelabs.excelrtd", , "21422436","@bh,EURAUD,d1,close,26")</f>
        <v>1.6256999999999999</v>
      </c>
      <c r="N28" s="34">
        <f>RTD("fxbluelabs.excelrtd", , "21422436","@bh,EURNZD,d1,close,26")</f>
        <v>1.7986899999999999</v>
      </c>
      <c r="O28" s="34">
        <f>RTD("fxbluelabs.excelrtd", , "21422436","@bh,GBPUSD,d1,close,26")</f>
        <v>1.30081</v>
      </c>
      <c r="P28" s="34">
        <f>RTD("fxbluelabs.excelrtd", , "21422436","@bh,GBPAUD,d1,close,26")</f>
        <v>1.9330799999999999</v>
      </c>
      <c r="Q28" s="34">
        <f>RTD("fxbluelabs.excelrtd", , "21422436","@bh,GBPNZD,d1,close,26")</f>
        <v>2.1385200000000002</v>
      </c>
      <c r="R28" s="34">
        <f>RTD("fxbluelabs.excelrtd", , "21422436","@bh,GBPCAD,d1,close,26")</f>
        <v>1.7798700000000001</v>
      </c>
      <c r="S28" s="34">
        <f>RTD("fxbluelabs.excelrtd", , "21422436","@bh,GBPCHF,d1,close,26")</f>
        <v>1.14903</v>
      </c>
      <c r="T28" s="35">
        <f>RTD("fxbluelabs.excelrtd", , "21422436","@bh,GBPJPY,d1,close,26")</f>
        <v>203.16499999999999</v>
      </c>
      <c r="U28" s="35">
        <f>RTD("fxbluelabs.excelrtd", , "21422436","@bh,NZDJPY,d1,close,26")</f>
        <v>94.947999999999993</v>
      </c>
      <c r="V28" s="34">
        <f>RTD("fxbluelabs.excelrtd", , "21422436","@bh,NZDCHF,d1,close,26")</f>
        <v>0.53703999999999996</v>
      </c>
      <c r="W28" s="34">
        <f>RTD("fxbluelabs.excelrtd", , "21422436","@bh,NZDUSD,d1,close,26")</f>
        <v>0.60819999999999996</v>
      </c>
      <c r="X28" s="34">
        <f>RTD("fxbluelabs.excelrtd", , "21422436","@bh,NZDCAD,d1,close,26")</f>
        <v>0.83213999999999999</v>
      </c>
      <c r="Y28" s="35">
        <f>RTD("fxbluelabs.excelrtd", , "21422436","@bh,CADJPY,d1,close,26")</f>
        <v>114.14400000000001</v>
      </c>
      <c r="Z28" s="34">
        <f>RTD("fxbluelabs.excelrtd", , "21422436","@bh,CADCHF,d1,close,26")</f>
        <v>0.64556000000000002</v>
      </c>
      <c r="AA28" s="35">
        <f>RTD("fxbluelabs.excelrtd", , "21422436","@bh,CHFJPY,d1,close,26")</f>
        <v>176.791</v>
      </c>
      <c r="AB28" s="34">
        <f>RTD("fxbluelabs.excelrtd", , "21422436","@bh,USDCAD,d1,close,26")</f>
        <v>1.36832</v>
      </c>
      <c r="AC28" s="34">
        <f>RTD("fxbluelabs.excelrtd", , "21422436","@bh,USDCHF,d1,close,26")</f>
        <v>0.88334000000000001</v>
      </c>
      <c r="AD28" s="35">
        <f>RTD("fxbluelabs.excelrtd", , "21422436","@bh,USDJPY,d1,close,26")</f>
        <v>156.18700000000001</v>
      </c>
      <c r="AH28" s="21">
        <v>27</v>
      </c>
      <c r="AI28" s="27">
        <f>IF(C28=0,0,(C28-C29)*100/C29)</f>
        <v>-6.8314126173206743E-2</v>
      </c>
      <c r="AJ28" s="27">
        <f t="shared" si="40"/>
        <v>-0.59572479850483984</v>
      </c>
      <c r="AK28" s="27">
        <f t="shared" si="40"/>
        <v>-1.4663416463528904</v>
      </c>
      <c r="AL28" s="27">
        <f t="shared" si="40"/>
        <v>-1.2362500415406603</v>
      </c>
      <c r="AM28" s="27">
        <f t="shared" si="40"/>
        <v>8.6897016173794039E-3</v>
      </c>
      <c r="AN28" s="27">
        <f t="shared" si="40"/>
        <v>0.37619510762850206</v>
      </c>
      <c r="AO28" s="27">
        <f t="shared" si="40"/>
        <v>0.45298973223273831</v>
      </c>
      <c r="AP28" s="27">
        <f t="shared" si="40"/>
        <v>0.10594355232302753</v>
      </c>
      <c r="AQ28" s="27">
        <f t="shared" si="40"/>
        <v>-0.79764300086231099</v>
      </c>
      <c r="AR28" s="27">
        <f t="shared" si="40"/>
        <v>-1.0241023175528128</v>
      </c>
      <c r="AS28" s="27">
        <f t="shared" si="40"/>
        <v>0.44671819681550151</v>
      </c>
      <c r="AT28" s="27">
        <f t="shared" si="40"/>
        <v>-0.15099283339162411</v>
      </c>
      <c r="AU28" s="27">
        <f t="shared" si="40"/>
        <v>0.27056193632930892</v>
      </c>
      <c r="AV28" s="27">
        <f t="shared" si="40"/>
        <v>0.34051035026887339</v>
      </c>
      <c r="AW28" s="27">
        <f t="shared" si="40"/>
        <v>-0.26443552110586477</v>
      </c>
      <c r="AX28" s="27">
        <f t="shared" si="39"/>
        <v>0.34672890873419143</v>
      </c>
      <c r="AY28" s="27">
        <f t="shared" si="39"/>
        <v>-0.90297542043984302</v>
      </c>
      <c r="AZ28" s="27">
        <f t="shared" si="39"/>
        <v>-1.133847538869565</v>
      </c>
      <c r="BA28" s="27">
        <f t="shared" si="39"/>
        <v>-0.90383451270169257</v>
      </c>
      <c r="BB28" s="27">
        <f t="shared" si="39"/>
        <v>-0.66587747854395674</v>
      </c>
      <c r="BC28" s="27">
        <f t="shared" si="39"/>
        <v>0.5339107724349893</v>
      </c>
      <c r="BD28" s="27">
        <f t="shared" si="39"/>
        <v>0.60692523454879876</v>
      </c>
      <c r="BE28" s="27">
        <f t="shared" si="39"/>
        <v>-1.471743390102632</v>
      </c>
      <c r="BF28" s="27">
        <f t="shared" si="39"/>
        <v>-1.2406871969036288</v>
      </c>
      <c r="BG28" s="27">
        <f t="shared" si="39"/>
        <v>-0.23362771930815476</v>
      </c>
      <c r="BH28" s="27">
        <f t="shared" si="39"/>
        <v>7.6063425194541706E-2</v>
      </c>
      <c r="BI28" s="27">
        <f t="shared" si="39"/>
        <v>-1.170284179906022</v>
      </c>
      <c r="BJ28" s="27">
        <f t="shared" si="39"/>
        <v>-1.3995858690437013</v>
      </c>
      <c r="BN28">
        <v>27</v>
      </c>
      <c r="BO28" s="28">
        <f t="shared" si="5"/>
        <v>-6.8314126173206743E-2</v>
      </c>
      <c r="BP28" s="28">
        <f t="shared" si="2"/>
        <v>-0.59572479850483984</v>
      </c>
      <c r="BQ28" s="28">
        <f t="shared" si="42"/>
        <v>-1.4663416463528904</v>
      </c>
      <c r="BR28" s="28">
        <f t="shared" si="42"/>
        <v>-1.2362500415406603</v>
      </c>
      <c r="BS28" s="28">
        <f t="shared" si="42"/>
        <v>8.6897016173794039E-3</v>
      </c>
      <c r="BT28" s="28">
        <f t="shared" si="41"/>
        <v>0.37619510762850206</v>
      </c>
      <c r="BU28" s="28">
        <f t="shared" si="41"/>
        <v>0.45298973223273831</v>
      </c>
      <c r="BV28" s="28">
        <f t="shared" si="41"/>
        <v>0.10594355232302753</v>
      </c>
      <c r="BW28" s="28">
        <f t="shared" si="41"/>
        <v>-0.79764300086231099</v>
      </c>
      <c r="BX28" s="28">
        <f t="shared" si="41"/>
        <v>-1.0241023175528128</v>
      </c>
      <c r="BY28" s="28">
        <f t="shared" si="41"/>
        <v>0.44671819681550151</v>
      </c>
      <c r="BZ28" s="28">
        <f t="shared" si="41"/>
        <v>-0.15099283339162411</v>
      </c>
      <c r="CA28" s="28">
        <f t="shared" si="41"/>
        <v>0.27056193632930892</v>
      </c>
      <c r="CB28" s="28">
        <f t="shared" si="41"/>
        <v>0.34051035026887339</v>
      </c>
      <c r="CC28" s="28">
        <f t="shared" si="41"/>
        <v>-0.26443552110586477</v>
      </c>
      <c r="CD28" s="28">
        <f t="shared" si="41"/>
        <v>0.34672890873419143</v>
      </c>
      <c r="CE28" s="28">
        <f t="shared" si="41"/>
        <v>-0.90297542043984302</v>
      </c>
      <c r="CF28" s="28">
        <f t="shared" si="41"/>
        <v>-1.133847538869565</v>
      </c>
      <c r="CG28" s="28">
        <f t="shared" si="41"/>
        <v>-0.90383451270169257</v>
      </c>
      <c r="CH28" s="28">
        <f t="shared" si="41"/>
        <v>-0.66587747854395674</v>
      </c>
      <c r="CI28" s="28">
        <f t="shared" si="41"/>
        <v>0.5339107724349893</v>
      </c>
      <c r="CJ28" s="28">
        <f t="shared" si="41"/>
        <v>0.60692523454879876</v>
      </c>
      <c r="CK28" s="28">
        <f t="shared" si="41"/>
        <v>-1.471743390102632</v>
      </c>
      <c r="CL28" s="28">
        <f t="shared" si="43"/>
        <v>-1.2406871969036288</v>
      </c>
      <c r="CM28" s="28">
        <f t="shared" si="43"/>
        <v>-0.23362771930815476</v>
      </c>
      <c r="CN28" s="28">
        <f t="shared" si="43"/>
        <v>7.6063425194541706E-2</v>
      </c>
      <c r="CO28" s="28">
        <f t="shared" si="43"/>
        <v>-1.170284179906022</v>
      </c>
      <c r="CP28" s="28">
        <f t="shared" si="43"/>
        <v>-1.3995858690437013</v>
      </c>
      <c r="CU28" s="21">
        <v>27</v>
      </c>
      <c r="CV28" s="29">
        <f t="shared" si="6"/>
        <v>-0.59089156280697841</v>
      </c>
      <c r="CW28" s="29">
        <f t="shared" si="7"/>
        <v>-3.6061603139747755</v>
      </c>
      <c r="CX28" s="29">
        <f t="shared" si="8"/>
        <v>-4.203827589333911</v>
      </c>
      <c r="CY28" s="29">
        <f t="shared" si="9"/>
        <v>4.5394024019846384</v>
      </c>
      <c r="CZ28" s="29">
        <f t="shared" si="10"/>
        <v>-1.4494008374059264</v>
      </c>
      <c r="DA28" s="29">
        <f t="shared" si="11"/>
        <v>-4.1451694580385929</v>
      </c>
      <c r="DB28" s="29">
        <f t="shared" si="12"/>
        <v>0.58227716874046753</v>
      </c>
      <c r="DC28" s="29">
        <f t="shared" si="13"/>
        <v>7.6330829939314482</v>
      </c>
      <c r="DF28" s="48">
        <v>27</v>
      </c>
      <c r="DG28" s="49">
        <f t="shared" si="36"/>
        <v>7.6063425194541706E-2</v>
      </c>
      <c r="DH28" s="49">
        <f t="shared" si="14"/>
        <v>0.45298973223273831</v>
      </c>
      <c r="DI28" s="49">
        <f t="shared" si="15"/>
        <v>-1.170284179906022</v>
      </c>
      <c r="DJ28" s="49">
        <f t="shared" si="16"/>
        <v>-0.79764300086231099</v>
      </c>
      <c r="DK28" s="49">
        <f t="shared" si="17"/>
        <v>-0.27056193632930892</v>
      </c>
      <c r="DL28" s="49">
        <f t="shared" si="18"/>
        <v>0.10594355232302753</v>
      </c>
      <c r="DM28" s="49">
        <f t="shared" si="19"/>
        <v>6.8314126173206743E-2</v>
      </c>
      <c r="DN28" s="49">
        <f t="shared" si="20"/>
        <v>0.44671819681550151</v>
      </c>
      <c r="DO28" s="49">
        <f t="shared" si="21"/>
        <v>-0.5339107724349893</v>
      </c>
      <c r="DP28" s="49">
        <f t="shared" si="22"/>
        <v>-0.15099283339162411</v>
      </c>
      <c r="DQ28" s="49">
        <f t="shared" si="23"/>
        <v>-1.3995858690437013</v>
      </c>
      <c r="DR28" s="49">
        <f t="shared" si="24"/>
        <v>-1.0241023175528128</v>
      </c>
      <c r="DS28" s="49">
        <f t="shared" si="25"/>
        <v>-0.37619510762850206</v>
      </c>
      <c r="DT28" s="49">
        <f t="shared" si="26"/>
        <v>0.37619510762850206</v>
      </c>
      <c r="DX28">
        <v>27</v>
      </c>
      <c r="DY28" s="19">
        <f t="shared" si="27"/>
        <v>3.0152687511677971</v>
      </c>
      <c r="EM28" s="21">
        <v>27</v>
      </c>
      <c r="EN28" s="16">
        <f t="shared" si="28"/>
        <v>-0.59089156280697841</v>
      </c>
      <c r="EO28" s="16">
        <f t="shared" si="4"/>
        <v>-3.6061603139747755</v>
      </c>
      <c r="EP28" s="16">
        <f t="shared" si="29"/>
        <v>-4.203827589333911</v>
      </c>
      <c r="EQ28" s="16">
        <f t="shared" si="30"/>
        <v>4.5394024019846384</v>
      </c>
      <c r="ER28" s="16">
        <f t="shared" si="31"/>
        <v>-1.4494008374059264</v>
      </c>
      <c r="ES28" s="16">
        <f t="shared" si="32"/>
        <v>-4.1451694580385929</v>
      </c>
      <c r="ET28" s="16">
        <f t="shared" si="33"/>
        <v>0.58227716874046753</v>
      </c>
      <c r="EU28" s="16">
        <f t="shared" si="34"/>
        <v>7.6330829939314482</v>
      </c>
      <c r="FK28" s="20"/>
      <c r="FL28" s="20"/>
    </row>
    <row r="29" spans="1:168" ht="14.4" thickBot="1" x14ac:dyDescent="0.35">
      <c r="A29" s="37" t="s">
        <v>51</v>
      </c>
      <c r="B29" s="38">
        <v>27</v>
      </c>
      <c r="C29" s="34">
        <f>RTD("fxbluelabs.excelrtd", , "21422436","@bh,AUDUSD,d1,close,27")</f>
        <v>0.67335999999999996</v>
      </c>
      <c r="D29" s="34">
        <f>RTD("fxbluelabs.excelrtd", , "21422436","@bh,AUDNZD,d1,close,27")</f>
        <v>1.11293</v>
      </c>
      <c r="E29" s="35">
        <f>RTD("fxbluelabs.excelrtd", , "21422436","@bh,AUDJPY,d1,close,27")</f>
        <v>106.66</v>
      </c>
      <c r="F29" s="34">
        <f>RTD("fxbluelabs.excelrtd", , "21422436","@bh,AUDCHF,d1,close,27")</f>
        <v>0.60182000000000002</v>
      </c>
      <c r="G29" s="34">
        <f>RTD("fxbluelabs.excelrtd", , "21422436","@bh,AUDCAD,d1,close,27")</f>
        <v>0.92062999999999995</v>
      </c>
      <c r="H29" s="34">
        <f>RTD("fxbluelabs.excelrtd", , "21422436","@bh,EURUSD,d1,close,27")</f>
        <v>1.0898600000000001</v>
      </c>
      <c r="I29" s="34">
        <f>RTD("fxbluelabs.excelrtd", , "21422436","@bh,EURCAD,d1,close,27")</f>
        <v>1.4901</v>
      </c>
      <c r="J29" s="34">
        <f>RTD("fxbluelabs.excelrtd", , "21422436","@bh,EURGBP,d1,close,27")</f>
        <v>0.84006999999999998</v>
      </c>
      <c r="K29" s="34">
        <f>RTD("fxbluelabs.excelrtd", , "21422436","@bh,EURCHF,d1,close,27")</f>
        <v>0.97411999999999999</v>
      </c>
      <c r="L29" s="35">
        <f>RTD("fxbluelabs.excelrtd", , "21422436","@bh,EURJPY,d1,close,27")</f>
        <v>172.63900000000001</v>
      </c>
      <c r="M29" s="34">
        <f>RTD("fxbluelabs.excelrtd", , "21422436","@bh,EURAUD,d1,close,27")</f>
        <v>1.6184700000000001</v>
      </c>
      <c r="N29" s="34">
        <f>RTD("fxbluelabs.excelrtd", , "21422436","@bh,EURNZD,d1,close,27")</f>
        <v>1.80141</v>
      </c>
      <c r="O29" s="34">
        <f>RTD("fxbluelabs.excelrtd", , "21422436","@bh,GBPUSD,d1,close,27")</f>
        <v>1.2972999999999999</v>
      </c>
      <c r="P29" s="34">
        <f>RTD("fxbluelabs.excelrtd", , "21422436","@bh,GBPAUD,d1,close,27")</f>
        <v>1.92652</v>
      </c>
      <c r="Q29" s="34">
        <f>RTD("fxbluelabs.excelrtd", , "21422436","@bh,GBPNZD,d1,close,27")</f>
        <v>2.14419</v>
      </c>
      <c r="R29" s="34">
        <f>RTD("fxbluelabs.excelrtd", , "21422436","@bh,GBPCAD,d1,close,27")</f>
        <v>1.77372</v>
      </c>
      <c r="S29" s="34">
        <f>RTD("fxbluelabs.excelrtd", , "21422436","@bh,GBPCHF,d1,close,27")</f>
        <v>1.1595</v>
      </c>
      <c r="T29" s="35">
        <f>RTD("fxbluelabs.excelrtd", , "21422436","@bh,GBPJPY,d1,close,27")</f>
        <v>205.495</v>
      </c>
      <c r="U29" s="35">
        <f>RTD("fxbluelabs.excelrtd", , "21422436","@bh,NZDJPY,d1,close,27")</f>
        <v>95.813999999999993</v>
      </c>
      <c r="V29" s="34">
        <f>RTD("fxbluelabs.excelrtd", , "21422436","@bh,NZDCHF,d1,close,27")</f>
        <v>0.54064000000000001</v>
      </c>
      <c r="W29" s="34">
        <f>RTD("fxbluelabs.excelrtd", , "21422436","@bh,NZDUSD,d1,close,27")</f>
        <v>0.60497000000000001</v>
      </c>
      <c r="X29" s="34">
        <f>RTD("fxbluelabs.excelrtd", , "21422436","@bh,NZDCAD,d1,close,27")</f>
        <v>0.82711999999999997</v>
      </c>
      <c r="Y29" s="35">
        <f>RTD("fxbluelabs.excelrtd", , "21422436","@bh,CADJPY,d1,close,27")</f>
        <v>115.849</v>
      </c>
      <c r="Z29" s="34">
        <f>RTD("fxbluelabs.excelrtd", , "21422436","@bh,CADCHF,d1,close,27")</f>
        <v>0.65366999999999997</v>
      </c>
      <c r="AA29" s="35">
        <f>RTD("fxbluelabs.excelrtd", , "21422436","@bh,CHFJPY,d1,close,27")</f>
        <v>177.20500000000001</v>
      </c>
      <c r="AB29" s="34">
        <f>RTD("fxbluelabs.excelrtd", , "21422436","@bh,USDCAD,d1,close,27")</f>
        <v>1.3672800000000001</v>
      </c>
      <c r="AC29" s="34">
        <f>RTD("fxbluelabs.excelrtd", , "21422436","@bh,USDCHF,d1,close,27")</f>
        <v>0.89380000000000004</v>
      </c>
      <c r="AD29" s="35">
        <f>RTD("fxbluelabs.excelrtd", , "21422436","@bh,USDJPY,d1,close,27")</f>
        <v>158.404</v>
      </c>
      <c r="AH29" s="21">
        <v>28</v>
      </c>
      <c r="AI29" s="22">
        <f>0</f>
        <v>0</v>
      </c>
      <c r="AJ29" s="22">
        <f>0</f>
        <v>0</v>
      </c>
      <c r="AK29" s="22">
        <f>0</f>
        <v>0</v>
      </c>
      <c r="AL29" s="22">
        <f>0</f>
        <v>0</v>
      </c>
      <c r="AM29" s="22">
        <f>0</f>
        <v>0</v>
      </c>
      <c r="AN29" s="22">
        <f>0</f>
        <v>0</v>
      </c>
      <c r="AO29" s="22">
        <f>0</f>
        <v>0</v>
      </c>
      <c r="AP29" s="22">
        <f>0</f>
        <v>0</v>
      </c>
      <c r="AQ29" s="22">
        <f>0</f>
        <v>0</v>
      </c>
      <c r="AR29" s="22">
        <f>0</f>
        <v>0</v>
      </c>
      <c r="AS29" s="22">
        <f>0</f>
        <v>0</v>
      </c>
      <c r="AT29" s="22">
        <f>0</f>
        <v>0</v>
      </c>
      <c r="AU29" s="22">
        <f>0</f>
        <v>0</v>
      </c>
      <c r="AV29" s="22">
        <f>0</f>
        <v>0</v>
      </c>
      <c r="AW29" s="22">
        <f>0</f>
        <v>0</v>
      </c>
      <c r="AX29" s="22">
        <f>0</f>
        <v>0</v>
      </c>
      <c r="AY29" s="22">
        <f>0</f>
        <v>0</v>
      </c>
      <c r="AZ29" s="22">
        <f>0</f>
        <v>0</v>
      </c>
      <c r="BA29" s="22">
        <f>0</f>
        <v>0</v>
      </c>
      <c r="BB29" s="22">
        <f>0</f>
        <v>0</v>
      </c>
      <c r="BC29" s="22">
        <f>0</f>
        <v>0</v>
      </c>
      <c r="BD29" s="22">
        <f>0</f>
        <v>0</v>
      </c>
      <c r="BE29" s="22">
        <f>0</f>
        <v>0</v>
      </c>
      <c r="BF29" s="22">
        <f>0</f>
        <v>0</v>
      </c>
      <c r="BG29" s="22">
        <f>0</f>
        <v>0</v>
      </c>
      <c r="BH29" s="22">
        <f>0</f>
        <v>0</v>
      </c>
      <c r="BI29" s="22">
        <f>0</f>
        <v>0</v>
      </c>
      <c r="BJ29" s="22">
        <f>0</f>
        <v>0</v>
      </c>
      <c r="BN29">
        <v>28</v>
      </c>
      <c r="BO29" s="23">
        <f t="shared" ref="BO29:BO37" si="44">AI29+SUM(AI30:AI130)</f>
        <v>0</v>
      </c>
      <c r="BP29" s="23">
        <f t="shared" ref="BP29:BP37" si="45">AJ29+SUM(AJ30:AJ130)</f>
        <v>0</v>
      </c>
      <c r="BQ29" s="23">
        <f t="shared" ref="BQ29:CP37" si="46">AK29+SUM(AK30:AK130)</f>
        <v>0</v>
      </c>
      <c r="BR29" s="23">
        <f t="shared" si="46"/>
        <v>0</v>
      </c>
      <c r="BS29" s="23">
        <f t="shared" si="46"/>
        <v>0</v>
      </c>
      <c r="BT29" s="23">
        <f t="shared" si="46"/>
        <v>0</v>
      </c>
      <c r="BU29" s="23">
        <f t="shared" si="46"/>
        <v>0</v>
      </c>
      <c r="BV29" s="23">
        <f t="shared" si="46"/>
        <v>0</v>
      </c>
      <c r="BW29" s="23">
        <f t="shared" si="46"/>
        <v>0</v>
      </c>
      <c r="BX29" s="23">
        <f t="shared" si="46"/>
        <v>0</v>
      </c>
      <c r="BY29" s="23">
        <f t="shared" si="46"/>
        <v>0</v>
      </c>
      <c r="BZ29" s="23">
        <f t="shared" si="46"/>
        <v>0</v>
      </c>
      <c r="CA29" s="23">
        <f t="shared" si="46"/>
        <v>0</v>
      </c>
      <c r="CB29" s="23">
        <f t="shared" si="46"/>
        <v>0</v>
      </c>
      <c r="CC29" s="23">
        <f t="shared" si="46"/>
        <v>0</v>
      </c>
      <c r="CD29" s="23">
        <f t="shared" si="46"/>
        <v>0</v>
      </c>
      <c r="CE29" s="23">
        <f t="shared" si="46"/>
        <v>0</v>
      </c>
      <c r="CF29" s="23">
        <f t="shared" si="46"/>
        <v>0</v>
      </c>
      <c r="CG29" s="23">
        <f t="shared" si="46"/>
        <v>0</v>
      </c>
      <c r="CH29" s="23">
        <f t="shared" si="46"/>
        <v>0</v>
      </c>
      <c r="CI29" s="23">
        <f t="shared" si="46"/>
        <v>0</v>
      </c>
      <c r="CJ29" s="23">
        <f t="shared" si="46"/>
        <v>0</v>
      </c>
      <c r="CK29" s="23">
        <f t="shared" si="46"/>
        <v>0</v>
      </c>
      <c r="CL29" s="23">
        <f t="shared" si="46"/>
        <v>0</v>
      </c>
      <c r="CM29" s="23">
        <f t="shared" si="46"/>
        <v>0</v>
      </c>
      <c r="CN29" s="23">
        <f t="shared" si="46"/>
        <v>0</v>
      </c>
      <c r="CO29" s="23">
        <f t="shared" si="46"/>
        <v>0</v>
      </c>
      <c r="CP29" s="23">
        <f t="shared" si="46"/>
        <v>0</v>
      </c>
      <c r="CU29" s="21">
        <v>28</v>
      </c>
      <c r="CV29" s="24">
        <f t="shared" si="6"/>
        <v>0</v>
      </c>
      <c r="CW29" s="24">
        <f t="shared" si="7"/>
        <v>0</v>
      </c>
      <c r="CX29" s="24">
        <f t="shared" si="8"/>
        <v>0</v>
      </c>
      <c r="CY29" s="24">
        <f t="shared" si="9"/>
        <v>0</v>
      </c>
      <c r="CZ29" s="24">
        <f t="shared" si="10"/>
        <v>0</v>
      </c>
      <c r="DA29" s="24">
        <f t="shared" si="11"/>
        <v>0</v>
      </c>
      <c r="DB29" s="24">
        <f t="shared" si="12"/>
        <v>0</v>
      </c>
      <c r="DC29" s="24">
        <f t="shared" si="13"/>
        <v>0</v>
      </c>
      <c r="DF29" s="44">
        <v>28</v>
      </c>
      <c r="DG29" s="47">
        <f t="shared" si="36"/>
        <v>0</v>
      </c>
      <c r="DH29" s="47">
        <f t="shared" si="14"/>
        <v>0</v>
      </c>
      <c r="DI29" s="47">
        <f t="shared" si="15"/>
        <v>0</v>
      </c>
      <c r="DJ29" s="47">
        <f t="shared" si="16"/>
        <v>0</v>
      </c>
      <c r="DK29" s="47">
        <f t="shared" si="17"/>
        <v>0</v>
      </c>
      <c r="DL29" s="47">
        <f t="shared" si="18"/>
        <v>0</v>
      </c>
      <c r="DM29" s="47">
        <f t="shared" si="19"/>
        <v>0</v>
      </c>
      <c r="DN29" s="47">
        <f t="shared" si="20"/>
        <v>0</v>
      </c>
      <c r="DO29" s="47">
        <f t="shared" si="21"/>
        <v>0</v>
      </c>
      <c r="DP29" s="47">
        <f t="shared" si="22"/>
        <v>0</v>
      </c>
      <c r="DQ29" s="47">
        <f t="shared" si="23"/>
        <v>0</v>
      </c>
      <c r="DR29" s="47">
        <f t="shared" si="24"/>
        <v>0</v>
      </c>
      <c r="DS29" s="47">
        <f t="shared" si="25"/>
        <v>0</v>
      </c>
      <c r="DT29" s="47">
        <f t="shared" si="26"/>
        <v>0</v>
      </c>
      <c r="DX29">
        <v>28</v>
      </c>
      <c r="DY29" s="19">
        <f t="shared" si="27"/>
        <v>0</v>
      </c>
      <c r="EM29" s="21">
        <v>28</v>
      </c>
      <c r="EN29" s="16">
        <f t="shared" si="28"/>
        <v>0</v>
      </c>
      <c r="EO29" s="16">
        <f t="shared" si="4"/>
        <v>0</v>
      </c>
      <c r="EP29" s="16">
        <f t="shared" si="29"/>
        <v>0</v>
      </c>
      <c r="EQ29" s="16">
        <f t="shared" si="30"/>
        <v>0</v>
      </c>
      <c r="ER29" s="16">
        <f t="shared" si="31"/>
        <v>0</v>
      </c>
      <c r="ES29" s="16">
        <f t="shared" si="32"/>
        <v>0</v>
      </c>
      <c r="ET29" s="16">
        <f t="shared" si="33"/>
        <v>0</v>
      </c>
      <c r="EU29" s="16">
        <f t="shared" si="34"/>
        <v>0</v>
      </c>
      <c r="FK29" s="20"/>
      <c r="FL29" s="20"/>
    </row>
    <row r="30" spans="1:168" ht="14.4" thickBot="1" x14ac:dyDescent="0.35"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H30" s="13">
        <v>29</v>
      </c>
      <c r="AI30" s="27">
        <f t="shared" ref="AI30:AX36" si="47">IF(C30=0,0,(C30-C31)*100/C31)</f>
        <v>0</v>
      </c>
      <c r="AJ30" s="27">
        <f t="shared" si="47"/>
        <v>0</v>
      </c>
      <c r="AK30" s="27">
        <f t="shared" si="47"/>
        <v>0</v>
      </c>
      <c r="AL30" s="27">
        <f t="shared" si="47"/>
        <v>0</v>
      </c>
      <c r="AM30" s="27">
        <f t="shared" si="47"/>
        <v>0</v>
      </c>
      <c r="AN30" s="27">
        <f t="shared" si="47"/>
        <v>0</v>
      </c>
      <c r="AO30" s="27">
        <f t="shared" si="47"/>
        <v>0</v>
      </c>
      <c r="AP30" s="27">
        <f t="shared" si="47"/>
        <v>0</v>
      </c>
      <c r="AQ30" s="27">
        <f t="shared" si="47"/>
        <v>0</v>
      </c>
      <c r="AR30" s="27">
        <f t="shared" si="47"/>
        <v>0</v>
      </c>
      <c r="AS30" s="27">
        <f t="shared" si="47"/>
        <v>0</v>
      </c>
      <c r="AT30" s="27">
        <f t="shared" si="47"/>
        <v>0</v>
      </c>
      <c r="AU30" s="27">
        <f t="shared" si="47"/>
        <v>0</v>
      </c>
      <c r="AV30" s="27">
        <f t="shared" si="47"/>
        <v>0</v>
      </c>
      <c r="AW30" s="27">
        <f t="shared" si="47"/>
        <v>0</v>
      </c>
      <c r="AX30" s="27">
        <f t="shared" si="47"/>
        <v>0</v>
      </c>
      <c r="AY30" s="27">
        <f t="shared" ref="AY30:BJ36" si="48">IF(S30=0,0,(S30-S31)*100/S31)</f>
        <v>0</v>
      </c>
      <c r="AZ30" s="27">
        <f t="shared" si="48"/>
        <v>0</v>
      </c>
      <c r="BA30" s="27">
        <f t="shared" si="48"/>
        <v>0</v>
      </c>
      <c r="BB30" s="27">
        <f t="shared" si="48"/>
        <v>0</v>
      </c>
      <c r="BC30" s="27">
        <f t="shared" si="48"/>
        <v>0</v>
      </c>
      <c r="BD30" s="27">
        <f t="shared" si="48"/>
        <v>0</v>
      </c>
      <c r="BE30" s="27">
        <f t="shared" si="48"/>
        <v>0</v>
      </c>
      <c r="BF30" s="27">
        <f t="shared" si="48"/>
        <v>0</v>
      </c>
      <c r="BG30" s="27">
        <f t="shared" si="48"/>
        <v>0</v>
      </c>
      <c r="BH30" s="27">
        <f t="shared" si="48"/>
        <v>0</v>
      </c>
      <c r="BI30" s="27">
        <f t="shared" si="48"/>
        <v>0</v>
      </c>
      <c r="BJ30" s="27">
        <f t="shared" si="48"/>
        <v>0</v>
      </c>
      <c r="BN30">
        <v>29</v>
      </c>
      <c r="BO30" s="28">
        <f t="shared" si="44"/>
        <v>0</v>
      </c>
      <c r="BP30" s="28">
        <f t="shared" si="45"/>
        <v>0</v>
      </c>
      <c r="BQ30" s="28">
        <f t="shared" si="46"/>
        <v>0</v>
      </c>
      <c r="BR30" s="28">
        <f t="shared" si="46"/>
        <v>0</v>
      </c>
      <c r="BS30" s="28">
        <f t="shared" si="46"/>
        <v>0</v>
      </c>
      <c r="BT30" s="28">
        <f t="shared" si="46"/>
        <v>0</v>
      </c>
      <c r="BU30" s="28">
        <f t="shared" si="46"/>
        <v>0</v>
      </c>
      <c r="BV30" s="28">
        <f t="shared" si="46"/>
        <v>0</v>
      </c>
      <c r="BW30" s="28">
        <f t="shared" si="46"/>
        <v>0</v>
      </c>
      <c r="BX30" s="28">
        <f t="shared" si="46"/>
        <v>0</v>
      </c>
      <c r="BY30" s="28">
        <f t="shared" si="46"/>
        <v>0</v>
      </c>
      <c r="BZ30" s="28">
        <f t="shared" si="46"/>
        <v>0</v>
      </c>
      <c r="CA30" s="28">
        <f t="shared" si="46"/>
        <v>0</v>
      </c>
      <c r="CB30" s="28">
        <f t="shared" si="46"/>
        <v>0</v>
      </c>
      <c r="CC30" s="28">
        <f t="shared" si="46"/>
        <v>0</v>
      </c>
      <c r="CD30" s="28">
        <f t="shared" si="46"/>
        <v>0</v>
      </c>
      <c r="CE30" s="28">
        <f t="shared" si="46"/>
        <v>0</v>
      </c>
      <c r="CF30" s="28">
        <f t="shared" si="46"/>
        <v>0</v>
      </c>
      <c r="CG30" s="28">
        <f t="shared" si="46"/>
        <v>0</v>
      </c>
      <c r="CH30" s="28">
        <f t="shared" si="46"/>
        <v>0</v>
      </c>
      <c r="CI30" s="28">
        <f t="shared" si="46"/>
        <v>0</v>
      </c>
      <c r="CJ30" s="28">
        <f t="shared" si="46"/>
        <v>0</v>
      </c>
      <c r="CK30" s="28">
        <f t="shared" si="46"/>
        <v>0</v>
      </c>
      <c r="CL30" s="28">
        <f t="shared" si="46"/>
        <v>0</v>
      </c>
      <c r="CM30" s="28">
        <f t="shared" si="46"/>
        <v>0</v>
      </c>
      <c r="CN30" s="28">
        <f t="shared" si="46"/>
        <v>0</v>
      </c>
      <c r="CO30" s="28">
        <f t="shared" si="46"/>
        <v>0</v>
      </c>
      <c r="CP30" s="28">
        <f t="shared" si="46"/>
        <v>0</v>
      </c>
      <c r="CU30" s="21">
        <v>29</v>
      </c>
      <c r="CV30" s="29">
        <f t="shared" si="6"/>
        <v>0</v>
      </c>
      <c r="CW30" s="29">
        <f t="shared" si="7"/>
        <v>0</v>
      </c>
      <c r="CX30" s="29">
        <f t="shared" si="8"/>
        <v>0</v>
      </c>
      <c r="CY30" s="29">
        <f t="shared" si="9"/>
        <v>0</v>
      </c>
      <c r="CZ30" s="29">
        <f t="shared" si="10"/>
        <v>0</v>
      </c>
      <c r="DA30" s="29">
        <f t="shared" si="11"/>
        <v>0</v>
      </c>
      <c r="DB30" s="29">
        <f t="shared" si="12"/>
        <v>0</v>
      </c>
      <c r="DC30" s="29">
        <f t="shared" si="13"/>
        <v>0</v>
      </c>
      <c r="DF30" s="46">
        <v>29</v>
      </c>
      <c r="DG30" s="49">
        <f t="shared" si="36"/>
        <v>0</v>
      </c>
      <c r="DH30" s="49">
        <f t="shared" si="14"/>
        <v>0</v>
      </c>
      <c r="DI30" s="49">
        <f t="shared" si="15"/>
        <v>0</v>
      </c>
      <c r="DJ30" s="49">
        <f t="shared" si="16"/>
        <v>0</v>
      </c>
      <c r="DK30" s="49">
        <f t="shared" si="17"/>
        <v>0</v>
      </c>
      <c r="DL30" s="49">
        <f t="shared" si="18"/>
        <v>0</v>
      </c>
      <c r="DM30" s="49">
        <f t="shared" si="19"/>
        <v>0</v>
      </c>
      <c r="DN30" s="49">
        <f t="shared" si="20"/>
        <v>0</v>
      </c>
      <c r="DO30" s="49">
        <f t="shared" si="21"/>
        <v>0</v>
      </c>
      <c r="DP30" s="49">
        <f t="shared" si="22"/>
        <v>0</v>
      </c>
      <c r="DQ30" s="49">
        <f t="shared" si="23"/>
        <v>0</v>
      </c>
      <c r="DR30" s="49">
        <f t="shared" si="24"/>
        <v>0</v>
      </c>
      <c r="DS30" s="49">
        <f t="shared" si="25"/>
        <v>0</v>
      </c>
      <c r="DT30" s="49">
        <f t="shared" si="26"/>
        <v>0</v>
      </c>
      <c r="DX30">
        <v>29</v>
      </c>
      <c r="DY30" s="19">
        <f t="shared" si="27"/>
        <v>0</v>
      </c>
      <c r="EM30" s="21">
        <v>29</v>
      </c>
      <c r="EN30" s="16">
        <f t="shared" si="28"/>
        <v>0</v>
      </c>
      <c r="EO30" s="16">
        <f t="shared" si="4"/>
        <v>0</v>
      </c>
      <c r="EP30" s="16">
        <f t="shared" si="29"/>
        <v>0</v>
      </c>
      <c r="EQ30" s="16">
        <f t="shared" si="30"/>
        <v>0</v>
      </c>
      <c r="ER30" s="16">
        <f t="shared" si="31"/>
        <v>0</v>
      </c>
      <c r="ES30" s="16">
        <f t="shared" si="32"/>
        <v>0</v>
      </c>
      <c r="ET30" s="16">
        <f t="shared" si="33"/>
        <v>0</v>
      </c>
      <c r="EU30" s="16">
        <f t="shared" si="34"/>
        <v>0</v>
      </c>
      <c r="FK30" s="20"/>
      <c r="FL30" s="20"/>
    </row>
    <row r="31" spans="1:168" ht="14.4" thickBot="1" x14ac:dyDescent="0.35"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H31" s="21">
        <v>30</v>
      </c>
      <c r="AI31" s="22">
        <f t="shared" si="47"/>
        <v>0</v>
      </c>
      <c r="AJ31" s="22">
        <f t="shared" si="47"/>
        <v>0</v>
      </c>
      <c r="AK31" s="22">
        <f t="shared" si="47"/>
        <v>0</v>
      </c>
      <c r="AL31" s="22">
        <f t="shared" si="47"/>
        <v>0</v>
      </c>
      <c r="AM31" s="22">
        <f t="shared" si="47"/>
        <v>0</v>
      </c>
      <c r="AN31" s="22">
        <f t="shared" si="47"/>
        <v>0</v>
      </c>
      <c r="AO31" s="22">
        <f t="shared" si="47"/>
        <v>0</v>
      </c>
      <c r="AP31" s="22">
        <f t="shared" si="47"/>
        <v>0</v>
      </c>
      <c r="AQ31" s="22">
        <f t="shared" si="47"/>
        <v>0</v>
      </c>
      <c r="AR31" s="22">
        <f t="shared" si="47"/>
        <v>0</v>
      </c>
      <c r="AS31" s="22">
        <f t="shared" si="47"/>
        <v>0</v>
      </c>
      <c r="AT31" s="22">
        <f t="shared" si="47"/>
        <v>0</v>
      </c>
      <c r="AU31" s="22">
        <f t="shared" si="47"/>
        <v>0</v>
      </c>
      <c r="AV31" s="22">
        <f t="shared" si="47"/>
        <v>0</v>
      </c>
      <c r="AW31" s="22">
        <f t="shared" si="47"/>
        <v>0</v>
      </c>
      <c r="AX31" s="22">
        <f t="shared" si="47"/>
        <v>0</v>
      </c>
      <c r="AY31" s="22">
        <f t="shared" si="48"/>
        <v>0</v>
      </c>
      <c r="AZ31" s="22">
        <f t="shared" si="48"/>
        <v>0</v>
      </c>
      <c r="BA31" s="22">
        <f t="shared" si="48"/>
        <v>0</v>
      </c>
      <c r="BB31" s="22">
        <f t="shared" si="48"/>
        <v>0</v>
      </c>
      <c r="BC31" s="22">
        <f t="shared" si="48"/>
        <v>0</v>
      </c>
      <c r="BD31" s="22">
        <f t="shared" si="48"/>
        <v>0</v>
      </c>
      <c r="BE31" s="22">
        <f t="shared" si="48"/>
        <v>0</v>
      </c>
      <c r="BF31" s="22">
        <f t="shared" si="48"/>
        <v>0</v>
      </c>
      <c r="BG31" s="22">
        <f t="shared" si="48"/>
        <v>0</v>
      </c>
      <c r="BH31" s="22">
        <f t="shared" si="48"/>
        <v>0</v>
      </c>
      <c r="BI31" s="22">
        <f t="shared" si="48"/>
        <v>0</v>
      </c>
      <c r="BJ31" s="22">
        <f t="shared" si="48"/>
        <v>0</v>
      </c>
      <c r="BN31">
        <v>30</v>
      </c>
      <c r="BO31" s="23">
        <f t="shared" si="44"/>
        <v>0</v>
      </c>
      <c r="BP31" s="23">
        <f t="shared" si="45"/>
        <v>0</v>
      </c>
      <c r="BQ31" s="23">
        <f t="shared" si="46"/>
        <v>0</v>
      </c>
      <c r="BR31" s="23">
        <f t="shared" si="46"/>
        <v>0</v>
      </c>
      <c r="BS31" s="23">
        <f t="shared" si="46"/>
        <v>0</v>
      </c>
      <c r="BT31" s="23">
        <f t="shared" si="46"/>
        <v>0</v>
      </c>
      <c r="BU31" s="23">
        <f t="shared" si="46"/>
        <v>0</v>
      </c>
      <c r="BV31" s="23">
        <f t="shared" si="46"/>
        <v>0</v>
      </c>
      <c r="BW31" s="23">
        <f t="shared" si="46"/>
        <v>0</v>
      </c>
      <c r="BX31" s="23">
        <f t="shared" si="46"/>
        <v>0</v>
      </c>
      <c r="BY31" s="23">
        <f t="shared" si="46"/>
        <v>0</v>
      </c>
      <c r="BZ31" s="23">
        <f t="shared" si="46"/>
        <v>0</v>
      </c>
      <c r="CA31" s="23">
        <f t="shared" si="46"/>
        <v>0</v>
      </c>
      <c r="CB31" s="23">
        <f t="shared" si="46"/>
        <v>0</v>
      </c>
      <c r="CC31" s="23">
        <f t="shared" si="46"/>
        <v>0</v>
      </c>
      <c r="CD31" s="23">
        <f t="shared" si="46"/>
        <v>0</v>
      </c>
      <c r="CE31" s="23">
        <f t="shared" si="46"/>
        <v>0</v>
      </c>
      <c r="CF31" s="23">
        <f t="shared" si="46"/>
        <v>0</v>
      </c>
      <c r="CG31" s="23">
        <f t="shared" si="46"/>
        <v>0</v>
      </c>
      <c r="CH31" s="23">
        <f t="shared" si="46"/>
        <v>0</v>
      </c>
      <c r="CI31" s="23">
        <f t="shared" si="46"/>
        <v>0</v>
      </c>
      <c r="CJ31" s="23">
        <f t="shared" si="46"/>
        <v>0</v>
      </c>
      <c r="CK31" s="23">
        <f t="shared" si="46"/>
        <v>0</v>
      </c>
      <c r="CL31" s="23">
        <f t="shared" si="46"/>
        <v>0</v>
      </c>
      <c r="CM31" s="23">
        <f t="shared" si="46"/>
        <v>0</v>
      </c>
      <c r="CN31" s="23">
        <f t="shared" si="46"/>
        <v>0</v>
      </c>
      <c r="CO31" s="23">
        <f t="shared" si="46"/>
        <v>0</v>
      </c>
      <c r="CP31" s="23">
        <f t="shared" si="46"/>
        <v>0</v>
      </c>
      <c r="CU31" s="21">
        <v>30</v>
      </c>
      <c r="CV31" s="24">
        <f t="shared" si="6"/>
        <v>0</v>
      </c>
      <c r="CW31" s="24">
        <f t="shared" si="7"/>
        <v>0</v>
      </c>
      <c r="CX31" s="24">
        <f t="shared" si="8"/>
        <v>0</v>
      </c>
      <c r="CY31" s="24">
        <f t="shared" si="9"/>
        <v>0</v>
      </c>
      <c r="CZ31" s="24">
        <f t="shared" si="10"/>
        <v>0</v>
      </c>
      <c r="DA31" s="24">
        <f t="shared" si="11"/>
        <v>0</v>
      </c>
      <c r="DB31" s="24">
        <f t="shared" si="12"/>
        <v>0</v>
      </c>
      <c r="DC31" s="24">
        <f t="shared" si="13"/>
        <v>0</v>
      </c>
      <c r="DF31" s="48">
        <v>30</v>
      </c>
      <c r="DG31" s="47">
        <f t="shared" si="36"/>
        <v>0</v>
      </c>
      <c r="DH31" s="47">
        <f t="shared" si="14"/>
        <v>0</v>
      </c>
      <c r="DI31" s="47">
        <f t="shared" si="15"/>
        <v>0</v>
      </c>
      <c r="DJ31" s="47">
        <f t="shared" si="16"/>
        <v>0</v>
      </c>
      <c r="DK31" s="47">
        <f t="shared" si="17"/>
        <v>0</v>
      </c>
      <c r="DL31" s="47">
        <f t="shared" si="18"/>
        <v>0</v>
      </c>
      <c r="DM31" s="47">
        <f t="shared" si="19"/>
        <v>0</v>
      </c>
      <c r="DN31" s="47">
        <f t="shared" si="20"/>
        <v>0</v>
      </c>
      <c r="DO31" s="47">
        <f t="shared" si="21"/>
        <v>0</v>
      </c>
      <c r="DP31" s="47">
        <f t="shared" si="22"/>
        <v>0</v>
      </c>
      <c r="DQ31" s="47">
        <f t="shared" si="23"/>
        <v>0</v>
      </c>
      <c r="DR31" s="47">
        <f t="shared" si="24"/>
        <v>0</v>
      </c>
      <c r="DS31" s="47">
        <f t="shared" si="25"/>
        <v>0</v>
      </c>
      <c r="DT31" s="47">
        <f t="shared" si="26"/>
        <v>0</v>
      </c>
      <c r="DX31">
        <v>30</v>
      </c>
      <c r="DY31" s="19">
        <f t="shared" si="27"/>
        <v>0</v>
      </c>
      <c r="EM31" s="21">
        <v>30</v>
      </c>
      <c r="EN31" s="16">
        <f t="shared" si="28"/>
        <v>0</v>
      </c>
      <c r="EO31" s="16">
        <f t="shared" si="4"/>
        <v>0</v>
      </c>
      <c r="EP31" s="16">
        <f t="shared" si="29"/>
        <v>0</v>
      </c>
      <c r="EQ31" s="16">
        <f t="shared" si="30"/>
        <v>0</v>
      </c>
      <c r="ER31" s="16">
        <f t="shared" si="31"/>
        <v>0</v>
      </c>
      <c r="ES31" s="16">
        <f t="shared" si="32"/>
        <v>0</v>
      </c>
      <c r="ET31" s="16">
        <f t="shared" si="33"/>
        <v>0</v>
      </c>
      <c r="EU31" s="16">
        <f t="shared" si="34"/>
        <v>0</v>
      </c>
      <c r="FK31" s="20"/>
      <c r="FL31" s="20"/>
    </row>
    <row r="32" spans="1:168" ht="14.4" thickBot="1" x14ac:dyDescent="0.35"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H32" s="21">
        <v>31</v>
      </c>
      <c r="AI32" s="27">
        <f t="shared" si="47"/>
        <v>0</v>
      </c>
      <c r="AJ32" s="27">
        <f t="shared" si="47"/>
        <v>0</v>
      </c>
      <c r="AK32" s="27">
        <f t="shared" si="47"/>
        <v>0</v>
      </c>
      <c r="AL32" s="27">
        <f t="shared" si="47"/>
        <v>0</v>
      </c>
      <c r="AM32" s="27">
        <f t="shared" si="47"/>
        <v>0</v>
      </c>
      <c r="AN32" s="27">
        <f t="shared" si="47"/>
        <v>0</v>
      </c>
      <c r="AO32" s="27">
        <f t="shared" si="47"/>
        <v>0</v>
      </c>
      <c r="AP32" s="27">
        <f t="shared" si="47"/>
        <v>0</v>
      </c>
      <c r="AQ32" s="27">
        <f t="shared" si="47"/>
        <v>0</v>
      </c>
      <c r="AR32" s="27">
        <f t="shared" si="47"/>
        <v>0</v>
      </c>
      <c r="AS32" s="27">
        <f t="shared" si="47"/>
        <v>0</v>
      </c>
      <c r="AT32" s="27">
        <f t="shared" si="47"/>
        <v>0</v>
      </c>
      <c r="AU32" s="27">
        <f t="shared" si="47"/>
        <v>0</v>
      </c>
      <c r="AV32" s="27">
        <f t="shared" si="47"/>
        <v>0</v>
      </c>
      <c r="AW32" s="27">
        <f t="shared" si="47"/>
        <v>0</v>
      </c>
      <c r="AX32" s="27">
        <f t="shared" si="47"/>
        <v>0</v>
      </c>
      <c r="AY32" s="27">
        <f t="shared" si="48"/>
        <v>0</v>
      </c>
      <c r="AZ32" s="27">
        <f t="shared" si="48"/>
        <v>0</v>
      </c>
      <c r="BA32" s="27">
        <f t="shared" si="48"/>
        <v>0</v>
      </c>
      <c r="BB32" s="27">
        <f t="shared" si="48"/>
        <v>0</v>
      </c>
      <c r="BC32" s="27">
        <f t="shared" si="48"/>
        <v>0</v>
      </c>
      <c r="BD32" s="27">
        <f t="shared" si="48"/>
        <v>0</v>
      </c>
      <c r="BE32" s="27">
        <f t="shared" si="48"/>
        <v>0</v>
      </c>
      <c r="BF32" s="27">
        <f t="shared" si="48"/>
        <v>0</v>
      </c>
      <c r="BG32" s="27">
        <f t="shared" si="48"/>
        <v>0</v>
      </c>
      <c r="BH32" s="27">
        <f t="shared" si="48"/>
        <v>0</v>
      </c>
      <c r="BI32" s="27">
        <f t="shared" si="48"/>
        <v>0</v>
      </c>
      <c r="BJ32" s="27">
        <f t="shared" si="48"/>
        <v>0</v>
      </c>
      <c r="BN32">
        <v>31</v>
      </c>
      <c r="BO32" s="28">
        <f t="shared" si="44"/>
        <v>0</v>
      </c>
      <c r="BP32" s="28">
        <f t="shared" si="45"/>
        <v>0</v>
      </c>
      <c r="BQ32" s="28">
        <f t="shared" si="46"/>
        <v>0</v>
      </c>
      <c r="BR32" s="28">
        <f t="shared" si="46"/>
        <v>0</v>
      </c>
      <c r="BS32" s="28">
        <f t="shared" si="46"/>
        <v>0</v>
      </c>
      <c r="BT32" s="28">
        <f t="shared" si="46"/>
        <v>0</v>
      </c>
      <c r="BU32" s="28">
        <f t="shared" si="46"/>
        <v>0</v>
      </c>
      <c r="BV32" s="28">
        <f t="shared" si="46"/>
        <v>0</v>
      </c>
      <c r="BW32" s="28">
        <f t="shared" si="46"/>
        <v>0</v>
      </c>
      <c r="BX32" s="28">
        <f t="shared" si="46"/>
        <v>0</v>
      </c>
      <c r="BY32" s="28">
        <f t="shared" si="46"/>
        <v>0</v>
      </c>
      <c r="BZ32" s="28">
        <f t="shared" si="46"/>
        <v>0</v>
      </c>
      <c r="CA32" s="28">
        <f t="shared" si="46"/>
        <v>0</v>
      </c>
      <c r="CB32" s="28">
        <f t="shared" si="46"/>
        <v>0</v>
      </c>
      <c r="CC32" s="28">
        <f t="shared" si="46"/>
        <v>0</v>
      </c>
      <c r="CD32" s="28">
        <f t="shared" si="46"/>
        <v>0</v>
      </c>
      <c r="CE32" s="28">
        <f t="shared" si="46"/>
        <v>0</v>
      </c>
      <c r="CF32" s="28">
        <f t="shared" si="46"/>
        <v>0</v>
      </c>
      <c r="CG32" s="28">
        <f t="shared" si="46"/>
        <v>0</v>
      </c>
      <c r="CH32" s="28">
        <f t="shared" si="46"/>
        <v>0</v>
      </c>
      <c r="CI32" s="28">
        <f t="shared" si="46"/>
        <v>0</v>
      </c>
      <c r="CJ32" s="28">
        <f t="shared" si="46"/>
        <v>0</v>
      </c>
      <c r="CK32" s="28">
        <f t="shared" si="46"/>
        <v>0</v>
      </c>
      <c r="CL32" s="28">
        <f t="shared" si="46"/>
        <v>0</v>
      </c>
      <c r="CM32" s="28">
        <f t="shared" si="46"/>
        <v>0</v>
      </c>
      <c r="CN32" s="28">
        <f t="shared" si="46"/>
        <v>0</v>
      </c>
      <c r="CO32" s="28">
        <f t="shared" si="46"/>
        <v>0</v>
      </c>
      <c r="CP32" s="28">
        <f t="shared" si="46"/>
        <v>0</v>
      </c>
      <c r="CU32" s="13">
        <v>31</v>
      </c>
      <c r="CV32" s="29">
        <f t="shared" si="6"/>
        <v>0</v>
      </c>
      <c r="CW32" s="29">
        <f t="shared" si="7"/>
        <v>0</v>
      </c>
      <c r="CX32" s="29">
        <f t="shared" si="8"/>
        <v>0</v>
      </c>
      <c r="CY32" s="29">
        <f t="shared" si="9"/>
        <v>0</v>
      </c>
      <c r="CZ32" s="29">
        <f t="shared" si="10"/>
        <v>0</v>
      </c>
      <c r="DA32" s="29">
        <f t="shared" si="11"/>
        <v>0</v>
      </c>
      <c r="DB32" s="29">
        <f t="shared" si="12"/>
        <v>0</v>
      </c>
      <c r="DC32" s="29">
        <f t="shared" si="13"/>
        <v>0</v>
      </c>
      <c r="DF32" s="46">
        <v>31</v>
      </c>
      <c r="DG32" s="49">
        <f t="shared" si="36"/>
        <v>0</v>
      </c>
      <c r="DH32" s="49">
        <f t="shared" si="14"/>
        <v>0</v>
      </c>
      <c r="DI32" s="49">
        <f t="shared" si="15"/>
        <v>0</v>
      </c>
      <c r="DJ32" s="49">
        <f t="shared" si="16"/>
        <v>0</v>
      </c>
      <c r="DK32" s="49">
        <f t="shared" si="17"/>
        <v>0</v>
      </c>
      <c r="DL32" s="49">
        <f t="shared" si="18"/>
        <v>0</v>
      </c>
      <c r="DM32" s="49">
        <f t="shared" si="19"/>
        <v>0</v>
      </c>
      <c r="DN32" s="49">
        <f t="shared" si="20"/>
        <v>0</v>
      </c>
      <c r="DO32" s="49">
        <f t="shared" si="21"/>
        <v>0</v>
      </c>
      <c r="DP32" s="49">
        <f t="shared" si="22"/>
        <v>0</v>
      </c>
      <c r="DQ32" s="49">
        <f t="shared" si="23"/>
        <v>0</v>
      </c>
      <c r="DR32" s="49">
        <f t="shared" si="24"/>
        <v>0</v>
      </c>
      <c r="DS32" s="49">
        <f t="shared" si="25"/>
        <v>0</v>
      </c>
      <c r="DT32" s="49">
        <f t="shared" si="26"/>
        <v>0</v>
      </c>
      <c r="DX32">
        <v>31</v>
      </c>
      <c r="DY32" s="19">
        <f t="shared" si="27"/>
        <v>0</v>
      </c>
      <c r="EM32" s="13">
        <v>31</v>
      </c>
      <c r="EN32" s="16">
        <f t="shared" si="28"/>
        <v>0</v>
      </c>
      <c r="EO32" s="16">
        <f t="shared" si="4"/>
        <v>0</v>
      </c>
      <c r="EP32" s="16">
        <f t="shared" si="29"/>
        <v>0</v>
      </c>
      <c r="EQ32" s="16">
        <f t="shared" si="30"/>
        <v>0</v>
      </c>
      <c r="ER32" s="16">
        <f t="shared" si="31"/>
        <v>0</v>
      </c>
      <c r="ES32" s="16">
        <f t="shared" si="32"/>
        <v>0</v>
      </c>
      <c r="ET32" s="16">
        <f t="shared" si="33"/>
        <v>0</v>
      </c>
      <c r="EU32" s="16">
        <f t="shared" si="34"/>
        <v>0</v>
      </c>
      <c r="FK32" s="20"/>
      <c r="FL32" s="20"/>
    </row>
    <row r="33" spans="3:168" ht="14.4" thickBot="1" x14ac:dyDescent="0.35"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H33" s="21">
        <v>32</v>
      </c>
      <c r="AI33" s="22">
        <f t="shared" si="47"/>
        <v>0</v>
      </c>
      <c r="AJ33" s="22">
        <f t="shared" si="47"/>
        <v>0</v>
      </c>
      <c r="AK33" s="22">
        <f t="shared" si="47"/>
        <v>0</v>
      </c>
      <c r="AL33" s="22">
        <f t="shared" si="47"/>
        <v>0</v>
      </c>
      <c r="AM33" s="22">
        <f t="shared" si="47"/>
        <v>0</v>
      </c>
      <c r="AN33" s="22">
        <f t="shared" si="47"/>
        <v>0</v>
      </c>
      <c r="AO33" s="22">
        <f t="shared" si="47"/>
        <v>0</v>
      </c>
      <c r="AP33" s="22">
        <f t="shared" si="47"/>
        <v>0</v>
      </c>
      <c r="AQ33" s="22">
        <f t="shared" si="47"/>
        <v>0</v>
      </c>
      <c r="AR33" s="22">
        <f t="shared" si="47"/>
        <v>0</v>
      </c>
      <c r="AS33" s="22">
        <f t="shared" si="47"/>
        <v>0</v>
      </c>
      <c r="AT33" s="22">
        <f t="shared" si="47"/>
        <v>0</v>
      </c>
      <c r="AU33" s="22">
        <f t="shared" si="47"/>
        <v>0</v>
      </c>
      <c r="AV33" s="22">
        <f t="shared" si="47"/>
        <v>0</v>
      </c>
      <c r="AW33" s="22">
        <f t="shared" si="47"/>
        <v>0</v>
      </c>
      <c r="AX33" s="22">
        <f t="shared" si="47"/>
        <v>0</v>
      </c>
      <c r="AY33" s="22">
        <f t="shared" si="48"/>
        <v>0</v>
      </c>
      <c r="AZ33" s="22">
        <f t="shared" si="48"/>
        <v>0</v>
      </c>
      <c r="BA33" s="22">
        <f t="shared" si="48"/>
        <v>0</v>
      </c>
      <c r="BB33" s="22">
        <f t="shared" si="48"/>
        <v>0</v>
      </c>
      <c r="BC33" s="22">
        <f t="shared" si="48"/>
        <v>0</v>
      </c>
      <c r="BD33" s="22">
        <f t="shared" si="48"/>
        <v>0</v>
      </c>
      <c r="BE33" s="22">
        <f t="shared" si="48"/>
        <v>0</v>
      </c>
      <c r="BF33" s="22">
        <f t="shared" si="48"/>
        <v>0</v>
      </c>
      <c r="BG33" s="22">
        <f t="shared" si="48"/>
        <v>0</v>
      </c>
      <c r="BH33" s="22">
        <f t="shared" si="48"/>
        <v>0</v>
      </c>
      <c r="BI33" s="22">
        <f t="shared" si="48"/>
        <v>0</v>
      </c>
      <c r="BJ33" s="22">
        <f t="shared" si="48"/>
        <v>0</v>
      </c>
      <c r="BN33">
        <v>32</v>
      </c>
      <c r="BO33" s="23">
        <f t="shared" si="44"/>
        <v>0</v>
      </c>
      <c r="BP33" s="23">
        <f t="shared" si="45"/>
        <v>0</v>
      </c>
      <c r="BQ33" s="23">
        <f t="shared" si="46"/>
        <v>0</v>
      </c>
      <c r="BR33" s="23">
        <f t="shared" si="46"/>
        <v>0</v>
      </c>
      <c r="BS33" s="23">
        <f t="shared" si="46"/>
        <v>0</v>
      </c>
      <c r="BT33" s="23">
        <f t="shared" si="46"/>
        <v>0</v>
      </c>
      <c r="BU33" s="23">
        <f t="shared" si="46"/>
        <v>0</v>
      </c>
      <c r="BV33" s="23">
        <f t="shared" si="46"/>
        <v>0</v>
      </c>
      <c r="BW33" s="23">
        <f t="shared" si="46"/>
        <v>0</v>
      </c>
      <c r="BX33" s="23">
        <f t="shared" si="46"/>
        <v>0</v>
      </c>
      <c r="BY33" s="23">
        <f t="shared" si="46"/>
        <v>0</v>
      </c>
      <c r="BZ33" s="23">
        <f t="shared" si="46"/>
        <v>0</v>
      </c>
      <c r="CA33" s="23">
        <f t="shared" si="46"/>
        <v>0</v>
      </c>
      <c r="CB33" s="23">
        <f t="shared" si="46"/>
        <v>0</v>
      </c>
      <c r="CC33" s="23">
        <f t="shared" si="46"/>
        <v>0</v>
      </c>
      <c r="CD33" s="23">
        <f t="shared" si="46"/>
        <v>0</v>
      </c>
      <c r="CE33" s="23">
        <f t="shared" si="46"/>
        <v>0</v>
      </c>
      <c r="CF33" s="23">
        <f t="shared" si="46"/>
        <v>0</v>
      </c>
      <c r="CG33" s="23">
        <f t="shared" si="46"/>
        <v>0</v>
      </c>
      <c r="CH33" s="23">
        <f t="shared" si="46"/>
        <v>0</v>
      </c>
      <c r="CI33" s="23">
        <f t="shared" si="46"/>
        <v>0</v>
      </c>
      <c r="CJ33" s="23">
        <f t="shared" si="46"/>
        <v>0</v>
      </c>
      <c r="CK33" s="23">
        <f t="shared" si="46"/>
        <v>0</v>
      </c>
      <c r="CL33" s="23">
        <f t="shared" si="46"/>
        <v>0</v>
      </c>
      <c r="CM33" s="23">
        <f t="shared" si="46"/>
        <v>0</v>
      </c>
      <c r="CN33" s="23">
        <f t="shared" si="46"/>
        <v>0</v>
      </c>
      <c r="CO33" s="23">
        <f t="shared" si="46"/>
        <v>0</v>
      </c>
      <c r="CP33" s="23">
        <f t="shared" si="46"/>
        <v>0</v>
      </c>
      <c r="CU33" s="21">
        <v>32</v>
      </c>
      <c r="CV33" s="24">
        <f t="shared" si="6"/>
        <v>0</v>
      </c>
      <c r="CW33" s="24">
        <f t="shared" si="7"/>
        <v>0</v>
      </c>
      <c r="CX33" s="24">
        <f t="shared" si="8"/>
        <v>0</v>
      </c>
      <c r="CY33" s="24">
        <f t="shared" si="9"/>
        <v>0</v>
      </c>
      <c r="CZ33" s="24">
        <f t="shared" si="10"/>
        <v>0</v>
      </c>
      <c r="DA33" s="24">
        <f t="shared" si="11"/>
        <v>0</v>
      </c>
      <c r="DB33" s="24">
        <f t="shared" si="12"/>
        <v>0</v>
      </c>
      <c r="DC33" s="24">
        <f t="shared" si="13"/>
        <v>0</v>
      </c>
      <c r="DF33" s="48">
        <v>32</v>
      </c>
      <c r="DG33" s="47">
        <f t="shared" si="36"/>
        <v>0</v>
      </c>
      <c r="DH33" s="47">
        <f t="shared" si="14"/>
        <v>0</v>
      </c>
      <c r="DI33" s="47">
        <f t="shared" si="15"/>
        <v>0</v>
      </c>
      <c r="DJ33" s="47">
        <f t="shared" si="16"/>
        <v>0</v>
      </c>
      <c r="DK33" s="47">
        <f t="shared" si="17"/>
        <v>0</v>
      </c>
      <c r="DL33" s="47">
        <f t="shared" si="18"/>
        <v>0</v>
      </c>
      <c r="DM33" s="47">
        <f t="shared" si="19"/>
        <v>0</v>
      </c>
      <c r="DN33" s="47">
        <f t="shared" si="20"/>
        <v>0</v>
      </c>
      <c r="DO33" s="47">
        <f t="shared" si="21"/>
        <v>0</v>
      </c>
      <c r="DP33" s="47">
        <f t="shared" si="22"/>
        <v>0</v>
      </c>
      <c r="DQ33" s="47">
        <f t="shared" si="23"/>
        <v>0</v>
      </c>
      <c r="DR33" s="47">
        <f t="shared" si="24"/>
        <v>0</v>
      </c>
      <c r="DS33" s="47">
        <f t="shared" si="25"/>
        <v>0</v>
      </c>
      <c r="DT33" s="47">
        <f t="shared" si="26"/>
        <v>0</v>
      </c>
      <c r="DX33">
        <v>32</v>
      </c>
      <c r="DY33" s="19">
        <f t="shared" si="27"/>
        <v>0</v>
      </c>
      <c r="EM33" s="21">
        <v>32</v>
      </c>
      <c r="EN33" s="16">
        <f t="shared" si="28"/>
        <v>0</v>
      </c>
      <c r="EO33" s="16">
        <f t="shared" si="4"/>
        <v>0</v>
      </c>
      <c r="EP33" s="16">
        <f t="shared" si="29"/>
        <v>0</v>
      </c>
      <c r="EQ33" s="16">
        <f t="shared" si="30"/>
        <v>0</v>
      </c>
      <c r="ER33" s="16">
        <f t="shared" si="31"/>
        <v>0</v>
      </c>
      <c r="ES33" s="16">
        <f t="shared" si="32"/>
        <v>0</v>
      </c>
      <c r="ET33" s="16">
        <f t="shared" si="33"/>
        <v>0</v>
      </c>
      <c r="EU33" s="16">
        <f t="shared" si="34"/>
        <v>0</v>
      </c>
      <c r="FK33" s="20"/>
      <c r="FL33" s="20"/>
    </row>
    <row r="34" spans="3:168" ht="14.4" thickBot="1" x14ac:dyDescent="0.35"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H34" s="13">
        <v>33</v>
      </c>
      <c r="AI34" s="27">
        <f t="shared" si="47"/>
        <v>0</v>
      </c>
      <c r="AJ34" s="27">
        <f t="shared" si="47"/>
        <v>0</v>
      </c>
      <c r="AK34" s="27">
        <f t="shared" si="47"/>
        <v>0</v>
      </c>
      <c r="AL34" s="27">
        <f t="shared" si="47"/>
        <v>0</v>
      </c>
      <c r="AM34" s="27">
        <f t="shared" si="47"/>
        <v>0</v>
      </c>
      <c r="AN34" s="27">
        <f t="shared" si="47"/>
        <v>0</v>
      </c>
      <c r="AO34" s="27">
        <f t="shared" si="47"/>
        <v>0</v>
      </c>
      <c r="AP34" s="27">
        <f t="shared" si="47"/>
        <v>0</v>
      </c>
      <c r="AQ34" s="27">
        <f t="shared" si="47"/>
        <v>0</v>
      </c>
      <c r="AR34" s="27">
        <f t="shared" si="47"/>
        <v>0</v>
      </c>
      <c r="AS34" s="27">
        <f t="shared" si="47"/>
        <v>0</v>
      </c>
      <c r="AT34" s="27">
        <f t="shared" si="47"/>
        <v>0</v>
      </c>
      <c r="AU34" s="27">
        <f t="shared" si="47"/>
        <v>0</v>
      </c>
      <c r="AV34" s="27">
        <f t="shared" si="47"/>
        <v>0</v>
      </c>
      <c r="AW34" s="27">
        <f t="shared" si="47"/>
        <v>0</v>
      </c>
      <c r="AX34" s="27">
        <f t="shared" si="47"/>
        <v>0</v>
      </c>
      <c r="AY34" s="27">
        <f t="shared" si="48"/>
        <v>0</v>
      </c>
      <c r="AZ34" s="27">
        <f t="shared" si="48"/>
        <v>0</v>
      </c>
      <c r="BA34" s="27">
        <f t="shared" si="48"/>
        <v>0</v>
      </c>
      <c r="BB34" s="27">
        <f t="shared" si="48"/>
        <v>0</v>
      </c>
      <c r="BC34" s="27">
        <f t="shared" si="48"/>
        <v>0</v>
      </c>
      <c r="BD34" s="27">
        <f t="shared" si="48"/>
        <v>0</v>
      </c>
      <c r="BE34" s="27">
        <f t="shared" si="48"/>
        <v>0</v>
      </c>
      <c r="BF34" s="27">
        <f t="shared" si="48"/>
        <v>0</v>
      </c>
      <c r="BG34" s="27">
        <f t="shared" si="48"/>
        <v>0</v>
      </c>
      <c r="BH34" s="27">
        <f t="shared" si="48"/>
        <v>0</v>
      </c>
      <c r="BI34" s="27">
        <f t="shared" si="48"/>
        <v>0</v>
      </c>
      <c r="BJ34" s="27">
        <f t="shared" si="48"/>
        <v>0</v>
      </c>
      <c r="BN34">
        <v>33</v>
      </c>
      <c r="BO34" s="28">
        <f t="shared" si="44"/>
        <v>0</v>
      </c>
      <c r="BP34" s="28">
        <f t="shared" si="45"/>
        <v>0</v>
      </c>
      <c r="BQ34" s="28">
        <f t="shared" si="46"/>
        <v>0</v>
      </c>
      <c r="BR34" s="28">
        <f t="shared" si="46"/>
        <v>0</v>
      </c>
      <c r="BS34" s="28">
        <f t="shared" si="46"/>
        <v>0</v>
      </c>
      <c r="BT34" s="28">
        <f t="shared" si="46"/>
        <v>0</v>
      </c>
      <c r="BU34" s="28">
        <f t="shared" si="46"/>
        <v>0</v>
      </c>
      <c r="BV34" s="28">
        <f t="shared" si="46"/>
        <v>0</v>
      </c>
      <c r="BW34" s="28">
        <f t="shared" si="46"/>
        <v>0</v>
      </c>
      <c r="BX34" s="28">
        <f t="shared" si="46"/>
        <v>0</v>
      </c>
      <c r="BY34" s="28">
        <f t="shared" si="46"/>
        <v>0</v>
      </c>
      <c r="BZ34" s="28">
        <f t="shared" si="46"/>
        <v>0</v>
      </c>
      <c r="CA34" s="28">
        <f t="shared" si="46"/>
        <v>0</v>
      </c>
      <c r="CB34" s="28">
        <f t="shared" si="46"/>
        <v>0</v>
      </c>
      <c r="CC34" s="28">
        <f t="shared" si="46"/>
        <v>0</v>
      </c>
      <c r="CD34" s="28">
        <f t="shared" si="46"/>
        <v>0</v>
      </c>
      <c r="CE34" s="28">
        <f t="shared" si="46"/>
        <v>0</v>
      </c>
      <c r="CF34" s="28">
        <f t="shared" si="46"/>
        <v>0</v>
      </c>
      <c r="CG34" s="28">
        <f t="shared" si="46"/>
        <v>0</v>
      </c>
      <c r="CH34" s="28">
        <f t="shared" si="46"/>
        <v>0</v>
      </c>
      <c r="CI34" s="28">
        <f t="shared" si="46"/>
        <v>0</v>
      </c>
      <c r="CJ34" s="28">
        <f t="shared" si="46"/>
        <v>0</v>
      </c>
      <c r="CK34" s="28">
        <f t="shared" si="46"/>
        <v>0</v>
      </c>
      <c r="CL34" s="28">
        <f t="shared" si="46"/>
        <v>0</v>
      </c>
      <c r="CM34" s="28">
        <f t="shared" si="46"/>
        <v>0</v>
      </c>
      <c r="CN34" s="28">
        <f t="shared" si="46"/>
        <v>0</v>
      </c>
      <c r="CO34" s="28">
        <f t="shared" si="46"/>
        <v>0</v>
      </c>
      <c r="CP34" s="28">
        <f t="shared" si="46"/>
        <v>0</v>
      </c>
      <c r="CU34" s="21">
        <v>33</v>
      </c>
      <c r="CV34" s="29">
        <f t="shared" si="6"/>
        <v>0</v>
      </c>
      <c r="CW34" s="29">
        <f t="shared" si="7"/>
        <v>0</v>
      </c>
      <c r="CX34" s="29">
        <f t="shared" si="8"/>
        <v>0</v>
      </c>
      <c r="CY34" s="29">
        <f t="shared" si="9"/>
        <v>0</v>
      </c>
      <c r="CZ34" s="29">
        <f t="shared" si="10"/>
        <v>0</v>
      </c>
      <c r="DA34" s="29">
        <f t="shared" si="11"/>
        <v>0</v>
      </c>
      <c r="DB34" s="29">
        <f t="shared" si="12"/>
        <v>0</v>
      </c>
      <c r="DC34" s="29">
        <f t="shared" si="13"/>
        <v>0</v>
      </c>
      <c r="DF34" s="46">
        <v>33</v>
      </c>
      <c r="DG34" s="49">
        <f t="shared" si="36"/>
        <v>0</v>
      </c>
      <c r="DH34" s="49">
        <f t="shared" si="14"/>
        <v>0</v>
      </c>
      <c r="DI34" s="49">
        <f t="shared" si="15"/>
        <v>0</v>
      </c>
      <c r="DJ34" s="49">
        <f t="shared" si="16"/>
        <v>0</v>
      </c>
      <c r="DK34" s="49">
        <f t="shared" si="17"/>
        <v>0</v>
      </c>
      <c r="DL34" s="49">
        <f t="shared" si="18"/>
        <v>0</v>
      </c>
      <c r="DM34" s="49">
        <f t="shared" si="19"/>
        <v>0</v>
      </c>
      <c r="DN34" s="49">
        <f t="shared" si="20"/>
        <v>0</v>
      </c>
      <c r="DO34" s="49">
        <f t="shared" si="21"/>
        <v>0</v>
      </c>
      <c r="DP34" s="49">
        <f t="shared" si="22"/>
        <v>0</v>
      </c>
      <c r="DQ34" s="49">
        <f t="shared" si="23"/>
        <v>0</v>
      </c>
      <c r="DR34" s="49">
        <f t="shared" si="24"/>
        <v>0</v>
      </c>
      <c r="DS34" s="49">
        <f t="shared" si="25"/>
        <v>0</v>
      </c>
      <c r="DT34" s="49">
        <f t="shared" si="26"/>
        <v>0</v>
      </c>
      <c r="DX34">
        <v>33</v>
      </c>
      <c r="DY34" s="19">
        <f t="shared" si="27"/>
        <v>0</v>
      </c>
      <c r="EM34" s="21">
        <v>33</v>
      </c>
      <c r="EN34" s="16">
        <f t="shared" si="28"/>
        <v>0</v>
      </c>
      <c r="EO34" s="16">
        <f t="shared" si="4"/>
        <v>0</v>
      </c>
      <c r="EP34" s="16">
        <f t="shared" si="29"/>
        <v>0</v>
      </c>
      <c r="EQ34" s="16">
        <f t="shared" si="30"/>
        <v>0</v>
      </c>
      <c r="ER34" s="16">
        <f t="shared" si="31"/>
        <v>0</v>
      </c>
      <c r="ES34" s="16">
        <f t="shared" si="32"/>
        <v>0</v>
      </c>
      <c r="ET34" s="16">
        <f t="shared" si="33"/>
        <v>0</v>
      </c>
      <c r="EU34" s="16">
        <f t="shared" si="34"/>
        <v>0</v>
      </c>
      <c r="FK34" s="20"/>
      <c r="FL34" s="20"/>
    </row>
    <row r="35" spans="3:168" ht="14.4" thickBot="1" x14ac:dyDescent="0.35"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H35" s="21">
        <v>34</v>
      </c>
      <c r="AI35" s="22">
        <f t="shared" si="47"/>
        <v>0</v>
      </c>
      <c r="AJ35" s="22">
        <f t="shared" si="47"/>
        <v>0</v>
      </c>
      <c r="AK35" s="22">
        <f t="shared" si="47"/>
        <v>0</v>
      </c>
      <c r="AL35" s="22">
        <f t="shared" si="47"/>
        <v>0</v>
      </c>
      <c r="AM35" s="22">
        <f t="shared" si="47"/>
        <v>0</v>
      </c>
      <c r="AN35" s="22">
        <f t="shared" si="47"/>
        <v>0</v>
      </c>
      <c r="AO35" s="22">
        <f t="shared" si="47"/>
        <v>0</v>
      </c>
      <c r="AP35" s="22">
        <f t="shared" si="47"/>
        <v>0</v>
      </c>
      <c r="AQ35" s="22">
        <f t="shared" si="47"/>
        <v>0</v>
      </c>
      <c r="AR35" s="22">
        <f t="shared" si="47"/>
        <v>0</v>
      </c>
      <c r="AS35" s="22">
        <f t="shared" si="47"/>
        <v>0</v>
      </c>
      <c r="AT35" s="22">
        <f t="shared" si="47"/>
        <v>0</v>
      </c>
      <c r="AU35" s="22">
        <f t="shared" si="47"/>
        <v>0</v>
      </c>
      <c r="AV35" s="22">
        <f t="shared" si="47"/>
        <v>0</v>
      </c>
      <c r="AW35" s="22">
        <f t="shared" si="47"/>
        <v>0</v>
      </c>
      <c r="AX35" s="22">
        <f t="shared" si="47"/>
        <v>0</v>
      </c>
      <c r="AY35" s="22">
        <f t="shared" si="48"/>
        <v>0</v>
      </c>
      <c r="AZ35" s="22">
        <f t="shared" si="48"/>
        <v>0</v>
      </c>
      <c r="BA35" s="22">
        <f t="shared" si="48"/>
        <v>0</v>
      </c>
      <c r="BB35" s="22">
        <f t="shared" si="48"/>
        <v>0</v>
      </c>
      <c r="BC35" s="22">
        <f t="shared" si="48"/>
        <v>0</v>
      </c>
      <c r="BD35" s="22">
        <f t="shared" si="48"/>
        <v>0</v>
      </c>
      <c r="BE35" s="22">
        <f t="shared" si="48"/>
        <v>0</v>
      </c>
      <c r="BF35" s="22">
        <f t="shared" si="48"/>
        <v>0</v>
      </c>
      <c r="BG35" s="22">
        <f t="shared" si="48"/>
        <v>0</v>
      </c>
      <c r="BH35" s="22">
        <f t="shared" si="48"/>
        <v>0</v>
      </c>
      <c r="BI35" s="22">
        <f t="shared" si="48"/>
        <v>0</v>
      </c>
      <c r="BJ35" s="22">
        <f t="shared" si="48"/>
        <v>0</v>
      </c>
      <c r="BN35">
        <v>34</v>
      </c>
      <c r="BO35" s="23">
        <f t="shared" si="44"/>
        <v>0</v>
      </c>
      <c r="BP35" s="23">
        <f t="shared" si="45"/>
        <v>0</v>
      </c>
      <c r="BQ35" s="23">
        <f t="shared" si="46"/>
        <v>0</v>
      </c>
      <c r="BR35" s="23">
        <f t="shared" si="46"/>
        <v>0</v>
      </c>
      <c r="BS35" s="23">
        <f t="shared" si="46"/>
        <v>0</v>
      </c>
      <c r="BT35" s="23">
        <f t="shared" si="46"/>
        <v>0</v>
      </c>
      <c r="BU35" s="23">
        <f t="shared" si="46"/>
        <v>0</v>
      </c>
      <c r="BV35" s="23">
        <f t="shared" si="46"/>
        <v>0</v>
      </c>
      <c r="BW35" s="23">
        <f t="shared" si="46"/>
        <v>0</v>
      </c>
      <c r="BX35" s="23">
        <f t="shared" si="46"/>
        <v>0</v>
      </c>
      <c r="BY35" s="23">
        <f t="shared" si="46"/>
        <v>0</v>
      </c>
      <c r="BZ35" s="23">
        <f t="shared" si="46"/>
        <v>0</v>
      </c>
      <c r="CA35" s="23">
        <f t="shared" si="46"/>
        <v>0</v>
      </c>
      <c r="CB35" s="23">
        <f t="shared" si="46"/>
        <v>0</v>
      </c>
      <c r="CC35" s="23">
        <f t="shared" si="46"/>
        <v>0</v>
      </c>
      <c r="CD35" s="23">
        <f t="shared" si="46"/>
        <v>0</v>
      </c>
      <c r="CE35" s="23">
        <f t="shared" si="46"/>
        <v>0</v>
      </c>
      <c r="CF35" s="23">
        <f t="shared" si="46"/>
        <v>0</v>
      </c>
      <c r="CG35" s="23">
        <f t="shared" si="46"/>
        <v>0</v>
      </c>
      <c r="CH35" s="23">
        <f t="shared" si="46"/>
        <v>0</v>
      </c>
      <c r="CI35" s="23">
        <f t="shared" si="46"/>
        <v>0</v>
      </c>
      <c r="CJ35" s="23">
        <f t="shared" si="46"/>
        <v>0</v>
      </c>
      <c r="CK35" s="23">
        <f t="shared" si="46"/>
        <v>0</v>
      </c>
      <c r="CL35" s="23">
        <f t="shared" si="46"/>
        <v>0</v>
      </c>
      <c r="CM35" s="23">
        <f t="shared" si="46"/>
        <v>0</v>
      </c>
      <c r="CN35" s="23">
        <f t="shared" si="46"/>
        <v>0</v>
      </c>
      <c r="CO35" s="23">
        <f t="shared" si="46"/>
        <v>0</v>
      </c>
      <c r="CP35" s="23">
        <f t="shared" si="46"/>
        <v>0</v>
      </c>
      <c r="CU35" s="21">
        <v>34</v>
      </c>
      <c r="CV35" s="24">
        <f t="shared" si="6"/>
        <v>0</v>
      </c>
      <c r="CW35" s="24">
        <f t="shared" si="7"/>
        <v>0</v>
      </c>
      <c r="CX35" s="24">
        <f t="shared" si="8"/>
        <v>0</v>
      </c>
      <c r="CY35" s="24">
        <f t="shared" si="9"/>
        <v>0</v>
      </c>
      <c r="CZ35" s="24">
        <f t="shared" si="10"/>
        <v>0</v>
      </c>
      <c r="DA35" s="24">
        <f t="shared" si="11"/>
        <v>0</v>
      </c>
      <c r="DB35" s="24">
        <f t="shared" si="12"/>
        <v>0</v>
      </c>
      <c r="DC35" s="24">
        <f t="shared" si="13"/>
        <v>0</v>
      </c>
      <c r="DF35" s="48">
        <v>34</v>
      </c>
      <c r="DG35" s="47">
        <f t="shared" si="36"/>
        <v>0</v>
      </c>
      <c r="DH35" s="47">
        <f t="shared" si="14"/>
        <v>0</v>
      </c>
      <c r="DI35" s="47">
        <f t="shared" si="15"/>
        <v>0</v>
      </c>
      <c r="DJ35" s="47">
        <f t="shared" si="16"/>
        <v>0</v>
      </c>
      <c r="DK35" s="47">
        <f t="shared" si="17"/>
        <v>0</v>
      </c>
      <c r="DL35" s="47">
        <f t="shared" si="18"/>
        <v>0</v>
      </c>
      <c r="DM35" s="47">
        <f t="shared" si="19"/>
        <v>0</v>
      </c>
      <c r="DN35" s="47">
        <f t="shared" si="20"/>
        <v>0</v>
      </c>
      <c r="DO35" s="47">
        <f t="shared" si="21"/>
        <v>0</v>
      </c>
      <c r="DP35" s="47">
        <f t="shared" si="22"/>
        <v>0</v>
      </c>
      <c r="DQ35" s="47">
        <f t="shared" si="23"/>
        <v>0</v>
      </c>
      <c r="DR35" s="47">
        <f t="shared" si="24"/>
        <v>0</v>
      </c>
      <c r="DS35" s="47">
        <f t="shared" si="25"/>
        <v>0</v>
      </c>
      <c r="DT35" s="47">
        <f t="shared" si="26"/>
        <v>0</v>
      </c>
      <c r="DX35">
        <v>34</v>
      </c>
      <c r="DY35" s="19">
        <f t="shared" si="27"/>
        <v>0</v>
      </c>
      <c r="EM35" s="21">
        <v>34</v>
      </c>
      <c r="EN35" s="16">
        <f t="shared" si="28"/>
        <v>0</v>
      </c>
      <c r="EO35" s="16">
        <f t="shared" si="4"/>
        <v>0</v>
      </c>
      <c r="EP35" s="16">
        <f t="shared" si="29"/>
        <v>0</v>
      </c>
      <c r="EQ35" s="16">
        <f t="shared" si="30"/>
        <v>0</v>
      </c>
      <c r="ER35" s="16">
        <f t="shared" si="31"/>
        <v>0</v>
      </c>
      <c r="ES35" s="16">
        <f t="shared" si="32"/>
        <v>0</v>
      </c>
      <c r="ET35" s="16">
        <f t="shared" si="33"/>
        <v>0</v>
      </c>
      <c r="EU35" s="16">
        <f t="shared" si="34"/>
        <v>0</v>
      </c>
      <c r="FK35" s="20"/>
      <c r="FL35" s="20"/>
    </row>
    <row r="36" spans="3:168" ht="14.4" thickBot="1" x14ac:dyDescent="0.35"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H36" s="21">
        <v>35</v>
      </c>
      <c r="AI36" s="27">
        <f t="shared" si="47"/>
        <v>0</v>
      </c>
      <c r="AJ36" s="27">
        <f t="shared" si="47"/>
        <v>0</v>
      </c>
      <c r="AK36" s="27">
        <f t="shared" si="47"/>
        <v>0</v>
      </c>
      <c r="AL36" s="27">
        <f t="shared" si="47"/>
        <v>0</v>
      </c>
      <c r="AM36" s="27">
        <f t="shared" si="47"/>
        <v>0</v>
      </c>
      <c r="AN36" s="27">
        <f t="shared" si="47"/>
        <v>0</v>
      </c>
      <c r="AO36" s="27">
        <f t="shared" si="47"/>
        <v>0</v>
      </c>
      <c r="AP36" s="27">
        <f t="shared" si="47"/>
        <v>0</v>
      </c>
      <c r="AQ36" s="27">
        <f t="shared" si="47"/>
        <v>0</v>
      </c>
      <c r="AR36" s="27">
        <f t="shared" si="47"/>
        <v>0</v>
      </c>
      <c r="AS36" s="27">
        <f t="shared" si="47"/>
        <v>0</v>
      </c>
      <c r="AT36" s="27">
        <f t="shared" si="47"/>
        <v>0</v>
      </c>
      <c r="AU36" s="27">
        <f t="shared" si="47"/>
        <v>0</v>
      </c>
      <c r="AV36" s="27">
        <f t="shared" si="47"/>
        <v>0</v>
      </c>
      <c r="AW36" s="27">
        <f t="shared" si="47"/>
        <v>0</v>
      </c>
      <c r="AX36" s="27">
        <f t="shared" si="47"/>
        <v>0</v>
      </c>
      <c r="AY36" s="27">
        <f t="shared" si="48"/>
        <v>0</v>
      </c>
      <c r="AZ36" s="27">
        <f t="shared" si="48"/>
        <v>0</v>
      </c>
      <c r="BA36" s="27">
        <f t="shared" si="48"/>
        <v>0</v>
      </c>
      <c r="BB36" s="27">
        <f t="shared" si="48"/>
        <v>0</v>
      </c>
      <c r="BC36" s="27">
        <f t="shared" si="48"/>
        <v>0</v>
      </c>
      <c r="BD36" s="27">
        <f t="shared" si="48"/>
        <v>0</v>
      </c>
      <c r="BE36" s="27">
        <f t="shared" si="48"/>
        <v>0</v>
      </c>
      <c r="BF36" s="27">
        <f t="shared" si="48"/>
        <v>0</v>
      </c>
      <c r="BG36" s="27">
        <f t="shared" si="48"/>
        <v>0</v>
      </c>
      <c r="BH36" s="27">
        <f t="shared" si="48"/>
        <v>0</v>
      </c>
      <c r="BI36" s="27">
        <f t="shared" si="48"/>
        <v>0</v>
      </c>
      <c r="BJ36" s="27">
        <f t="shared" si="48"/>
        <v>0</v>
      </c>
      <c r="BN36">
        <v>35</v>
      </c>
      <c r="BO36" s="28">
        <f t="shared" si="44"/>
        <v>0</v>
      </c>
      <c r="BP36" s="28">
        <f t="shared" si="45"/>
        <v>0</v>
      </c>
      <c r="BQ36" s="28">
        <f t="shared" si="46"/>
        <v>0</v>
      </c>
      <c r="BR36" s="28">
        <f t="shared" si="46"/>
        <v>0</v>
      </c>
      <c r="BS36" s="28">
        <f t="shared" si="46"/>
        <v>0</v>
      </c>
      <c r="BT36" s="28">
        <f t="shared" si="46"/>
        <v>0</v>
      </c>
      <c r="BU36" s="28">
        <f t="shared" si="46"/>
        <v>0</v>
      </c>
      <c r="BV36" s="28">
        <f t="shared" si="46"/>
        <v>0</v>
      </c>
      <c r="BW36" s="28">
        <f t="shared" si="46"/>
        <v>0</v>
      </c>
      <c r="BX36" s="28">
        <f t="shared" si="46"/>
        <v>0</v>
      </c>
      <c r="BY36" s="28">
        <f t="shared" si="46"/>
        <v>0</v>
      </c>
      <c r="BZ36" s="28">
        <f t="shared" si="46"/>
        <v>0</v>
      </c>
      <c r="CA36" s="28">
        <f t="shared" si="46"/>
        <v>0</v>
      </c>
      <c r="CB36" s="28">
        <f t="shared" si="46"/>
        <v>0</v>
      </c>
      <c r="CC36" s="28">
        <f t="shared" si="46"/>
        <v>0</v>
      </c>
      <c r="CD36" s="28">
        <f t="shared" si="46"/>
        <v>0</v>
      </c>
      <c r="CE36" s="28">
        <f t="shared" si="46"/>
        <v>0</v>
      </c>
      <c r="CF36" s="28">
        <f t="shared" si="46"/>
        <v>0</v>
      </c>
      <c r="CG36" s="28">
        <f t="shared" si="46"/>
        <v>0</v>
      </c>
      <c r="CH36" s="28">
        <f t="shared" si="46"/>
        <v>0</v>
      </c>
      <c r="CI36" s="28">
        <f t="shared" si="46"/>
        <v>0</v>
      </c>
      <c r="CJ36" s="28">
        <f t="shared" si="46"/>
        <v>0</v>
      </c>
      <c r="CK36" s="28">
        <f t="shared" si="46"/>
        <v>0</v>
      </c>
      <c r="CL36" s="28">
        <f t="shared" si="46"/>
        <v>0</v>
      </c>
      <c r="CM36" s="28">
        <f t="shared" si="46"/>
        <v>0</v>
      </c>
      <c r="CN36" s="28">
        <f t="shared" si="46"/>
        <v>0</v>
      </c>
      <c r="CO36" s="28">
        <f t="shared" si="46"/>
        <v>0</v>
      </c>
      <c r="CP36" s="28">
        <f t="shared" si="46"/>
        <v>0</v>
      </c>
      <c r="CU36" s="21">
        <v>35</v>
      </c>
      <c r="CV36" s="29">
        <f t="shared" si="6"/>
        <v>0</v>
      </c>
      <c r="CW36" s="29">
        <f t="shared" si="7"/>
        <v>0</v>
      </c>
      <c r="CX36" s="29">
        <f t="shared" si="8"/>
        <v>0</v>
      </c>
      <c r="CY36" s="29">
        <f t="shared" si="9"/>
        <v>0</v>
      </c>
      <c r="CZ36" s="29">
        <f t="shared" si="10"/>
        <v>0</v>
      </c>
      <c r="DA36" s="29">
        <f t="shared" si="11"/>
        <v>0</v>
      </c>
      <c r="DB36" s="29">
        <f t="shared" si="12"/>
        <v>0</v>
      </c>
      <c r="DC36" s="29">
        <f t="shared" si="13"/>
        <v>0</v>
      </c>
      <c r="DF36" s="46">
        <v>35</v>
      </c>
      <c r="DG36" s="49">
        <f t="shared" si="36"/>
        <v>0</v>
      </c>
      <c r="DH36" s="49">
        <f t="shared" si="14"/>
        <v>0</v>
      </c>
      <c r="DI36" s="49">
        <f t="shared" si="15"/>
        <v>0</v>
      </c>
      <c r="DJ36" s="49">
        <f t="shared" si="16"/>
        <v>0</v>
      </c>
      <c r="DK36" s="49">
        <f t="shared" si="17"/>
        <v>0</v>
      </c>
      <c r="DL36" s="49">
        <f t="shared" si="18"/>
        <v>0</v>
      </c>
      <c r="DM36" s="49">
        <f t="shared" si="19"/>
        <v>0</v>
      </c>
      <c r="DN36" s="49">
        <f t="shared" si="20"/>
        <v>0</v>
      </c>
      <c r="DO36" s="49">
        <f t="shared" si="21"/>
        <v>0</v>
      </c>
      <c r="DP36" s="49">
        <f t="shared" si="22"/>
        <v>0</v>
      </c>
      <c r="DQ36" s="49">
        <f t="shared" si="23"/>
        <v>0</v>
      </c>
      <c r="DR36" s="49">
        <f t="shared" si="24"/>
        <v>0</v>
      </c>
      <c r="DS36" s="49">
        <f t="shared" si="25"/>
        <v>0</v>
      </c>
      <c r="DT36" s="49">
        <f t="shared" si="26"/>
        <v>0</v>
      </c>
      <c r="DX36">
        <v>35</v>
      </c>
      <c r="DY36" s="19">
        <f t="shared" si="27"/>
        <v>0</v>
      </c>
      <c r="EM36" s="21">
        <v>35</v>
      </c>
      <c r="EN36" s="16">
        <f t="shared" si="28"/>
        <v>0</v>
      </c>
      <c r="EO36" s="16">
        <f t="shared" si="4"/>
        <v>0</v>
      </c>
      <c r="EP36" s="16">
        <f t="shared" si="29"/>
        <v>0</v>
      </c>
      <c r="EQ36" s="16">
        <f t="shared" si="30"/>
        <v>0</v>
      </c>
      <c r="ER36" s="16">
        <f t="shared" si="31"/>
        <v>0</v>
      </c>
      <c r="ES36" s="16">
        <f t="shared" si="32"/>
        <v>0</v>
      </c>
      <c r="ET36" s="16">
        <f t="shared" si="33"/>
        <v>0</v>
      </c>
      <c r="EU36" s="16">
        <f t="shared" si="34"/>
        <v>0</v>
      </c>
      <c r="FK36" s="20"/>
      <c r="FL36" s="20"/>
    </row>
    <row r="37" spans="3:168" x14ac:dyDescent="0.3"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H37" s="21">
        <v>36</v>
      </c>
      <c r="AI37" s="22">
        <f>IF(C37=0,0,(C37-#REF!)*100/#REF!)</f>
        <v>0</v>
      </c>
      <c r="AJ37" s="22">
        <f>IF(D37=0,0,(D37-#REF!)*100/#REF!)</f>
        <v>0</v>
      </c>
      <c r="AK37" s="22">
        <f>IF(E37=0,0,(E37-#REF!)*100/#REF!)</f>
        <v>0</v>
      </c>
      <c r="AL37" s="22">
        <f>IF(F37=0,0,(F37-#REF!)*100/#REF!)</f>
        <v>0</v>
      </c>
      <c r="AM37" s="22">
        <f>IF(G37=0,0,(G37-#REF!)*100/#REF!)</f>
        <v>0</v>
      </c>
      <c r="AN37" s="22">
        <f>IF(H37=0,0,(H37-#REF!)*100/#REF!)</f>
        <v>0</v>
      </c>
      <c r="AO37" s="22">
        <f>IF(I37=0,0,(I37-#REF!)*100/#REF!)</f>
        <v>0</v>
      </c>
      <c r="AP37" s="22">
        <f>IF(J37=0,0,(J37-#REF!)*100/#REF!)</f>
        <v>0</v>
      </c>
      <c r="AQ37" s="22">
        <f>IF(K37=0,0,(K37-#REF!)*100/#REF!)</f>
        <v>0</v>
      </c>
      <c r="AR37" s="22">
        <f>IF(L37=0,0,(L37-#REF!)*100/#REF!)</f>
        <v>0</v>
      </c>
      <c r="AS37" s="22">
        <f>IF(M37=0,0,(M37-#REF!)*100/#REF!)</f>
        <v>0</v>
      </c>
      <c r="AT37" s="22">
        <f>IF(N37=0,0,(N37-#REF!)*100/#REF!)</f>
        <v>0</v>
      </c>
      <c r="AU37" s="22">
        <f>IF(O37=0,0,(O37-#REF!)*100/#REF!)</f>
        <v>0</v>
      </c>
      <c r="AV37" s="22">
        <f>IF(P37=0,0,(P37-#REF!)*100/#REF!)</f>
        <v>0</v>
      </c>
      <c r="AW37" s="22">
        <f>IF(Q37=0,0,(Q37-#REF!)*100/#REF!)</f>
        <v>0</v>
      </c>
      <c r="AX37" s="22">
        <f>IF(R37=0,0,(R37-#REF!)*100/#REF!)</f>
        <v>0</v>
      </c>
      <c r="AY37" s="22">
        <f>IF(S37=0,0,(S37-#REF!)*100/#REF!)</f>
        <v>0</v>
      </c>
      <c r="AZ37" s="22">
        <f>IF(T37=0,0,(T37-#REF!)*100/#REF!)</f>
        <v>0</v>
      </c>
      <c r="BA37" s="22">
        <f>IF(U37=0,0,(U37-#REF!)*100/#REF!)</f>
        <v>0</v>
      </c>
      <c r="BB37" s="22">
        <f>IF(V37=0,0,(V37-#REF!)*100/#REF!)</f>
        <v>0</v>
      </c>
      <c r="BC37" s="22">
        <f>IF(W37=0,0,(W37-#REF!)*100/#REF!)</f>
        <v>0</v>
      </c>
      <c r="BD37" s="22">
        <f>IF(X37=0,0,(X37-#REF!)*100/#REF!)</f>
        <v>0</v>
      </c>
      <c r="BE37" s="22">
        <f>IF(Y37=0,0,(Y37-#REF!)*100/#REF!)</f>
        <v>0</v>
      </c>
      <c r="BF37" s="22">
        <f>IF(Z37=0,0,(Z37-#REF!)*100/#REF!)</f>
        <v>0</v>
      </c>
      <c r="BG37" s="22">
        <f>IF(AA37=0,0,(AA37-#REF!)*100/#REF!)</f>
        <v>0</v>
      </c>
      <c r="BH37" s="22">
        <f>IF(AB37=0,0,(AB37-#REF!)*100/#REF!)</f>
        <v>0</v>
      </c>
      <c r="BI37" s="22">
        <f>IF(AC37=0,0,(AC37-#REF!)*100/#REF!)</f>
        <v>0</v>
      </c>
      <c r="BJ37" s="22">
        <f>IF(AD37=0,0,(AD37-#REF!)*100/#REF!)</f>
        <v>0</v>
      </c>
      <c r="BN37">
        <v>36</v>
      </c>
      <c r="BO37" s="23">
        <f t="shared" si="44"/>
        <v>0</v>
      </c>
      <c r="BP37" s="23">
        <f t="shared" si="45"/>
        <v>0</v>
      </c>
      <c r="BQ37" s="23">
        <f t="shared" si="46"/>
        <v>0</v>
      </c>
      <c r="BR37" s="23">
        <f t="shared" si="46"/>
        <v>0</v>
      </c>
      <c r="BS37" s="23">
        <f t="shared" si="46"/>
        <v>0</v>
      </c>
      <c r="BT37" s="23">
        <f t="shared" si="46"/>
        <v>0</v>
      </c>
      <c r="BU37" s="23">
        <f t="shared" si="46"/>
        <v>0</v>
      </c>
      <c r="BV37" s="23">
        <f t="shared" si="46"/>
        <v>0</v>
      </c>
      <c r="BW37" s="23">
        <f t="shared" si="46"/>
        <v>0</v>
      </c>
      <c r="BX37" s="23">
        <f t="shared" si="46"/>
        <v>0</v>
      </c>
      <c r="BY37" s="23">
        <f t="shared" si="46"/>
        <v>0</v>
      </c>
      <c r="BZ37" s="23">
        <f t="shared" si="46"/>
        <v>0</v>
      </c>
      <c r="CA37" s="23">
        <f t="shared" si="46"/>
        <v>0</v>
      </c>
      <c r="CB37" s="23">
        <f t="shared" si="46"/>
        <v>0</v>
      </c>
      <c r="CC37" s="23">
        <f t="shared" si="46"/>
        <v>0</v>
      </c>
      <c r="CD37" s="23">
        <f t="shared" si="46"/>
        <v>0</v>
      </c>
      <c r="CE37" s="23">
        <f t="shared" si="46"/>
        <v>0</v>
      </c>
      <c r="CF37" s="23">
        <f t="shared" si="46"/>
        <v>0</v>
      </c>
      <c r="CG37" s="23">
        <f t="shared" si="46"/>
        <v>0</v>
      </c>
      <c r="CH37" s="23">
        <f t="shared" si="46"/>
        <v>0</v>
      </c>
      <c r="CI37" s="23">
        <f t="shared" si="46"/>
        <v>0</v>
      </c>
      <c r="CJ37" s="23">
        <f t="shared" si="46"/>
        <v>0</v>
      </c>
      <c r="CK37" s="23">
        <f t="shared" si="46"/>
        <v>0</v>
      </c>
      <c r="CL37" s="23">
        <f t="shared" si="46"/>
        <v>0</v>
      </c>
      <c r="CM37" s="23">
        <f t="shared" si="46"/>
        <v>0</v>
      </c>
      <c r="CN37" s="23">
        <f t="shared" si="46"/>
        <v>0</v>
      </c>
      <c r="CO37" s="23">
        <f t="shared" si="46"/>
        <v>0</v>
      </c>
      <c r="CP37" s="23">
        <f t="shared" si="46"/>
        <v>0</v>
      </c>
      <c r="CU37" s="13">
        <v>36</v>
      </c>
      <c r="CV37" s="24">
        <f t="shared" si="6"/>
        <v>0</v>
      </c>
      <c r="CW37" s="24">
        <f t="shared" si="7"/>
        <v>0</v>
      </c>
      <c r="CX37" s="24">
        <f t="shared" si="8"/>
        <v>0</v>
      </c>
      <c r="CY37" s="24">
        <f t="shared" si="9"/>
        <v>0</v>
      </c>
      <c r="CZ37" s="24">
        <f t="shared" si="10"/>
        <v>0</v>
      </c>
      <c r="DA37" s="24">
        <f t="shared" si="11"/>
        <v>0</v>
      </c>
      <c r="DB37" s="24">
        <f t="shared" si="12"/>
        <v>0</v>
      </c>
      <c r="DC37" s="24">
        <f t="shared" si="13"/>
        <v>0</v>
      </c>
      <c r="DF37" s="48">
        <v>36</v>
      </c>
      <c r="DG37" s="47">
        <f t="shared" si="36"/>
        <v>0</v>
      </c>
      <c r="DH37" s="47">
        <f t="shared" si="14"/>
        <v>0</v>
      </c>
      <c r="DI37" s="47">
        <f t="shared" si="15"/>
        <v>0</v>
      </c>
      <c r="DJ37" s="47">
        <f t="shared" si="16"/>
        <v>0</v>
      </c>
      <c r="DK37" s="47">
        <f t="shared" si="17"/>
        <v>0</v>
      </c>
      <c r="DL37" s="47">
        <f t="shared" si="18"/>
        <v>0</v>
      </c>
      <c r="DM37" s="47">
        <f t="shared" si="19"/>
        <v>0</v>
      </c>
      <c r="DN37" s="47">
        <f t="shared" si="20"/>
        <v>0</v>
      </c>
      <c r="DO37" s="47">
        <f t="shared" si="21"/>
        <v>0</v>
      </c>
      <c r="DP37" s="47">
        <f t="shared" si="22"/>
        <v>0</v>
      </c>
      <c r="DQ37" s="47">
        <f t="shared" si="23"/>
        <v>0</v>
      </c>
      <c r="DR37" s="47">
        <f t="shared" si="24"/>
        <v>0</v>
      </c>
      <c r="DS37" s="47">
        <f t="shared" si="25"/>
        <v>0</v>
      </c>
      <c r="DT37" s="47">
        <f t="shared" si="26"/>
        <v>0</v>
      </c>
      <c r="DX37">
        <v>36</v>
      </c>
      <c r="DY37" s="19">
        <f t="shared" si="27"/>
        <v>0</v>
      </c>
      <c r="EM37" s="13">
        <v>36</v>
      </c>
      <c r="EN37" s="16">
        <f t="shared" si="28"/>
        <v>0</v>
      </c>
      <c r="EO37" s="16">
        <f t="shared" si="4"/>
        <v>0</v>
      </c>
      <c r="EP37" s="16">
        <f t="shared" si="29"/>
        <v>0</v>
      </c>
      <c r="EQ37" s="16">
        <f t="shared" si="30"/>
        <v>0</v>
      </c>
      <c r="ER37" s="16">
        <f t="shared" si="31"/>
        <v>0</v>
      </c>
      <c r="ES37" s="16">
        <f t="shared" si="32"/>
        <v>0</v>
      </c>
      <c r="ET37" s="16">
        <f t="shared" si="33"/>
        <v>0</v>
      </c>
      <c r="EU37" s="16">
        <f t="shared" si="34"/>
        <v>0</v>
      </c>
      <c r="FK37" s="20"/>
      <c r="FL37" s="20"/>
    </row>
    <row r="38" spans="3:168" x14ac:dyDescent="0.3">
      <c r="FK38" s="20"/>
      <c r="FL38" s="20"/>
    </row>
    <row r="39" spans="3:168" x14ac:dyDescent="0.3">
      <c r="FK39" s="20"/>
      <c r="FL39" s="20"/>
    </row>
    <row r="40" spans="3:168" x14ac:dyDescent="0.3">
      <c r="FK40" s="20"/>
      <c r="FL40" s="20"/>
    </row>
    <row r="41" spans="3:168" x14ac:dyDescent="0.3">
      <c r="FK41" s="20"/>
      <c r="FL41" s="20"/>
    </row>
    <row r="42" spans="3:168" x14ac:dyDescent="0.3">
      <c r="FK42" s="20"/>
      <c r="FL42" s="20"/>
    </row>
    <row r="43" spans="3:168" x14ac:dyDescent="0.3">
      <c r="FK43" s="20"/>
      <c r="FL43" s="20"/>
    </row>
    <row r="44" spans="3:168" x14ac:dyDescent="0.3">
      <c r="FK44" s="20"/>
      <c r="FL44" s="20"/>
    </row>
    <row r="45" spans="3:168" x14ac:dyDescent="0.3">
      <c r="FK45" s="20"/>
      <c r="FL45" s="20"/>
    </row>
    <row r="46" spans="3:168" x14ac:dyDescent="0.3">
      <c r="FK46" s="20"/>
      <c r="FL46" s="20"/>
    </row>
    <row r="47" spans="3:168" x14ac:dyDescent="0.3">
      <c r="FK47" s="20"/>
      <c r="FL47" s="20"/>
    </row>
    <row r="48" spans="3:168" x14ac:dyDescent="0.3">
      <c r="FK48" s="20"/>
      <c r="FL48" s="20"/>
    </row>
    <row r="49" spans="167:168" x14ac:dyDescent="0.3">
      <c r="FK49" s="20"/>
      <c r="FL49" s="20"/>
    </row>
    <row r="50" spans="167:168" x14ac:dyDescent="0.3">
      <c r="FK50" s="20"/>
      <c r="FL50" s="20"/>
    </row>
    <row r="51" spans="167:168" x14ac:dyDescent="0.3">
      <c r="FK51" s="20"/>
      <c r="FL51" s="20"/>
    </row>
    <row r="52" spans="167:168" x14ac:dyDescent="0.3">
      <c r="FK52" s="20"/>
      <c r="FL52" s="20"/>
    </row>
    <row r="53" spans="167:168" x14ac:dyDescent="0.3">
      <c r="FK53" s="20"/>
      <c r="FL53" s="20"/>
    </row>
    <row r="54" spans="167:168" x14ac:dyDescent="0.3">
      <c r="FK54" s="20"/>
      <c r="FL54" s="20"/>
    </row>
    <row r="55" spans="167:168" x14ac:dyDescent="0.3">
      <c r="FK55" s="20"/>
      <c r="FL55" s="20"/>
    </row>
    <row r="56" spans="167:168" x14ac:dyDescent="0.3">
      <c r="FK56" s="20"/>
      <c r="FL56" s="20"/>
    </row>
    <row r="57" spans="167:168" x14ac:dyDescent="0.3">
      <c r="FK57" s="20"/>
      <c r="FL57" s="20"/>
    </row>
    <row r="58" spans="167:168" x14ac:dyDescent="0.3">
      <c r="FK58" s="20"/>
      <c r="FL58" s="20"/>
    </row>
    <row r="59" spans="167:168" x14ac:dyDescent="0.3">
      <c r="FK59" s="20"/>
      <c r="FL59" s="20"/>
    </row>
    <row r="60" spans="167:168" x14ac:dyDescent="0.3">
      <c r="FK60" s="20"/>
      <c r="FL60" s="20"/>
    </row>
    <row r="61" spans="167:168" x14ac:dyDescent="0.3">
      <c r="FK61" s="20"/>
      <c r="FL61" s="20"/>
    </row>
    <row r="62" spans="167:168" x14ac:dyDescent="0.3">
      <c r="FK62" s="20"/>
      <c r="FL62" s="20"/>
    </row>
    <row r="63" spans="167:168" x14ac:dyDescent="0.3">
      <c r="FK63" s="20"/>
      <c r="FL63" s="20"/>
    </row>
    <row r="64" spans="167:168" x14ac:dyDescent="0.3">
      <c r="FK64" s="20"/>
      <c r="FL64" s="20"/>
    </row>
    <row r="65" spans="167:168" x14ac:dyDescent="0.3">
      <c r="FK65" s="20"/>
      <c r="FL65" s="20"/>
    </row>
    <row r="66" spans="167:168" x14ac:dyDescent="0.3">
      <c r="FK66" s="20"/>
      <c r="FL66" s="20"/>
    </row>
    <row r="67" spans="167:168" x14ac:dyDescent="0.3">
      <c r="FK67" s="20"/>
      <c r="FL67" s="20"/>
    </row>
    <row r="68" spans="167:168" x14ac:dyDescent="0.3">
      <c r="FK68" s="20"/>
      <c r="FL68" s="20"/>
    </row>
    <row r="69" spans="167:168" x14ac:dyDescent="0.3">
      <c r="FK69" s="20"/>
      <c r="FL69" s="20"/>
    </row>
    <row r="70" spans="167:168" x14ac:dyDescent="0.3">
      <c r="FK70" s="20"/>
      <c r="FL70" s="20"/>
    </row>
    <row r="71" spans="167:168" x14ac:dyDescent="0.3">
      <c r="FK71" s="20"/>
      <c r="FL71" s="20"/>
    </row>
    <row r="72" spans="167:168" x14ac:dyDescent="0.3">
      <c r="FK72" s="20"/>
      <c r="FL72" s="20"/>
    </row>
    <row r="73" spans="167:168" x14ac:dyDescent="0.3">
      <c r="FK73" s="20"/>
      <c r="FL73" s="20"/>
    </row>
    <row r="74" spans="167:168" x14ac:dyDescent="0.3">
      <c r="FK74" s="20"/>
      <c r="FL74" s="20"/>
    </row>
    <row r="75" spans="167:168" x14ac:dyDescent="0.3">
      <c r="FK75" s="20"/>
      <c r="FL75" s="20"/>
    </row>
    <row r="76" spans="167:168" x14ac:dyDescent="0.3">
      <c r="FK76" s="20"/>
      <c r="FL76" s="20"/>
    </row>
    <row r="77" spans="167:168" x14ac:dyDescent="0.3">
      <c r="FK77" s="20"/>
      <c r="FL77" s="20"/>
    </row>
    <row r="78" spans="167:168" x14ac:dyDescent="0.3">
      <c r="FK78" s="20"/>
      <c r="FL78" s="20"/>
    </row>
    <row r="79" spans="167:168" x14ac:dyDescent="0.3">
      <c r="FK79" s="20"/>
      <c r="FL79" s="20"/>
    </row>
    <row r="80" spans="167:168" x14ac:dyDescent="0.3">
      <c r="FK80" s="20"/>
      <c r="FL80" s="20"/>
    </row>
    <row r="81" spans="167:168" x14ac:dyDescent="0.3">
      <c r="FK81" s="20"/>
      <c r="FL81" s="20"/>
    </row>
    <row r="82" spans="167:168" x14ac:dyDescent="0.3">
      <c r="FK82" s="20"/>
      <c r="FL82" s="20"/>
    </row>
    <row r="83" spans="167:168" x14ac:dyDescent="0.3">
      <c r="FK83" s="20"/>
      <c r="FL83" s="20"/>
    </row>
    <row r="84" spans="167:168" x14ac:dyDescent="0.3">
      <c r="FK84" s="20"/>
      <c r="FL84" s="20"/>
    </row>
    <row r="85" spans="167:168" x14ac:dyDescent="0.3">
      <c r="FK85" s="20"/>
      <c r="FL85" s="20"/>
    </row>
    <row r="86" spans="167:168" x14ac:dyDescent="0.3">
      <c r="FK86" s="20"/>
      <c r="FL86" s="20"/>
    </row>
    <row r="87" spans="167:168" x14ac:dyDescent="0.3">
      <c r="FK87" s="20"/>
      <c r="FL87" s="20"/>
    </row>
    <row r="88" spans="167:168" x14ac:dyDescent="0.3">
      <c r="FK88" s="20"/>
      <c r="FL88" s="20"/>
    </row>
    <row r="89" spans="167:168" x14ac:dyDescent="0.3">
      <c r="FK89" s="20"/>
      <c r="FL89" s="20"/>
    </row>
    <row r="90" spans="167:168" x14ac:dyDescent="0.3">
      <c r="FK90" s="20"/>
      <c r="FL90" s="20"/>
    </row>
    <row r="91" spans="167:168" x14ac:dyDescent="0.3">
      <c r="FK91" s="20"/>
      <c r="FL91" s="20"/>
    </row>
    <row r="92" spans="167:168" x14ac:dyDescent="0.3">
      <c r="FK92" s="20"/>
      <c r="FL92" s="20"/>
    </row>
    <row r="93" spans="167:168" x14ac:dyDescent="0.3">
      <c r="FK93" s="20"/>
      <c r="FL93" s="20"/>
    </row>
    <row r="94" spans="167:168" x14ac:dyDescent="0.3">
      <c r="FK94" s="20"/>
      <c r="FL94" s="20"/>
    </row>
    <row r="95" spans="167:168" x14ac:dyDescent="0.3">
      <c r="FK95" s="20"/>
      <c r="FL95" s="20"/>
    </row>
    <row r="96" spans="167:168" x14ac:dyDescent="0.3">
      <c r="FK96" s="20"/>
      <c r="FL96" s="20"/>
    </row>
    <row r="97" spans="167:168" x14ac:dyDescent="0.3">
      <c r="FK97" s="20"/>
      <c r="FL97" s="20"/>
    </row>
    <row r="98" spans="167:168" x14ac:dyDescent="0.3">
      <c r="FK98" s="20"/>
      <c r="FL98" s="20"/>
    </row>
    <row r="99" spans="167:168" x14ac:dyDescent="0.3">
      <c r="FK99" s="20"/>
      <c r="FL99" s="20"/>
    </row>
    <row r="100" spans="167:168" x14ac:dyDescent="0.3">
      <c r="FK100" s="20"/>
      <c r="FL100" s="20"/>
    </row>
    <row r="101" spans="167:168" x14ac:dyDescent="0.3">
      <c r="FK101" s="20"/>
      <c r="FL101" s="20"/>
    </row>
    <row r="102" spans="167:168" x14ac:dyDescent="0.3">
      <c r="FK102" s="20"/>
      <c r="FL102" s="20"/>
    </row>
    <row r="103" spans="167:168" x14ac:dyDescent="0.3">
      <c r="FK103" s="20"/>
      <c r="FL103" s="20"/>
    </row>
    <row r="104" spans="167:168" x14ac:dyDescent="0.3">
      <c r="FK104" s="20"/>
      <c r="FL104" s="20"/>
    </row>
    <row r="105" spans="167:168" x14ac:dyDescent="0.3">
      <c r="FK105" s="20"/>
      <c r="FL105" s="20"/>
    </row>
    <row r="106" spans="167:168" x14ac:dyDescent="0.3">
      <c r="FK106" s="20"/>
      <c r="FL106" s="20"/>
    </row>
    <row r="107" spans="167:168" x14ac:dyDescent="0.3">
      <c r="FK107" s="20"/>
      <c r="FL107" s="20"/>
    </row>
    <row r="108" spans="167:168" x14ac:dyDescent="0.3">
      <c r="FK108" s="20"/>
      <c r="FL108" s="20"/>
    </row>
    <row r="109" spans="167:168" x14ac:dyDescent="0.3">
      <c r="FK109" s="20"/>
      <c r="FL109" s="20"/>
    </row>
    <row r="110" spans="167:168" x14ac:dyDescent="0.3">
      <c r="FK110" s="20"/>
      <c r="FL110" s="20"/>
    </row>
    <row r="111" spans="167:168" x14ac:dyDescent="0.3">
      <c r="FK111" s="20"/>
      <c r="FL111" s="20"/>
    </row>
    <row r="112" spans="167:168" x14ac:dyDescent="0.3">
      <c r="FK112" s="20"/>
      <c r="FL112" s="20"/>
    </row>
    <row r="113" spans="167:168" x14ac:dyDescent="0.3">
      <c r="FK113" s="20"/>
      <c r="FL113" s="20"/>
    </row>
    <row r="114" spans="167:168" x14ac:dyDescent="0.3">
      <c r="FK114" s="20"/>
      <c r="FL114" s="20"/>
    </row>
    <row r="115" spans="167:168" x14ac:dyDescent="0.3">
      <c r="FK115" s="20"/>
      <c r="FL115" s="20"/>
    </row>
    <row r="116" spans="167:168" x14ac:dyDescent="0.3">
      <c r="FK116" s="20"/>
      <c r="FL116" s="20"/>
    </row>
    <row r="117" spans="167:168" x14ac:dyDescent="0.3">
      <c r="FK117" s="20"/>
      <c r="FL117" s="20"/>
    </row>
    <row r="118" spans="167:168" x14ac:dyDescent="0.3">
      <c r="FK118" s="20"/>
      <c r="FL118" s="20"/>
    </row>
    <row r="119" spans="167:168" x14ac:dyDescent="0.3">
      <c r="FK119" s="20"/>
      <c r="FL119" s="20"/>
    </row>
  </sheetData>
  <conditionalFormatting sqref="EW2:EW9">
    <cfRule type="top10" dxfId="4" priority="40" bottom="1" rank="2"/>
    <cfRule type="top10" dxfId="3" priority="41" rank="2"/>
  </conditionalFormatting>
  <conditionalFormatting sqref="EB2:EI2">
    <cfRule type="containsText" dxfId="2" priority="1" operator="containsText" text="Sell">
      <formula>NOT(ISERROR(SEARCH("Sell",EB2)))</formula>
    </cfRule>
    <cfRule type="containsText" dxfId="1" priority="2" operator="containsText" text="Buy">
      <formula>NOT(ISERROR(SEARCH("Buy",EB2)))</formula>
    </cfRule>
    <cfRule type="expression" dxfId="0" priority="3">
      <formula>"EC2=""Buy"""</formula>
    </cfRule>
  </conditionalFormatting>
  <dataValidations count="1">
    <dataValidation type="list" allowBlank="1" showInputMessage="1" showErrorMessage="1" sqref="EB2:EI2" xr:uid="{7DD21B26-848C-4078-88EF-5D2E668168FC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SATORI H1</vt:lpstr>
      <vt:lpstr>SATORI H4</vt:lpstr>
      <vt:lpstr>SATORI (D)</vt:lpstr>
    </vt:vector>
  </TitlesOfParts>
  <Company>Rajamangala University of Technology Lanna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ชยพล ชัยภูมิ</dc:creator>
  <cp:lastModifiedBy>ASUS</cp:lastModifiedBy>
  <dcterms:created xsi:type="dcterms:W3CDTF">2024-08-12T08:34:32Z</dcterms:created>
  <dcterms:modified xsi:type="dcterms:W3CDTF">2024-08-22T12:22:21Z</dcterms:modified>
</cp:coreProperties>
</file>