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tori\"/>
    </mc:Choice>
  </mc:AlternateContent>
  <xr:revisionPtr revIDLastSave="0" documentId="13_ncr:1_{454B9818-290B-4B76-ABD2-4ACF204B7E8E}" xr6:coauthVersionLast="47" xr6:coauthVersionMax="47" xr10:uidLastSave="{00000000-0000-0000-0000-000000000000}"/>
  <bookViews>
    <workbookView xWindow="-108" yWindow="-108" windowWidth="23256" windowHeight="12456" activeTab="1" xr2:uid="{4F9FAD61-6BBE-498B-A1D9-B53A431B2023}"/>
  </bookViews>
  <sheets>
    <sheet name="SATORI H1(RTD UP LOAD DATA)" sheetId="3" r:id="rId1"/>
    <sheet name="SATORI H1 (Data)" sheetId="4" r:id="rId2"/>
  </sheets>
  <externalReferences>
    <externalReference r:id="rId3"/>
  </externalReferences>
  <definedNames>
    <definedName name="AUDCAD" localSheetId="1">#REF!</definedName>
    <definedName name="AUDCAD" localSheetId="0">#REF!</definedName>
    <definedName name="AUDCAD">#REF!</definedName>
    <definedName name="AUDCHF" localSheetId="1">#REF!</definedName>
    <definedName name="AUDCHF" localSheetId="0">#REF!</definedName>
    <definedName name="AUDCHF">#REF!</definedName>
    <definedName name="AUDJPY">#REF!</definedName>
    <definedName name="AUDNZD">#REF!</definedName>
    <definedName name="AUDUSD">#REF!</definedName>
    <definedName name="CADCHF">#REF!</definedName>
    <definedName name="CADJPY">#REF!</definedName>
    <definedName name="CHFJPY">#REF!</definedName>
    <definedName name="EURAUD">#REF!</definedName>
    <definedName name="EURCAD">#REF!</definedName>
    <definedName name="EURCHF">#REF!</definedName>
    <definedName name="EURGBP">#REF!</definedName>
    <definedName name="EURJPY">#REF!</definedName>
    <definedName name="EURNZD">#REF!</definedName>
    <definedName name="EURUSD">#REF!</definedName>
    <definedName name="GBPAUD">#REF!</definedName>
    <definedName name="GBPCAD">#REF!</definedName>
    <definedName name="GBPCHF">#REF!</definedName>
    <definedName name="GBPJPY">#REF!</definedName>
    <definedName name="GBPNZD">#REF!</definedName>
    <definedName name="GBPUSD">#REF!</definedName>
    <definedName name="NZDCAD">#REF!</definedName>
    <definedName name="NZDCHF">#REF!</definedName>
    <definedName name="NZDJPY">#REF!</definedName>
    <definedName name="NZDUSD">#REF!</definedName>
    <definedName name="Trend" localSheetId="1">[1]!CheckList_tbl[#Data]</definedName>
    <definedName name="Trend" localSheetId="0">[1]!CheckList_tbl[#Data]</definedName>
    <definedName name="Trend">[1]!CheckList_tbl[#Data]</definedName>
    <definedName name="USDCAD" localSheetId="1">#REF!</definedName>
    <definedName name="USDCAD" localSheetId="0">#REF!</definedName>
    <definedName name="USDCAD">#REF!</definedName>
    <definedName name="USDCHF" localSheetId="1">#REF!</definedName>
    <definedName name="USDCHF" localSheetId="0">#REF!</definedName>
    <definedName name="USDCHF">#REF!</definedName>
    <definedName name="USDJPY" localSheetId="1">#REF!</definedName>
    <definedName name="USDJPY" localSheetId="0">#REF!</definedName>
    <definedName name="USDJP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V2" i="4" l="1"/>
  <c r="BO3" i="4"/>
  <c r="DG2" i="4"/>
  <c r="BO2" i="4"/>
  <c r="C7" i="3"/>
  <c r="DP37" i="4"/>
  <c r="CP37" i="4"/>
  <c r="DQ37" i="4" s="1"/>
  <c r="CO37" i="4"/>
  <c r="DI37" i="4" s="1"/>
  <c r="CJ37" i="4"/>
  <c r="CI37" i="4"/>
  <c r="DO37" i="4" s="1"/>
  <c r="CH37" i="4"/>
  <c r="CG37" i="4"/>
  <c r="CB37" i="4"/>
  <c r="CA37" i="4"/>
  <c r="DK37" i="4" s="1"/>
  <c r="BZ37" i="4"/>
  <c r="BY37" i="4"/>
  <c r="DN37" i="4" s="1"/>
  <c r="BT37" i="4"/>
  <c r="BS37" i="4"/>
  <c r="BR37" i="4"/>
  <c r="BQ37" i="4"/>
  <c r="BJ37" i="4"/>
  <c r="BI37" i="4"/>
  <c r="BH37" i="4"/>
  <c r="BG37" i="4"/>
  <c r="CM37" i="4" s="1"/>
  <c r="BF37" i="4"/>
  <c r="CL37" i="4" s="1"/>
  <c r="BE37" i="4"/>
  <c r="CK37" i="4" s="1"/>
  <c r="BD37" i="4"/>
  <c r="BC37" i="4"/>
  <c r="BB37" i="4"/>
  <c r="BA37" i="4"/>
  <c r="AZ37" i="4"/>
  <c r="AY37" i="4"/>
  <c r="CE37" i="4" s="1"/>
  <c r="AX37" i="4"/>
  <c r="CD37" i="4" s="1"/>
  <c r="AW37" i="4"/>
  <c r="CC37" i="4" s="1"/>
  <c r="AV37" i="4"/>
  <c r="AU37" i="4"/>
  <c r="AT37" i="4"/>
  <c r="AS37" i="4"/>
  <c r="AR37" i="4"/>
  <c r="AQ37" i="4"/>
  <c r="BW37" i="4" s="1"/>
  <c r="DJ37" i="4" s="1"/>
  <c r="AP37" i="4"/>
  <c r="BV37" i="4" s="1"/>
  <c r="DL37" i="4" s="1"/>
  <c r="AO37" i="4"/>
  <c r="BU37" i="4" s="1"/>
  <c r="DH37" i="4" s="1"/>
  <c r="AN37" i="4"/>
  <c r="AM37" i="4"/>
  <c r="AL37" i="4"/>
  <c r="AK37" i="4"/>
  <c r="AJ37" i="4"/>
  <c r="AI37" i="4"/>
  <c r="BO37" i="4" s="1"/>
  <c r="DO36" i="4"/>
  <c r="CP36" i="4"/>
  <c r="DQ36" i="4" s="1"/>
  <c r="CO36" i="4"/>
  <c r="DI36" i="4" s="1"/>
  <c r="CI36" i="4"/>
  <c r="CH36" i="4"/>
  <c r="CG36" i="4"/>
  <c r="CA36" i="4"/>
  <c r="BZ36" i="4"/>
  <c r="DP36" i="4" s="1"/>
  <c r="BY36" i="4"/>
  <c r="DN36" i="4" s="1"/>
  <c r="BS36" i="4"/>
  <c r="BR36" i="4"/>
  <c r="BQ36" i="4"/>
  <c r="BJ36" i="4"/>
  <c r="BI36" i="4"/>
  <c r="BH36" i="4"/>
  <c r="BG36" i="4"/>
  <c r="BF36" i="4"/>
  <c r="CL36" i="4" s="1"/>
  <c r="BE36" i="4"/>
  <c r="CK36" i="4" s="1"/>
  <c r="BD36" i="4"/>
  <c r="CJ36" i="4" s="1"/>
  <c r="BC36" i="4"/>
  <c r="BB36" i="4"/>
  <c r="BA36" i="4"/>
  <c r="AZ36" i="4"/>
  <c r="AY36" i="4"/>
  <c r="AX36" i="4"/>
  <c r="CD36" i="4" s="1"/>
  <c r="AW36" i="4"/>
  <c r="CC36" i="4" s="1"/>
  <c r="AV36" i="4"/>
  <c r="CB36" i="4" s="1"/>
  <c r="AU36" i="4"/>
  <c r="AT36" i="4"/>
  <c r="AS36" i="4"/>
  <c r="AR36" i="4"/>
  <c r="AQ36" i="4"/>
  <c r="AP36" i="4"/>
  <c r="BV36" i="4" s="1"/>
  <c r="DL36" i="4" s="1"/>
  <c r="AO36" i="4"/>
  <c r="BU36" i="4" s="1"/>
  <c r="DH36" i="4" s="1"/>
  <c r="AN36" i="4"/>
  <c r="BT36" i="4" s="1"/>
  <c r="AM36" i="4"/>
  <c r="AL36" i="4"/>
  <c r="AK36" i="4"/>
  <c r="AJ36" i="4"/>
  <c r="AI36" i="4"/>
  <c r="DN35" i="4"/>
  <c r="CP35" i="4"/>
  <c r="DQ35" i="4" s="1"/>
  <c r="CO35" i="4"/>
  <c r="DI35" i="4" s="1"/>
  <c r="CH35" i="4"/>
  <c r="CG35" i="4"/>
  <c r="BZ35" i="4"/>
  <c r="DP35" i="4" s="1"/>
  <c r="BY35" i="4"/>
  <c r="BR35" i="4"/>
  <c r="BQ35" i="4"/>
  <c r="BJ35" i="4"/>
  <c r="BI35" i="4"/>
  <c r="BH35" i="4"/>
  <c r="BG35" i="4"/>
  <c r="BF35" i="4"/>
  <c r="BE35" i="4"/>
  <c r="CK35" i="4" s="1"/>
  <c r="BD35" i="4"/>
  <c r="CJ35" i="4" s="1"/>
  <c r="BC35" i="4"/>
  <c r="CI35" i="4" s="1"/>
  <c r="DO35" i="4" s="1"/>
  <c r="BB35" i="4"/>
  <c r="BA35" i="4"/>
  <c r="AZ35" i="4"/>
  <c r="AY35" i="4"/>
  <c r="AX35" i="4"/>
  <c r="AW35" i="4"/>
  <c r="CC35" i="4" s="1"/>
  <c r="AV35" i="4"/>
  <c r="CB35" i="4" s="1"/>
  <c r="AU35" i="4"/>
  <c r="CA35" i="4" s="1"/>
  <c r="AT35" i="4"/>
  <c r="AS35" i="4"/>
  <c r="AR35" i="4"/>
  <c r="AQ35" i="4"/>
  <c r="AP35" i="4"/>
  <c r="AO35" i="4"/>
  <c r="BU35" i="4" s="1"/>
  <c r="DH35" i="4" s="1"/>
  <c r="AN35" i="4"/>
  <c r="BT35" i="4" s="1"/>
  <c r="AM35" i="4"/>
  <c r="BS35" i="4" s="1"/>
  <c r="AL35" i="4"/>
  <c r="AK35" i="4"/>
  <c r="AJ35" i="4"/>
  <c r="AI35" i="4"/>
  <c r="CO34" i="4"/>
  <c r="DI34" i="4" s="1"/>
  <c r="CG34" i="4"/>
  <c r="BY34" i="4"/>
  <c r="DN34" i="4" s="1"/>
  <c r="BQ34" i="4"/>
  <c r="BJ34" i="4"/>
  <c r="CP34" i="4" s="1"/>
  <c r="DQ34" i="4" s="1"/>
  <c r="BI34" i="4"/>
  <c r="BH34" i="4"/>
  <c r="BG34" i="4"/>
  <c r="BF34" i="4"/>
  <c r="BE34" i="4"/>
  <c r="BD34" i="4"/>
  <c r="CJ34" i="4" s="1"/>
  <c r="BC34" i="4"/>
  <c r="CI34" i="4" s="1"/>
  <c r="DO34" i="4" s="1"/>
  <c r="BB34" i="4"/>
  <c r="CH34" i="4" s="1"/>
  <c r="BA34" i="4"/>
  <c r="AZ34" i="4"/>
  <c r="AY34" i="4"/>
  <c r="AX34" i="4"/>
  <c r="AW34" i="4"/>
  <c r="AV34" i="4"/>
  <c r="CB34" i="4" s="1"/>
  <c r="AU34" i="4"/>
  <c r="CA34" i="4" s="1"/>
  <c r="AT34" i="4"/>
  <c r="BZ34" i="4" s="1"/>
  <c r="DP34" i="4" s="1"/>
  <c r="AS34" i="4"/>
  <c r="AR34" i="4"/>
  <c r="AQ34" i="4"/>
  <c r="AP34" i="4"/>
  <c r="AO34" i="4"/>
  <c r="AN34" i="4"/>
  <c r="BT34" i="4" s="1"/>
  <c r="AM34" i="4"/>
  <c r="BS34" i="4" s="1"/>
  <c r="AL34" i="4"/>
  <c r="BR34" i="4" s="1"/>
  <c r="AK34" i="4"/>
  <c r="AJ34" i="4"/>
  <c r="AI34" i="4"/>
  <c r="CN33" i="4"/>
  <c r="CF33" i="4"/>
  <c r="BX33" i="4"/>
  <c r="DR33" i="4" s="1"/>
  <c r="BP33" i="4"/>
  <c r="BJ33" i="4"/>
  <c r="CP33" i="4" s="1"/>
  <c r="DQ33" i="4" s="1"/>
  <c r="BI33" i="4"/>
  <c r="CO33" i="4" s="1"/>
  <c r="DI33" i="4" s="1"/>
  <c r="BH33" i="4"/>
  <c r="BG33" i="4"/>
  <c r="BF33" i="4"/>
  <c r="BE33" i="4"/>
  <c r="BD33" i="4"/>
  <c r="BC33" i="4"/>
  <c r="CI33" i="4" s="1"/>
  <c r="DO33" i="4" s="1"/>
  <c r="BB33" i="4"/>
  <c r="CH33" i="4" s="1"/>
  <c r="BA33" i="4"/>
  <c r="CG33" i="4" s="1"/>
  <c r="AZ33" i="4"/>
  <c r="AY33" i="4"/>
  <c r="AX33" i="4"/>
  <c r="AW33" i="4"/>
  <c r="AV33" i="4"/>
  <c r="AU33" i="4"/>
  <c r="CA33" i="4" s="1"/>
  <c r="AT33" i="4"/>
  <c r="BZ33" i="4" s="1"/>
  <c r="DP33" i="4" s="1"/>
  <c r="AS33" i="4"/>
  <c r="BY33" i="4" s="1"/>
  <c r="DN33" i="4" s="1"/>
  <c r="AR33" i="4"/>
  <c r="AQ33" i="4"/>
  <c r="AP33" i="4"/>
  <c r="AO33" i="4"/>
  <c r="AN33" i="4"/>
  <c r="AM33" i="4"/>
  <c r="BS33" i="4" s="1"/>
  <c r="AL33" i="4"/>
  <c r="BR33" i="4" s="1"/>
  <c r="AK33" i="4"/>
  <c r="BQ33" i="4" s="1"/>
  <c r="AJ33" i="4"/>
  <c r="AI33" i="4"/>
  <c r="CM32" i="4"/>
  <c r="CE32" i="4"/>
  <c r="BW32" i="4"/>
  <c r="DJ32" i="4" s="1"/>
  <c r="BO32" i="4"/>
  <c r="BJ32" i="4"/>
  <c r="CP32" i="4" s="1"/>
  <c r="DQ32" i="4" s="1"/>
  <c r="BI32" i="4"/>
  <c r="CO32" i="4" s="1"/>
  <c r="DI32" i="4" s="1"/>
  <c r="BH32" i="4"/>
  <c r="CN32" i="4" s="1"/>
  <c r="BG32" i="4"/>
  <c r="BF32" i="4"/>
  <c r="BE32" i="4"/>
  <c r="BD32" i="4"/>
  <c r="BC32" i="4"/>
  <c r="BB32" i="4"/>
  <c r="CH32" i="4" s="1"/>
  <c r="BA32" i="4"/>
  <c r="CG32" i="4" s="1"/>
  <c r="AZ32" i="4"/>
  <c r="CF32" i="4" s="1"/>
  <c r="AY32" i="4"/>
  <c r="AX32" i="4"/>
  <c r="AW32" i="4"/>
  <c r="AV32" i="4"/>
  <c r="AU32" i="4"/>
  <c r="AT32" i="4"/>
  <c r="BZ32" i="4" s="1"/>
  <c r="DP32" i="4" s="1"/>
  <c r="AS32" i="4"/>
  <c r="BY32" i="4" s="1"/>
  <c r="DN32" i="4" s="1"/>
  <c r="AR32" i="4"/>
  <c r="BX32" i="4" s="1"/>
  <c r="DR32" i="4" s="1"/>
  <c r="AQ32" i="4"/>
  <c r="AP32" i="4"/>
  <c r="AO32" i="4"/>
  <c r="AN32" i="4"/>
  <c r="AM32" i="4"/>
  <c r="AL32" i="4"/>
  <c r="BR32" i="4" s="1"/>
  <c r="AK32" i="4"/>
  <c r="BQ32" i="4" s="1"/>
  <c r="AJ32" i="4"/>
  <c r="BP32" i="4" s="1"/>
  <c r="AI32" i="4"/>
  <c r="CY31" i="4"/>
  <c r="CL31" i="4"/>
  <c r="CD31" i="4"/>
  <c r="BV31" i="4"/>
  <c r="DL31" i="4" s="1"/>
  <c r="BJ31" i="4"/>
  <c r="CP31" i="4" s="1"/>
  <c r="DQ31" i="4" s="1"/>
  <c r="BI31" i="4"/>
  <c r="CO31" i="4" s="1"/>
  <c r="DI31" i="4" s="1"/>
  <c r="BH31" i="4"/>
  <c r="CN31" i="4" s="1"/>
  <c r="BG31" i="4"/>
  <c r="CM31" i="4" s="1"/>
  <c r="BF31" i="4"/>
  <c r="BE31" i="4"/>
  <c r="BD31" i="4"/>
  <c r="BC31" i="4"/>
  <c r="BB31" i="4"/>
  <c r="CH31" i="4" s="1"/>
  <c r="BA31" i="4"/>
  <c r="CG31" i="4" s="1"/>
  <c r="AZ31" i="4"/>
  <c r="CF31" i="4" s="1"/>
  <c r="AY31" i="4"/>
  <c r="CE31" i="4" s="1"/>
  <c r="AX31" i="4"/>
  <c r="AW31" i="4"/>
  <c r="AV31" i="4"/>
  <c r="AU31" i="4"/>
  <c r="AT31" i="4"/>
  <c r="BZ31" i="4" s="1"/>
  <c r="DP31" i="4" s="1"/>
  <c r="AS31" i="4"/>
  <c r="BY31" i="4" s="1"/>
  <c r="DN31" i="4" s="1"/>
  <c r="AR31" i="4"/>
  <c r="BX31" i="4" s="1"/>
  <c r="DR31" i="4" s="1"/>
  <c r="AQ31" i="4"/>
  <c r="BW31" i="4" s="1"/>
  <c r="DJ31" i="4" s="1"/>
  <c r="AP31" i="4"/>
  <c r="AO31" i="4"/>
  <c r="AN31" i="4"/>
  <c r="AM31" i="4"/>
  <c r="AL31" i="4"/>
  <c r="BR31" i="4" s="1"/>
  <c r="AK31" i="4"/>
  <c r="BQ31" i="4" s="1"/>
  <c r="AJ31" i="4"/>
  <c r="BP31" i="4" s="1"/>
  <c r="AI31" i="4"/>
  <c r="BO31" i="4" s="1"/>
  <c r="DQ30" i="4"/>
  <c r="BU30" i="4"/>
  <c r="DH30" i="4" s="1"/>
  <c r="BJ30" i="4"/>
  <c r="CP30" i="4" s="1"/>
  <c r="BI30" i="4"/>
  <c r="BH30" i="4"/>
  <c r="CN30" i="4" s="1"/>
  <c r="BG30" i="4"/>
  <c r="CM30" i="4" s="1"/>
  <c r="BF30" i="4"/>
  <c r="CL30" i="4" s="1"/>
  <c r="BE30" i="4"/>
  <c r="BD30" i="4"/>
  <c r="BC30" i="4"/>
  <c r="BB30" i="4"/>
  <c r="CH30" i="4" s="1"/>
  <c r="BA30" i="4"/>
  <c r="AZ30" i="4"/>
  <c r="CF30" i="4" s="1"/>
  <c r="AY30" i="4"/>
  <c r="CE30" i="4" s="1"/>
  <c r="AX30" i="4"/>
  <c r="CD30" i="4" s="1"/>
  <c r="AW30" i="4"/>
  <c r="AV30" i="4"/>
  <c r="AU30" i="4"/>
  <c r="AT30" i="4"/>
  <c r="BZ30" i="4" s="1"/>
  <c r="DP30" i="4" s="1"/>
  <c r="AS30" i="4"/>
  <c r="AR30" i="4"/>
  <c r="BX30" i="4" s="1"/>
  <c r="DR30" i="4" s="1"/>
  <c r="AQ30" i="4"/>
  <c r="BW30" i="4" s="1"/>
  <c r="DJ30" i="4" s="1"/>
  <c r="AP30" i="4"/>
  <c r="BV30" i="4" s="1"/>
  <c r="DL30" i="4" s="1"/>
  <c r="AO30" i="4"/>
  <c r="AN30" i="4"/>
  <c r="AM30" i="4"/>
  <c r="AL30" i="4"/>
  <c r="BR30" i="4" s="1"/>
  <c r="AK30" i="4"/>
  <c r="AJ30" i="4"/>
  <c r="BP30" i="4" s="1"/>
  <c r="AI30" i="4"/>
  <c r="BO30" i="4" s="1"/>
  <c r="DP29" i="4"/>
  <c r="CJ29" i="4"/>
  <c r="CB29" i="4"/>
  <c r="BT29" i="4"/>
  <c r="BJ29" i="4"/>
  <c r="CP29" i="4" s="1"/>
  <c r="DQ29" i="4" s="1"/>
  <c r="BI29" i="4"/>
  <c r="BH29" i="4"/>
  <c r="CN29" i="4" s="1"/>
  <c r="BG29" i="4"/>
  <c r="CM29" i="4" s="1"/>
  <c r="BF29" i="4"/>
  <c r="CL29" i="4" s="1"/>
  <c r="BE29" i="4"/>
  <c r="BD29" i="4"/>
  <c r="BC29" i="4"/>
  <c r="BB29" i="4"/>
  <c r="CH29" i="4" s="1"/>
  <c r="BA29" i="4"/>
  <c r="AZ29" i="4"/>
  <c r="CF29" i="4" s="1"/>
  <c r="AY29" i="4"/>
  <c r="CE29" i="4" s="1"/>
  <c r="AX29" i="4"/>
  <c r="CD29" i="4" s="1"/>
  <c r="AW29" i="4"/>
  <c r="AV29" i="4"/>
  <c r="AU29" i="4"/>
  <c r="AT29" i="4"/>
  <c r="BZ29" i="4" s="1"/>
  <c r="AS29" i="4"/>
  <c r="AR29" i="4"/>
  <c r="BX29" i="4" s="1"/>
  <c r="DR29" i="4" s="1"/>
  <c r="AQ29" i="4"/>
  <c r="BW29" i="4" s="1"/>
  <c r="DJ29" i="4" s="1"/>
  <c r="AP29" i="4"/>
  <c r="BV29" i="4" s="1"/>
  <c r="DL29" i="4" s="1"/>
  <c r="AO29" i="4"/>
  <c r="AN29" i="4"/>
  <c r="AM29" i="4"/>
  <c r="AL29" i="4"/>
  <c r="BR29" i="4" s="1"/>
  <c r="AK29" i="4"/>
  <c r="AJ29" i="4"/>
  <c r="BP29" i="4" s="1"/>
  <c r="AI29" i="4"/>
  <c r="BO29" i="4" s="1"/>
  <c r="BW28" i="4"/>
  <c r="DJ28" i="4" s="1"/>
  <c r="BH28" i="4"/>
  <c r="BC28" i="4"/>
  <c r="AZ28" i="4"/>
  <c r="CF28" i="4" s="1"/>
  <c r="AU28" i="4"/>
  <c r="AR28" i="4"/>
  <c r="BX28" i="4" s="1"/>
  <c r="DR28" i="4" s="1"/>
  <c r="AM28" i="4"/>
  <c r="BJ28" i="4"/>
  <c r="CP28" i="4" s="1"/>
  <c r="DQ28" i="4" s="1"/>
  <c r="BI28" i="4"/>
  <c r="BG28" i="4"/>
  <c r="CM28" i="4" s="1"/>
  <c r="BF28" i="4"/>
  <c r="CL28" i="4" s="1"/>
  <c r="BE28" i="4"/>
  <c r="BD28" i="4"/>
  <c r="CJ28" i="4" s="1"/>
  <c r="BB28" i="4"/>
  <c r="CH28" i="4" s="1"/>
  <c r="BA28" i="4"/>
  <c r="AY28" i="4"/>
  <c r="CE28" i="4" s="1"/>
  <c r="AX28" i="4"/>
  <c r="CD28" i="4" s="1"/>
  <c r="AW28" i="4"/>
  <c r="AV28" i="4"/>
  <c r="CB28" i="4" s="1"/>
  <c r="AT28" i="4"/>
  <c r="BZ28" i="4" s="1"/>
  <c r="DP28" i="4" s="1"/>
  <c r="AS28" i="4"/>
  <c r="AQ28" i="4"/>
  <c r="AP28" i="4"/>
  <c r="BV28" i="4" s="1"/>
  <c r="DL28" i="4" s="1"/>
  <c r="AO28" i="4"/>
  <c r="AN28" i="4"/>
  <c r="BT28" i="4" s="1"/>
  <c r="AL28" i="4"/>
  <c r="BR28" i="4" s="1"/>
  <c r="AK28" i="4"/>
  <c r="AJ28" i="4"/>
  <c r="AI28" i="4"/>
  <c r="BO28" i="4" s="1"/>
  <c r="BF27" i="4"/>
  <c r="CL27" i="4" s="1"/>
  <c r="BE27" i="4"/>
  <c r="AZ27" i="4"/>
  <c r="CF27" i="4" s="1"/>
  <c r="AW27" i="4"/>
  <c r="CC27" i="4" s="1"/>
  <c r="AS27" i="4"/>
  <c r="AR27" i="4"/>
  <c r="BX27" i="4" s="1"/>
  <c r="DR27" i="4" s="1"/>
  <c r="AQ27" i="4"/>
  <c r="AM27" i="4"/>
  <c r="AJ27" i="4"/>
  <c r="BP27" i="4" s="1"/>
  <c r="BJ27" i="4"/>
  <c r="BI27" i="4"/>
  <c r="BH27" i="4"/>
  <c r="CN27" i="4" s="1"/>
  <c r="BG27" i="4"/>
  <c r="CM27" i="4" s="1"/>
  <c r="BD27" i="4"/>
  <c r="BC27" i="4"/>
  <c r="BB27" i="4"/>
  <c r="CH27" i="4" s="1"/>
  <c r="BA27" i="4"/>
  <c r="AY27" i="4"/>
  <c r="CE27" i="4" s="1"/>
  <c r="AX27" i="4"/>
  <c r="AV27" i="4"/>
  <c r="AU27" i="4"/>
  <c r="AT27" i="4"/>
  <c r="AP27" i="4"/>
  <c r="BV27" i="4" s="1"/>
  <c r="DL27" i="4" s="1"/>
  <c r="AO27" i="4"/>
  <c r="BU27" i="4" s="1"/>
  <c r="DH27" i="4" s="1"/>
  <c r="AK27" i="4"/>
  <c r="AI27" i="4"/>
  <c r="BO27" i="4" s="1"/>
  <c r="CK26" i="4"/>
  <c r="BI26" i="4"/>
  <c r="BH26" i="4"/>
  <c r="CN26" i="4" s="1"/>
  <c r="BF26" i="4"/>
  <c r="BC26" i="4"/>
  <c r="BA26" i="4"/>
  <c r="AZ26" i="4"/>
  <c r="CF26" i="4" s="1"/>
  <c r="AX26" i="4"/>
  <c r="AU26" i="4"/>
  <c r="AS26" i="4"/>
  <c r="AR26" i="4"/>
  <c r="BX26" i="4" s="1"/>
  <c r="DR26" i="4" s="1"/>
  <c r="AP26" i="4"/>
  <c r="BV26" i="4" s="1"/>
  <c r="DL26" i="4" s="1"/>
  <c r="AM26" i="4"/>
  <c r="AK26" i="4"/>
  <c r="AJ26" i="4"/>
  <c r="BG26" i="4"/>
  <c r="CM26" i="4" s="1"/>
  <c r="BE26" i="4"/>
  <c r="BD26" i="4"/>
  <c r="AY26" i="4"/>
  <c r="CE26" i="4" s="1"/>
  <c r="AW26" i="4"/>
  <c r="CC26" i="4" s="1"/>
  <c r="AV26" i="4"/>
  <c r="AQ26" i="4"/>
  <c r="AO26" i="4"/>
  <c r="BU26" i="4" s="1"/>
  <c r="DH26" i="4" s="1"/>
  <c r="AN26" i="4"/>
  <c r="AI26" i="4"/>
  <c r="BO26" i="4" s="1"/>
  <c r="BI25" i="4"/>
  <c r="BF25" i="4"/>
  <c r="BD25" i="4"/>
  <c r="CJ25" i="4" s="1"/>
  <c r="BC25" i="4"/>
  <c r="BA25" i="4"/>
  <c r="AX25" i="4"/>
  <c r="AV25" i="4"/>
  <c r="AU25" i="4"/>
  <c r="AS25" i="4"/>
  <c r="AP25" i="4"/>
  <c r="BV25" i="4" s="1"/>
  <c r="DL25" i="4" s="1"/>
  <c r="AN25" i="4"/>
  <c r="AM25" i="4"/>
  <c r="AK25" i="4"/>
  <c r="BJ25" i="4"/>
  <c r="BH25" i="4"/>
  <c r="CN25" i="4" s="1"/>
  <c r="BG25" i="4"/>
  <c r="CM25" i="4" s="1"/>
  <c r="BE25" i="4"/>
  <c r="CK25" i="4" s="1"/>
  <c r="BB25" i="4"/>
  <c r="AZ25" i="4"/>
  <c r="CF25" i="4" s="1"/>
  <c r="AY25" i="4"/>
  <c r="CE25" i="4" s="1"/>
  <c r="AW25" i="4"/>
  <c r="CC25" i="4" s="1"/>
  <c r="AT25" i="4"/>
  <c r="AR25" i="4"/>
  <c r="BX25" i="4" s="1"/>
  <c r="DR25" i="4" s="1"/>
  <c r="AQ25" i="4"/>
  <c r="AO25" i="4"/>
  <c r="BU25" i="4" s="1"/>
  <c r="DH25" i="4" s="1"/>
  <c r="AL25" i="4"/>
  <c r="AJ25" i="4"/>
  <c r="AI25" i="4"/>
  <c r="BO25" i="4" s="1"/>
  <c r="BI24" i="4"/>
  <c r="BG24" i="4"/>
  <c r="CM24" i="4" s="1"/>
  <c r="BF24" i="4"/>
  <c r="CL24" i="4" s="1"/>
  <c r="BD24" i="4"/>
  <c r="BA24" i="4"/>
  <c r="AY24" i="4"/>
  <c r="CE24" i="4" s="1"/>
  <c r="AX24" i="4"/>
  <c r="AV24" i="4"/>
  <c r="AS24" i="4"/>
  <c r="AQ24" i="4"/>
  <c r="AP24" i="4"/>
  <c r="BV24" i="4" s="1"/>
  <c r="DL24" i="4" s="1"/>
  <c r="AN24" i="4"/>
  <c r="AK24" i="4"/>
  <c r="AI24" i="4"/>
  <c r="BO24" i="4" s="1"/>
  <c r="BJ24" i="4"/>
  <c r="BH24" i="4"/>
  <c r="CN24" i="4" s="1"/>
  <c r="DG24" i="4" s="1"/>
  <c r="BC24" i="4"/>
  <c r="BB24" i="4"/>
  <c r="AZ24" i="4"/>
  <c r="CF24" i="4" s="1"/>
  <c r="AU24" i="4"/>
  <c r="CA24" i="4" s="1"/>
  <c r="AT24" i="4"/>
  <c r="AR24" i="4"/>
  <c r="BX24" i="4" s="1"/>
  <c r="DR24" i="4" s="1"/>
  <c r="AM24" i="4"/>
  <c r="AL24" i="4"/>
  <c r="AJ24" i="4"/>
  <c r="AI23" i="4"/>
  <c r="BO23" i="4" s="1"/>
  <c r="CN23" i="4"/>
  <c r="DG23" i="4" s="1"/>
  <c r="BJ23" i="4"/>
  <c r="BI23" i="4"/>
  <c r="BG23" i="4"/>
  <c r="CM23" i="4" s="1"/>
  <c r="BD23" i="4"/>
  <c r="BB23" i="4"/>
  <c r="BA23" i="4"/>
  <c r="AY23" i="4"/>
  <c r="CE23" i="4" s="1"/>
  <c r="AX23" i="4"/>
  <c r="AV23" i="4"/>
  <c r="AS23" i="4"/>
  <c r="AQ23" i="4"/>
  <c r="AP23" i="4"/>
  <c r="AN23" i="4"/>
  <c r="AL23" i="4"/>
  <c r="AK23" i="4"/>
  <c r="BH23" i="4"/>
  <c r="BF23" i="4"/>
  <c r="AZ23" i="4"/>
  <c r="CF23" i="4" s="1"/>
  <c r="AT23" i="4"/>
  <c r="AR23" i="4"/>
  <c r="BX23" i="4" s="1"/>
  <c r="DR23" i="4" s="1"/>
  <c r="AJ23" i="4"/>
  <c r="BP23" i="4" s="1"/>
  <c r="BI22" i="4"/>
  <c r="CO22" i="4" s="1"/>
  <c r="DI22" i="4" s="1"/>
  <c r="BG22" i="4"/>
  <c r="CM22" i="4" s="1"/>
  <c r="BF22" i="4"/>
  <c r="BD22" i="4"/>
  <c r="AY22" i="4"/>
  <c r="AX22" i="4"/>
  <c r="AQ22" i="4"/>
  <c r="BW22" i="4" s="1"/>
  <c r="DJ22" i="4" s="1"/>
  <c r="AP22" i="4"/>
  <c r="AO22" i="4"/>
  <c r="AN22" i="4"/>
  <c r="AI22" i="4"/>
  <c r="BJ22" i="4"/>
  <c r="BH22" i="4"/>
  <c r="BE22" i="4"/>
  <c r="BC22" i="4"/>
  <c r="BB22" i="4"/>
  <c r="BA22" i="4"/>
  <c r="CG22" i="4" s="1"/>
  <c r="AZ21" i="4"/>
  <c r="AV22" i="4"/>
  <c r="AU22" i="4"/>
  <c r="AT22" i="4"/>
  <c r="AS22" i="4"/>
  <c r="AR22" i="4"/>
  <c r="BX22" i="4" s="1"/>
  <c r="DR22" i="4" s="1"/>
  <c r="AM22" i="4"/>
  <c r="AL22" i="4"/>
  <c r="AK22" i="4"/>
  <c r="AJ22" i="4"/>
  <c r="BJ21" i="4"/>
  <c r="BH21" i="4"/>
  <c r="CN21" i="4" s="1"/>
  <c r="DG21" i="4" s="1"/>
  <c r="BG21" i="4"/>
  <c r="AY21" i="4"/>
  <c r="CE21" i="4" s="1"/>
  <c r="AW21" i="4"/>
  <c r="AR21" i="4"/>
  <c r="AQ21" i="4"/>
  <c r="BW21" i="4" s="1"/>
  <c r="DJ21" i="4" s="1"/>
  <c r="AO21" i="4"/>
  <c r="AN21" i="4"/>
  <c r="AI21" i="4"/>
  <c r="BO21" i="4" s="1"/>
  <c r="DM21" i="4" s="1"/>
  <c r="BF21" i="4"/>
  <c r="BE21" i="4"/>
  <c r="BD21" i="4"/>
  <c r="CJ21" i="4" s="1"/>
  <c r="BC21" i="4"/>
  <c r="BA20" i="4"/>
  <c r="AX21" i="4"/>
  <c r="CD21" i="4" s="1"/>
  <c r="AV21" i="4"/>
  <c r="AU21" i="4"/>
  <c r="AP21" i="4"/>
  <c r="AM21" i="4"/>
  <c r="AJ21" i="4"/>
  <c r="BJ20" i="4"/>
  <c r="BH20" i="4"/>
  <c r="BG20" i="4"/>
  <c r="BB20" i="4"/>
  <c r="AZ20" i="4"/>
  <c r="AY20" i="4"/>
  <c r="CE20" i="4" s="1"/>
  <c r="AT20" i="4"/>
  <c r="AR20" i="4"/>
  <c r="AQ20" i="4"/>
  <c r="BW20" i="4" s="1"/>
  <c r="DJ20" i="4" s="1"/>
  <c r="AL20" i="4"/>
  <c r="AJ20" i="4"/>
  <c r="AI20" i="4"/>
  <c r="BO20" i="4" s="1"/>
  <c r="BF20" i="4"/>
  <c r="CL20" i="4" s="1"/>
  <c r="BE20" i="4"/>
  <c r="BD20" i="4"/>
  <c r="CJ20" i="4" s="1"/>
  <c r="BC20" i="4"/>
  <c r="AX20" i="4"/>
  <c r="AV20" i="4"/>
  <c r="AU20" i="4"/>
  <c r="AP20" i="4"/>
  <c r="AO20" i="4"/>
  <c r="AN20" i="4"/>
  <c r="AM20" i="4"/>
  <c r="BJ19" i="4"/>
  <c r="BE19" i="4"/>
  <c r="BD19" i="4"/>
  <c r="BC19" i="4"/>
  <c r="BB19" i="4"/>
  <c r="AV19" i="4"/>
  <c r="AU19" i="4"/>
  <c r="AT19" i="4"/>
  <c r="AO19" i="4"/>
  <c r="AN19" i="4"/>
  <c r="AM19" i="4"/>
  <c r="AL19" i="4"/>
  <c r="BI19" i="4"/>
  <c r="BH19" i="4"/>
  <c r="BG19" i="4"/>
  <c r="BF19" i="4"/>
  <c r="BA19" i="4"/>
  <c r="AZ19" i="4"/>
  <c r="AY19" i="4"/>
  <c r="CE19" i="4" s="1"/>
  <c r="AX19" i="4"/>
  <c r="AS19" i="4"/>
  <c r="AR19" i="4"/>
  <c r="BX19" i="4" s="1"/>
  <c r="DR19" i="4" s="1"/>
  <c r="AQ19" i="4"/>
  <c r="BW19" i="4" s="1"/>
  <c r="DJ19" i="4" s="1"/>
  <c r="AP19" i="4"/>
  <c r="AK19" i="4"/>
  <c r="AJ19" i="4"/>
  <c r="AI19" i="4"/>
  <c r="BO19" i="4" s="1"/>
  <c r="BH18" i="4"/>
  <c r="CN9" i="4" s="1"/>
  <c r="BF18" i="4"/>
  <c r="BE18" i="4"/>
  <c r="AZ18" i="4"/>
  <c r="AY18" i="4"/>
  <c r="AX18" i="4"/>
  <c r="AW18" i="4"/>
  <c r="AR18" i="4"/>
  <c r="AP18" i="4"/>
  <c r="AO18" i="4"/>
  <c r="AJ18" i="4"/>
  <c r="AI18" i="4"/>
  <c r="BJ18" i="4"/>
  <c r="BD18" i="4"/>
  <c r="BB18" i="4"/>
  <c r="BA18" i="4"/>
  <c r="AV18" i="4"/>
  <c r="AT18" i="4"/>
  <c r="AN18" i="4"/>
  <c r="AL18" i="4"/>
  <c r="AK18" i="4"/>
  <c r="BJ17" i="4"/>
  <c r="BH17" i="4"/>
  <c r="BB17" i="4"/>
  <c r="AZ17" i="4"/>
  <c r="AT17" i="4"/>
  <c r="AR17" i="4"/>
  <c r="AL17" i="4"/>
  <c r="AJ17" i="4"/>
  <c r="BG17" i="4"/>
  <c r="BF17" i="4"/>
  <c r="BE17" i="4"/>
  <c r="BD17" i="4"/>
  <c r="CJ17" i="4" s="1"/>
  <c r="AY17" i="4"/>
  <c r="AX17" i="4"/>
  <c r="AW17" i="4"/>
  <c r="AV17" i="4"/>
  <c r="AQ17" i="4"/>
  <c r="AP17" i="4"/>
  <c r="AO17" i="4"/>
  <c r="AI17" i="4"/>
  <c r="BO17" i="4" s="1"/>
  <c r="BI16" i="4"/>
  <c r="BF16" i="4"/>
  <c r="BC16" i="4"/>
  <c r="BA16" i="4"/>
  <c r="AU16" i="4"/>
  <c r="AP16" i="4"/>
  <c r="AM16" i="4"/>
  <c r="AK16" i="4"/>
  <c r="BJ16" i="4"/>
  <c r="BH16" i="4"/>
  <c r="BF15" i="4"/>
  <c r="BE16" i="4"/>
  <c r="BB16" i="4"/>
  <c r="AZ16" i="4"/>
  <c r="AX16" i="4"/>
  <c r="AW16" i="4"/>
  <c r="AT16" i="4"/>
  <c r="AS16" i="4"/>
  <c r="AR16" i="4"/>
  <c r="BX16" i="4" s="1"/>
  <c r="DR16" i="4" s="1"/>
  <c r="AO16" i="4"/>
  <c r="AL16" i="4"/>
  <c r="AJ16" i="4"/>
  <c r="BI15" i="4"/>
  <c r="BG15" i="4"/>
  <c r="BD15" i="4"/>
  <c r="AY15" i="4"/>
  <c r="AW15" i="4"/>
  <c r="AS15" i="4"/>
  <c r="AP15" i="4"/>
  <c r="AO15" i="4"/>
  <c r="AK15" i="4"/>
  <c r="BH15" i="4"/>
  <c r="BE15" i="4"/>
  <c r="BC15" i="4"/>
  <c r="BA15" i="4"/>
  <c r="AZ15" i="4"/>
  <c r="AV15" i="4"/>
  <c r="AU15" i="4"/>
  <c r="AR15" i="4"/>
  <c r="BX15" i="4" s="1"/>
  <c r="DR15" i="4" s="1"/>
  <c r="AQ15" i="4"/>
  <c r="AN15" i="4"/>
  <c r="AM15" i="4"/>
  <c r="AJ15" i="4"/>
  <c r="BI14" i="4"/>
  <c r="BG14" i="4"/>
  <c r="BF14" i="4"/>
  <c r="BD14" i="4"/>
  <c r="BA14" i="4"/>
  <c r="AY14" i="4"/>
  <c r="AX14" i="4"/>
  <c r="AV14" i="4"/>
  <c r="AS14" i="4"/>
  <c r="AQ14" i="4"/>
  <c r="AP14" i="4"/>
  <c r="AN14" i="4"/>
  <c r="AK14" i="4"/>
  <c r="BJ14" i="4"/>
  <c r="BH14" i="4"/>
  <c r="BE14" i="4"/>
  <c r="BC14" i="4"/>
  <c r="BB14" i="4"/>
  <c r="AZ14" i="4"/>
  <c r="AW14" i="4"/>
  <c r="AU14" i="4"/>
  <c r="AT14" i="4"/>
  <c r="AR14" i="4"/>
  <c r="AO14" i="4"/>
  <c r="AM14" i="4"/>
  <c r="AL14" i="4"/>
  <c r="AJ14" i="4"/>
  <c r="BI13" i="4"/>
  <c r="BG13" i="4"/>
  <c r="BD13" i="4"/>
  <c r="BA13" i="4"/>
  <c r="AY13" i="4"/>
  <c r="AV13" i="4"/>
  <c r="AS13" i="4"/>
  <c r="AQ13" i="4"/>
  <c r="AN13" i="4"/>
  <c r="AK13" i="4"/>
  <c r="AI13" i="4"/>
  <c r="BH13" i="4"/>
  <c r="BF13" i="4"/>
  <c r="BE13" i="4"/>
  <c r="BC13" i="4"/>
  <c r="AZ13" i="4"/>
  <c r="AX13" i="4"/>
  <c r="AW13" i="4"/>
  <c r="AU13" i="4"/>
  <c r="AR13" i="4"/>
  <c r="AP13" i="4"/>
  <c r="AO13" i="4"/>
  <c r="AM13" i="4"/>
  <c r="AJ13" i="4"/>
  <c r="BJ12" i="4"/>
  <c r="BH12" i="4"/>
  <c r="BG12" i="4"/>
  <c r="BE12" i="4"/>
  <c r="BD12" i="4"/>
  <c r="BB12" i="4"/>
  <c r="AY12" i="4"/>
  <c r="AV12" i="4"/>
  <c r="AT12" i="4"/>
  <c r="AO12" i="4"/>
  <c r="AN12" i="4"/>
  <c r="AL12" i="4"/>
  <c r="AI12" i="4"/>
  <c r="BI12" i="4"/>
  <c r="BF12" i="4"/>
  <c r="BC12" i="4"/>
  <c r="BA12" i="4"/>
  <c r="AZ12" i="4"/>
  <c r="AX12" i="4"/>
  <c r="AU12" i="4"/>
  <c r="AS12" i="4"/>
  <c r="AR12" i="4"/>
  <c r="AQ12" i="4"/>
  <c r="AP12" i="4"/>
  <c r="AM12" i="4"/>
  <c r="AK12" i="4"/>
  <c r="AJ12" i="4"/>
  <c r="BF11" i="4"/>
  <c r="BE11" i="4"/>
  <c r="BB11" i="4"/>
  <c r="AW11" i="4"/>
  <c r="AT11" i="4"/>
  <c r="AR11" i="4"/>
  <c r="BX11" i="4" s="1"/>
  <c r="DR11" i="4" s="1"/>
  <c r="AO11" i="4"/>
  <c r="AJ11" i="4"/>
  <c r="AI11" i="4"/>
  <c r="BJ11" i="4"/>
  <c r="BI11" i="4"/>
  <c r="BH11" i="4"/>
  <c r="BG11" i="4"/>
  <c r="BD11" i="4"/>
  <c r="BC11" i="4"/>
  <c r="BA11" i="4"/>
  <c r="AZ11" i="4"/>
  <c r="AY11" i="4"/>
  <c r="AX11" i="4"/>
  <c r="AV11" i="4"/>
  <c r="AU11" i="4"/>
  <c r="AS11" i="4"/>
  <c r="AQ11" i="4"/>
  <c r="AP11" i="4"/>
  <c r="AN11" i="4"/>
  <c r="AM11" i="4"/>
  <c r="AL11" i="4"/>
  <c r="AK11" i="4"/>
  <c r="BJ10" i="4"/>
  <c r="BI10" i="4"/>
  <c r="BH10" i="4"/>
  <c r="BE10" i="4"/>
  <c r="BB10" i="4"/>
  <c r="BA10" i="4"/>
  <c r="AW10" i="4"/>
  <c r="AS10" i="4"/>
  <c r="AR10" i="4"/>
  <c r="AO10" i="4"/>
  <c r="AJ10" i="4"/>
  <c r="AI10" i="4"/>
  <c r="BG10" i="4"/>
  <c r="BF10" i="4"/>
  <c r="BB9" i="4"/>
  <c r="AZ10" i="4"/>
  <c r="AY10" i="4"/>
  <c r="AX10" i="4"/>
  <c r="AT10" i="4"/>
  <c r="AQ10" i="4"/>
  <c r="AP10" i="4"/>
  <c r="AN10" i="4"/>
  <c r="AL10" i="4"/>
  <c r="AK10" i="4"/>
  <c r="BJ9" i="4"/>
  <c r="BG9" i="4"/>
  <c r="BE9" i="4"/>
  <c r="AY9" i="4"/>
  <c r="AW9" i="4"/>
  <c r="AQ9" i="4"/>
  <c r="AO9" i="4"/>
  <c r="AI9" i="4"/>
  <c r="BI9" i="4"/>
  <c r="BH9" i="4"/>
  <c r="BF9" i="4"/>
  <c r="BC9" i="4"/>
  <c r="BA9" i="4"/>
  <c r="AZ9" i="4"/>
  <c r="AY8" i="4"/>
  <c r="AX9" i="4"/>
  <c r="AU9" i="4"/>
  <c r="AS9" i="4"/>
  <c r="AR9" i="4"/>
  <c r="AQ8" i="4"/>
  <c r="AP9" i="4"/>
  <c r="AM9" i="4"/>
  <c r="AK9" i="4"/>
  <c r="AJ9" i="4"/>
  <c r="AI8" i="4"/>
  <c r="BJ8" i="4"/>
  <c r="BI8" i="4"/>
  <c r="BG8" i="4"/>
  <c r="BD8" i="4"/>
  <c r="BA8" i="4"/>
  <c r="AV8" i="4"/>
  <c r="AS8" i="4"/>
  <c r="AN8" i="4"/>
  <c r="AL8" i="4"/>
  <c r="BF8" i="4"/>
  <c r="BD7" i="4"/>
  <c r="BC8" i="4"/>
  <c r="BB8" i="4"/>
  <c r="AX8" i="4"/>
  <c r="AW8" i="4"/>
  <c r="AV7" i="4"/>
  <c r="AU8" i="4"/>
  <c r="AT8" i="4"/>
  <c r="AP8" i="4"/>
  <c r="AN7" i="4"/>
  <c r="AM8" i="4"/>
  <c r="AK8" i="4"/>
  <c r="BC7" i="4"/>
  <c r="BB7" i="4"/>
  <c r="AQ7" i="4"/>
  <c r="AI7" i="4"/>
  <c r="BJ7" i="4"/>
  <c r="BI7" i="4"/>
  <c r="BH7" i="4"/>
  <c r="BG7" i="4"/>
  <c r="BF7" i="4"/>
  <c r="AZ7" i="4"/>
  <c r="AY7" i="4"/>
  <c r="AX7" i="4"/>
  <c r="AU7" i="4"/>
  <c r="AT7" i="4"/>
  <c r="AS6" i="4"/>
  <c r="AR7" i="4"/>
  <c r="AP7" i="4"/>
  <c r="AM7" i="4"/>
  <c r="AL7" i="4"/>
  <c r="AJ7" i="4"/>
  <c r="BH6" i="4"/>
  <c r="BD6" i="4"/>
  <c r="AZ6" i="4"/>
  <c r="AY6" i="4"/>
  <c r="AV6" i="4"/>
  <c r="AR6" i="4"/>
  <c r="AQ6" i="4"/>
  <c r="AP6" i="4"/>
  <c r="AI6" i="4"/>
  <c r="BJ6" i="4"/>
  <c r="BG6" i="4"/>
  <c r="BF5" i="4"/>
  <c r="BE6" i="4"/>
  <c r="BC6" i="4"/>
  <c r="BB6" i="4"/>
  <c r="AX6" i="4"/>
  <c r="AW6" i="4"/>
  <c r="AU6" i="4"/>
  <c r="AT6" i="4"/>
  <c r="AP5" i="4"/>
  <c r="AO6" i="4"/>
  <c r="AN6" i="4"/>
  <c r="AM6" i="4"/>
  <c r="AL6" i="4"/>
  <c r="AJ6" i="4"/>
  <c r="BG5" i="4"/>
  <c r="BA5" i="4"/>
  <c r="AX5" i="4"/>
  <c r="AS5" i="4"/>
  <c r="AR5" i="4"/>
  <c r="AK5" i="4"/>
  <c r="AJ5" i="4"/>
  <c r="AI5" i="4"/>
  <c r="BI5" i="4"/>
  <c r="BH5" i="4"/>
  <c r="BE5" i="4"/>
  <c r="BD5" i="4"/>
  <c r="BC5" i="4"/>
  <c r="AZ5" i="4"/>
  <c r="AY5" i="4"/>
  <c r="AW5" i="4"/>
  <c r="AV5" i="4"/>
  <c r="AU5" i="4"/>
  <c r="AQ5" i="4"/>
  <c r="AO5" i="4"/>
  <c r="AN5" i="4"/>
  <c r="AM5" i="4"/>
  <c r="EJ4" i="4"/>
  <c r="BJ4" i="4"/>
  <c r="BI4" i="4"/>
  <c r="BE4" i="4"/>
  <c r="BD4" i="4"/>
  <c r="BA4" i="4"/>
  <c r="AW4" i="4"/>
  <c r="AL4" i="4"/>
  <c r="AI4" i="4"/>
  <c r="BH4" i="4"/>
  <c r="BG4" i="4"/>
  <c r="BF4" i="4"/>
  <c r="BC4" i="4"/>
  <c r="BB4" i="4"/>
  <c r="AZ4" i="4"/>
  <c r="AY4" i="4"/>
  <c r="AX4" i="4"/>
  <c r="AU4" i="4"/>
  <c r="AT4" i="4"/>
  <c r="AS4" i="4"/>
  <c r="AR4" i="4"/>
  <c r="AQ4" i="4"/>
  <c r="AP4" i="4"/>
  <c r="AO4" i="4"/>
  <c r="AM4" i="4"/>
  <c r="AK4" i="4"/>
  <c r="AJ4" i="4"/>
  <c r="BI3" i="4"/>
  <c r="BD3" i="4"/>
  <c r="BA3" i="4"/>
  <c r="AS3" i="4"/>
  <c r="AR3" i="4"/>
  <c r="AN3" i="4"/>
  <c r="BJ3" i="4"/>
  <c r="BH3" i="4"/>
  <c r="BG3" i="4"/>
  <c r="BE3" i="4"/>
  <c r="BB3" i="4"/>
  <c r="AZ3" i="4"/>
  <c r="AY3" i="4"/>
  <c r="AW3" i="4"/>
  <c r="AV3" i="4"/>
  <c r="AU3" i="4"/>
  <c r="AT3" i="4"/>
  <c r="AQ3" i="4"/>
  <c r="AO3" i="4"/>
  <c r="AM3" i="4"/>
  <c r="AL3" i="4"/>
  <c r="AK3" i="4"/>
  <c r="AJ3" i="4"/>
  <c r="AI3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J2" i="4"/>
  <c r="AI2" i="4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D28" i="3"/>
  <c r="AC28" i="3"/>
  <c r="AB28" i="3"/>
  <c r="AA28" i="3"/>
  <c r="Z28" i="3"/>
  <c r="Y28" i="3"/>
  <c r="X28" i="3"/>
  <c r="W28" i="3"/>
  <c r="V28" i="3"/>
  <c r="U28" i="3"/>
  <c r="BA28" i="3" s="1"/>
  <c r="T28" i="3"/>
  <c r="S28" i="3"/>
  <c r="R28" i="3"/>
  <c r="Q28" i="3"/>
  <c r="P28" i="3"/>
  <c r="O28" i="3"/>
  <c r="N28" i="3"/>
  <c r="M28" i="3"/>
  <c r="AS28" i="3" s="1"/>
  <c r="L28" i="3"/>
  <c r="K28" i="3"/>
  <c r="J28" i="3"/>
  <c r="I28" i="3"/>
  <c r="H28" i="3"/>
  <c r="G28" i="3"/>
  <c r="F28" i="3"/>
  <c r="E28" i="3"/>
  <c r="D28" i="3"/>
  <c r="C28" i="3"/>
  <c r="AD27" i="3"/>
  <c r="AC27" i="3"/>
  <c r="AB27" i="3"/>
  <c r="AA27" i="3"/>
  <c r="Z27" i="3"/>
  <c r="Y27" i="3"/>
  <c r="BE27" i="3" s="1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AM27" i="3" s="1"/>
  <c r="F27" i="3"/>
  <c r="E27" i="3"/>
  <c r="D27" i="3"/>
  <c r="C27" i="3"/>
  <c r="AD26" i="3"/>
  <c r="AC26" i="3"/>
  <c r="AB26" i="3"/>
  <c r="AA26" i="3"/>
  <c r="Z26" i="3"/>
  <c r="Y26" i="3"/>
  <c r="X26" i="3"/>
  <c r="W26" i="3"/>
  <c r="V26" i="3"/>
  <c r="U26" i="3"/>
  <c r="T26" i="3"/>
  <c r="S26" i="3"/>
  <c r="AY26" i="3" s="1"/>
  <c r="R26" i="3"/>
  <c r="Q26" i="3"/>
  <c r="P26" i="3"/>
  <c r="O26" i="3"/>
  <c r="N26" i="3"/>
  <c r="M26" i="3"/>
  <c r="L26" i="3"/>
  <c r="K26" i="3"/>
  <c r="AQ26" i="3" s="1"/>
  <c r="J26" i="3"/>
  <c r="I26" i="3"/>
  <c r="H26" i="3"/>
  <c r="G26" i="3"/>
  <c r="F26" i="3"/>
  <c r="E26" i="3"/>
  <c r="D26" i="3"/>
  <c r="C26" i="3"/>
  <c r="AI26" i="3" s="1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AU25" i="3" s="1"/>
  <c r="N25" i="3"/>
  <c r="M25" i="3"/>
  <c r="L25" i="3"/>
  <c r="K25" i="3"/>
  <c r="J25" i="3"/>
  <c r="I25" i="3"/>
  <c r="H25" i="3"/>
  <c r="G25" i="3"/>
  <c r="AM25" i="3" s="1"/>
  <c r="F25" i="3"/>
  <c r="E25" i="3"/>
  <c r="D25" i="3"/>
  <c r="C25" i="3"/>
  <c r="AD24" i="3"/>
  <c r="AC24" i="3"/>
  <c r="AB24" i="3"/>
  <c r="AA24" i="3"/>
  <c r="Z24" i="3"/>
  <c r="Y24" i="3"/>
  <c r="X24" i="3"/>
  <c r="W24" i="3"/>
  <c r="V24" i="3"/>
  <c r="U24" i="3"/>
  <c r="T24" i="3"/>
  <c r="S24" i="3"/>
  <c r="AY24" i="3" s="1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I24" i="3" s="1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AS22" i="3" s="1"/>
  <c r="L22" i="3"/>
  <c r="K22" i="3"/>
  <c r="J22" i="3"/>
  <c r="I22" i="3"/>
  <c r="H22" i="3"/>
  <c r="G22" i="3"/>
  <c r="F22" i="3"/>
  <c r="E22" i="3"/>
  <c r="AK22" i="3" s="1"/>
  <c r="D22" i="3"/>
  <c r="C22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AU21" i="3" s="1"/>
  <c r="N21" i="3"/>
  <c r="M21" i="3"/>
  <c r="L21" i="3"/>
  <c r="K21" i="3"/>
  <c r="J21" i="3"/>
  <c r="I21" i="3"/>
  <c r="H21" i="3"/>
  <c r="G21" i="3"/>
  <c r="AM21" i="3" s="1"/>
  <c r="F21" i="3"/>
  <c r="E21" i="3"/>
  <c r="D21" i="3"/>
  <c r="C21" i="3"/>
  <c r="AD20" i="3"/>
  <c r="AC20" i="3"/>
  <c r="AB20" i="3"/>
  <c r="AA20" i="3"/>
  <c r="Z20" i="3"/>
  <c r="Y20" i="3"/>
  <c r="X20" i="3"/>
  <c r="W20" i="3"/>
  <c r="V20" i="3"/>
  <c r="U20" i="3"/>
  <c r="T20" i="3"/>
  <c r="S20" i="3"/>
  <c r="AY20" i="3" s="1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AI20" i="3" s="1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AU19" i="3" s="1"/>
  <c r="N19" i="3"/>
  <c r="M19" i="3"/>
  <c r="L19" i="3"/>
  <c r="K19" i="3"/>
  <c r="J19" i="3"/>
  <c r="I19" i="3"/>
  <c r="H19" i="3"/>
  <c r="AN19" i="3" s="1"/>
  <c r="G19" i="3"/>
  <c r="AM19" i="3" s="1"/>
  <c r="F19" i="3"/>
  <c r="E19" i="3"/>
  <c r="D19" i="3"/>
  <c r="C19" i="3"/>
  <c r="AD18" i="3"/>
  <c r="AC18" i="3"/>
  <c r="AB18" i="3"/>
  <c r="AA18" i="3"/>
  <c r="BG18" i="3" s="1"/>
  <c r="Z18" i="3"/>
  <c r="Y18" i="3"/>
  <c r="X18" i="3"/>
  <c r="W18" i="3"/>
  <c r="V18" i="3"/>
  <c r="U18" i="3"/>
  <c r="T18" i="3"/>
  <c r="S18" i="3"/>
  <c r="AY18" i="3" s="1"/>
  <c r="R18" i="3"/>
  <c r="Q18" i="3"/>
  <c r="P18" i="3"/>
  <c r="O18" i="3"/>
  <c r="N18" i="3"/>
  <c r="M18" i="3"/>
  <c r="L18" i="3"/>
  <c r="K18" i="3"/>
  <c r="AQ18" i="3" s="1"/>
  <c r="J18" i="3"/>
  <c r="I18" i="3"/>
  <c r="H18" i="3"/>
  <c r="G18" i="3"/>
  <c r="F18" i="3"/>
  <c r="E18" i="3"/>
  <c r="D18" i="3"/>
  <c r="C18" i="3"/>
  <c r="AI18" i="3" s="1"/>
  <c r="AD17" i="3"/>
  <c r="AC17" i="3"/>
  <c r="AB17" i="3"/>
  <c r="AA17" i="3"/>
  <c r="Z17" i="3"/>
  <c r="Y17" i="3"/>
  <c r="X17" i="3"/>
  <c r="W17" i="3"/>
  <c r="BC17" i="3" s="1"/>
  <c r="V17" i="3"/>
  <c r="U17" i="3"/>
  <c r="T17" i="3"/>
  <c r="S17" i="3"/>
  <c r="R17" i="3"/>
  <c r="Q17" i="3"/>
  <c r="P17" i="3"/>
  <c r="O17" i="3"/>
  <c r="AU17" i="3" s="1"/>
  <c r="N17" i="3"/>
  <c r="M17" i="3"/>
  <c r="L17" i="3"/>
  <c r="K17" i="3"/>
  <c r="J17" i="3"/>
  <c r="I17" i="3"/>
  <c r="H17" i="3"/>
  <c r="G17" i="3"/>
  <c r="AM17" i="3" s="1"/>
  <c r="F17" i="3"/>
  <c r="E17" i="3"/>
  <c r="D17" i="3"/>
  <c r="C17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AO15" i="3" s="1"/>
  <c r="H15" i="3"/>
  <c r="G15" i="3"/>
  <c r="F15" i="3"/>
  <c r="E15" i="3"/>
  <c r="D15" i="3"/>
  <c r="C15" i="3"/>
  <c r="AD14" i="3"/>
  <c r="AC14" i="3"/>
  <c r="BI14" i="3" s="1"/>
  <c r="AB14" i="3"/>
  <c r="AA14" i="3"/>
  <c r="BG14" i="3" s="1"/>
  <c r="Z14" i="3"/>
  <c r="Y14" i="3"/>
  <c r="X14" i="3"/>
  <c r="W14" i="3"/>
  <c r="V14" i="3"/>
  <c r="U14" i="3"/>
  <c r="BA14" i="3" s="1"/>
  <c r="T14" i="3"/>
  <c r="S14" i="3"/>
  <c r="AY14" i="3" s="1"/>
  <c r="R14" i="3"/>
  <c r="Q14" i="3"/>
  <c r="P14" i="3"/>
  <c r="O14" i="3"/>
  <c r="N14" i="3"/>
  <c r="M14" i="3"/>
  <c r="L14" i="3"/>
  <c r="K14" i="3"/>
  <c r="AQ14" i="3" s="1"/>
  <c r="J14" i="3"/>
  <c r="I14" i="3"/>
  <c r="H14" i="3"/>
  <c r="G14" i="3"/>
  <c r="F14" i="3"/>
  <c r="E14" i="3"/>
  <c r="D14" i="3"/>
  <c r="C14" i="3"/>
  <c r="AI14" i="3" s="1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AU13" i="3" s="1"/>
  <c r="N13" i="3"/>
  <c r="M13" i="3"/>
  <c r="L13" i="3"/>
  <c r="K13" i="3"/>
  <c r="J13" i="3"/>
  <c r="I13" i="3"/>
  <c r="H13" i="3"/>
  <c r="G13" i="3"/>
  <c r="F13" i="3"/>
  <c r="E13" i="3"/>
  <c r="D13" i="3"/>
  <c r="C13" i="3"/>
  <c r="AD12" i="3"/>
  <c r="AC12" i="3"/>
  <c r="AB12" i="3"/>
  <c r="AA12" i="3"/>
  <c r="BG12" i="3" s="1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AO11" i="3" s="1"/>
  <c r="H11" i="3"/>
  <c r="G11" i="3"/>
  <c r="F11" i="3"/>
  <c r="E11" i="3"/>
  <c r="D11" i="3"/>
  <c r="C11" i="3"/>
  <c r="AD10" i="3"/>
  <c r="AC10" i="3"/>
  <c r="BI10" i="3" s="1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D8" i="3"/>
  <c r="AC8" i="3"/>
  <c r="BI8" i="3" s="1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AJ8" i="3" s="1"/>
  <c r="C8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D6" i="3"/>
  <c r="AC6" i="3"/>
  <c r="BI6" i="3" s="1"/>
  <c r="AB6" i="3"/>
  <c r="BH6" i="3" s="1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AK6" i="3" s="1"/>
  <c r="D6" i="3"/>
  <c r="AJ6" i="3" s="1"/>
  <c r="C6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AD4" i="3"/>
  <c r="AC4" i="3"/>
  <c r="AB4" i="3"/>
  <c r="BH4" i="3" s="1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AR4" i="3" s="1"/>
  <c r="K4" i="3"/>
  <c r="J4" i="3"/>
  <c r="I4" i="3"/>
  <c r="H4" i="3"/>
  <c r="G4" i="3"/>
  <c r="F4" i="3"/>
  <c r="E4" i="3"/>
  <c r="D4" i="3"/>
  <c r="AJ4" i="3" s="1"/>
  <c r="C4" i="3"/>
  <c r="AD3" i="3"/>
  <c r="AC3" i="3"/>
  <c r="AB3" i="3"/>
  <c r="AA3" i="3"/>
  <c r="Z3" i="3"/>
  <c r="Y3" i="3"/>
  <c r="X3" i="3"/>
  <c r="BD3" i="3" s="1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CC37" i="3"/>
  <c r="BJ37" i="3"/>
  <c r="CP37" i="3" s="1"/>
  <c r="BI37" i="3"/>
  <c r="BH37" i="3"/>
  <c r="CN37" i="3" s="1"/>
  <c r="BG37" i="3"/>
  <c r="CM37" i="3" s="1"/>
  <c r="BF37" i="3"/>
  <c r="CL37" i="3" s="1"/>
  <c r="BE37" i="3"/>
  <c r="CK37" i="3" s="1"/>
  <c r="BD37" i="3"/>
  <c r="CJ37" i="3" s="1"/>
  <c r="BC37" i="3"/>
  <c r="CI37" i="3" s="1"/>
  <c r="DO37" i="3" s="1"/>
  <c r="BB37" i="3"/>
  <c r="CH37" i="3" s="1"/>
  <c r="BA37" i="3"/>
  <c r="AZ37" i="3"/>
  <c r="CF37" i="3" s="1"/>
  <c r="AY37" i="3"/>
  <c r="CE37" i="3" s="1"/>
  <c r="AX37" i="3"/>
  <c r="CD37" i="3" s="1"/>
  <c r="AW37" i="3"/>
  <c r="AV37" i="3"/>
  <c r="CB37" i="3" s="1"/>
  <c r="AU37" i="3"/>
  <c r="CA37" i="3" s="1"/>
  <c r="DK37" i="3" s="1"/>
  <c r="AT37" i="3"/>
  <c r="AS37" i="3"/>
  <c r="AR37" i="3"/>
  <c r="BX37" i="3" s="1"/>
  <c r="DR37" i="3" s="1"/>
  <c r="AQ37" i="3"/>
  <c r="BW37" i="3" s="1"/>
  <c r="DJ37" i="3" s="1"/>
  <c r="AP37" i="3"/>
  <c r="BV37" i="3" s="1"/>
  <c r="DL37" i="3" s="1"/>
  <c r="AO37" i="3"/>
  <c r="BU37" i="3" s="1"/>
  <c r="DH37" i="3" s="1"/>
  <c r="AN37" i="3"/>
  <c r="BT37" i="3" s="1"/>
  <c r="AM37" i="3"/>
  <c r="BS37" i="3" s="1"/>
  <c r="AL37" i="3"/>
  <c r="AK37" i="3"/>
  <c r="AJ37" i="3"/>
  <c r="BP37" i="3" s="1"/>
  <c r="AI37" i="3"/>
  <c r="BO37" i="3" s="1"/>
  <c r="DH36" i="3"/>
  <c r="CI36" i="3"/>
  <c r="DO36" i="3" s="1"/>
  <c r="BU36" i="3"/>
  <c r="BJ36" i="3"/>
  <c r="CP36" i="3" s="1"/>
  <c r="BI36" i="3"/>
  <c r="BH36" i="3"/>
  <c r="BG36" i="3"/>
  <c r="BF36" i="3"/>
  <c r="CL36" i="3" s="1"/>
  <c r="BE36" i="3"/>
  <c r="CK36" i="3" s="1"/>
  <c r="BD36" i="3"/>
  <c r="BC36" i="3"/>
  <c r="BB36" i="3"/>
  <c r="CH36" i="3" s="1"/>
  <c r="BA36" i="3"/>
  <c r="AZ36" i="3"/>
  <c r="AY36" i="3"/>
  <c r="AX36" i="3"/>
  <c r="CD36" i="3" s="1"/>
  <c r="AW36" i="3"/>
  <c r="CC36" i="3" s="1"/>
  <c r="AV36" i="3"/>
  <c r="AU36" i="3"/>
  <c r="CA36" i="3" s="1"/>
  <c r="AT36" i="3"/>
  <c r="AS36" i="3"/>
  <c r="AR36" i="3"/>
  <c r="AQ36" i="3"/>
  <c r="AP36" i="3"/>
  <c r="BV36" i="3" s="1"/>
  <c r="DL36" i="3" s="1"/>
  <c r="AO36" i="3"/>
  <c r="AN36" i="3"/>
  <c r="AM36" i="3"/>
  <c r="BS36" i="3" s="1"/>
  <c r="AL36" i="3"/>
  <c r="AK36" i="3"/>
  <c r="AJ36" i="3"/>
  <c r="AI36" i="3"/>
  <c r="CI35" i="3"/>
  <c r="DO35" i="3" s="1"/>
  <c r="BJ35" i="3"/>
  <c r="BI35" i="3"/>
  <c r="BH35" i="3"/>
  <c r="BG35" i="3"/>
  <c r="BF35" i="3"/>
  <c r="BE35" i="3"/>
  <c r="CK35" i="3" s="1"/>
  <c r="BD35" i="3"/>
  <c r="BC35" i="3"/>
  <c r="BB35" i="3"/>
  <c r="BA35" i="3"/>
  <c r="CG33" i="3" s="1"/>
  <c r="AZ35" i="3"/>
  <c r="AY35" i="3"/>
  <c r="AX35" i="3"/>
  <c r="AW35" i="3"/>
  <c r="CC35" i="3" s="1"/>
  <c r="AV35" i="3"/>
  <c r="AU35" i="3"/>
  <c r="AT35" i="3"/>
  <c r="BZ35" i="3" s="1"/>
  <c r="DP35" i="3" s="1"/>
  <c r="AS35" i="3"/>
  <c r="BY34" i="3" s="1"/>
  <c r="DN34" i="3" s="1"/>
  <c r="AR35" i="3"/>
  <c r="AQ35" i="3"/>
  <c r="AP35" i="3"/>
  <c r="AO35" i="3"/>
  <c r="BU35" i="3" s="1"/>
  <c r="DH35" i="3" s="1"/>
  <c r="AN35" i="3"/>
  <c r="AM35" i="3"/>
  <c r="AL35" i="3"/>
  <c r="BR35" i="3" s="1"/>
  <c r="AK35" i="3"/>
  <c r="BQ34" i="3" s="1"/>
  <c r="AJ35" i="3"/>
  <c r="AI35" i="3"/>
  <c r="BJ34" i="3"/>
  <c r="BI34" i="3"/>
  <c r="BH34" i="3"/>
  <c r="BG34" i="3"/>
  <c r="BF34" i="3"/>
  <c r="BE34" i="3"/>
  <c r="BD34" i="3"/>
  <c r="BC34" i="3"/>
  <c r="BB34" i="3"/>
  <c r="BA34" i="3"/>
  <c r="AZ34" i="3"/>
  <c r="AY34" i="3"/>
  <c r="AX34" i="3"/>
  <c r="AW34" i="3"/>
  <c r="AV34" i="3"/>
  <c r="AU34" i="3"/>
  <c r="CA34" i="3" s="1"/>
  <c r="AT34" i="3"/>
  <c r="AS34" i="3"/>
  <c r="AR34" i="3"/>
  <c r="AQ34" i="3"/>
  <c r="AP34" i="3"/>
  <c r="AO34" i="3"/>
  <c r="AN34" i="3"/>
  <c r="AM34" i="3"/>
  <c r="AL34" i="3"/>
  <c r="AK34" i="3"/>
  <c r="AJ34" i="3"/>
  <c r="AI34" i="3"/>
  <c r="BZ33" i="3"/>
  <c r="DP33" i="3" s="1"/>
  <c r="BJ33" i="3"/>
  <c r="BI33" i="3"/>
  <c r="BH33" i="3"/>
  <c r="BG33" i="3"/>
  <c r="BF33" i="3"/>
  <c r="BE33" i="3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BJ32" i="3"/>
  <c r="BI32" i="3"/>
  <c r="BH32" i="3"/>
  <c r="BG32" i="3"/>
  <c r="BF32" i="3"/>
  <c r="BE32" i="3"/>
  <c r="BD32" i="3"/>
  <c r="BC32" i="3"/>
  <c r="BB32" i="3"/>
  <c r="BA32" i="3"/>
  <c r="AZ32" i="3"/>
  <c r="CF32" i="3" s="1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BJ31" i="3"/>
  <c r="BI31" i="3"/>
  <c r="BH31" i="3"/>
  <c r="BG31" i="3"/>
  <c r="BF31" i="3"/>
  <c r="BE31" i="3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BJ30" i="3"/>
  <c r="BI30" i="3"/>
  <c r="BH30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BU29" i="3" s="1"/>
  <c r="DH29" i="3" s="1"/>
  <c r="AN29" i="3"/>
  <c r="AM29" i="3"/>
  <c r="AL29" i="3"/>
  <c r="AK29" i="3"/>
  <c r="AJ29" i="3"/>
  <c r="AI29" i="3"/>
  <c r="EJ4" i="3"/>
  <c r="A2" i="3"/>
  <c r="BV7" i="4" l="1"/>
  <c r="DL7" i="4" s="1"/>
  <c r="CL7" i="4"/>
  <c r="BP9" i="4"/>
  <c r="BP13" i="4"/>
  <c r="BP14" i="4"/>
  <c r="BP16" i="4"/>
  <c r="BV20" i="4"/>
  <c r="DL20" i="4" s="1"/>
  <c r="CL26" i="4"/>
  <c r="CN11" i="4"/>
  <c r="BP19" i="4"/>
  <c r="BV22" i="4"/>
  <c r="DL22" i="4" s="1"/>
  <c r="BP24" i="4"/>
  <c r="CI24" i="4"/>
  <c r="DO24" i="4" s="1"/>
  <c r="BX12" i="4"/>
  <c r="DR12" i="4" s="1"/>
  <c r="CJ18" i="4"/>
  <c r="BY22" i="4"/>
  <c r="DN22" i="4" s="1"/>
  <c r="CD22" i="4"/>
  <c r="CD25" i="4"/>
  <c r="BP15" i="4"/>
  <c r="BP17" i="4"/>
  <c r="CE18" i="4"/>
  <c r="CD20" i="4"/>
  <c r="CN22" i="4"/>
  <c r="BS24" i="4"/>
  <c r="CD24" i="4"/>
  <c r="BQ25" i="4"/>
  <c r="CG25" i="4"/>
  <c r="BX13" i="4"/>
  <c r="DR13" i="4" s="1"/>
  <c r="CN13" i="4"/>
  <c r="DG13" i="4" s="1"/>
  <c r="BX14" i="4"/>
  <c r="DR14" i="4" s="1"/>
  <c r="CN14" i="4"/>
  <c r="CN16" i="4"/>
  <c r="BO18" i="4"/>
  <c r="CM19" i="4"/>
  <c r="BX21" i="4"/>
  <c r="DR21" i="4" s="1"/>
  <c r="CD26" i="4"/>
  <c r="BV6" i="4"/>
  <c r="DL6" i="4" s="1"/>
  <c r="CL8" i="4"/>
  <c r="BX9" i="4"/>
  <c r="DR9" i="4" s="1"/>
  <c r="BP12" i="4"/>
  <c r="BP18" i="4"/>
  <c r="BP21" i="4"/>
  <c r="BP22" i="4"/>
  <c r="CL22" i="4"/>
  <c r="CD23" i="4"/>
  <c r="BP25" i="4"/>
  <c r="CD27" i="4"/>
  <c r="CO27" i="4"/>
  <c r="DI27" i="4" s="1"/>
  <c r="BP10" i="4"/>
  <c r="CN12" i="4"/>
  <c r="CN15" i="4"/>
  <c r="CE17" i="4"/>
  <c r="BQ22" i="4"/>
  <c r="CL25" i="4"/>
  <c r="BQ26" i="4"/>
  <c r="CG26" i="4"/>
  <c r="AK2" i="4"/>
  <c r="BC3" i="4"/>
  <c r="BV4" i="4"/>
  <c r="DL4" i="4" s="1"/>
  <c r="AN4" i="4"/>
  <c r="AK6" i="4"/>
  <c r="AK7" i="4"/>
  <c r="BA6" i="4"/>
  <c r="BA7" i="4"/>
  <c r="BV19" i="4"/>
  <c r="DL19" i="4" s="1"/>
  <c r="BV13" i="4"/>
  <c r="DL13" i="4" s="1"/>
  <c r="CD19" i="4"/>
  <c r="CD17" i="4"/>
  <c r="CL19" i="4"/>
  <c r="CL13" i="4"/>
  <c r="CL12" i="4"/>
  <c r="BV11" i="4"/>
  <c r="DL11" i="4" s="1"/>
  <c r="BV8" i="4"/>
  <c r="DL8" i="4" s="1"/>
  <c r="BI6" i="4"/>
  <c r="CP7" i="4"/>
  <c r="DQ7" i="4" s="1"/>
  <c r="AO8" i="4"/>
  <c r="AO7" i="4"/>
  <c r="BU4" i="4" s="1"/>
  <c r="DH4" i="4" s="1"/>
  <c r="BE8" i="4"/>
  <c r="BE7" i="4"/>
  <c r="AN9" i="4"/>
  <c r="DG9" i="4"/>
  <c r="AV10" i="4"/>
  <c r="AV9" i="4"/>
  <c r="CB7" i="4" s="1"/>
  <c r="BD10" i="4"/>
  <c r="BD9" i="4"/>
  <c r="AV4" i="4"/>
  <c r="BV5" i="4"/>
  <c r="DL5" i="4" s="1"/>
  <c r="BU10" i="4"/>
  <c r="DH10" i="4" s="1"/>
  <c r="AP3" i="4"/>
  <c r="BV3" i="4" s="1"/>
  <c r="DL3" i="4" s="1"/>
  <c r="AX3" i="4"/>
  <c r="CD2" i="4" s="1"/>
  <c r="BF3" i="4"/>
  <c r="AW7" i="4"/>
  <c r="AS7" i="4"/>
  <c r="BF6" i="4"/>
  <c r="CL6" i="4" s="1"/>
  <c r="BP11" i="4"/>
  <c r="AL5" i="4"/>
  <c r="BR3" i="4" s="1"/>
  <c r="AT5" i="4"/>
  <c r="BZ2" i="4" s="1"/>
  <c r="DP2" i="4" s="1"/>
  <c r="BB5" i="4"/>
  <c r="BJ5" i="4"/>
  <c r="CN7" i="4"/>
  <c r="AM10" i="4"/>
  <c r="AU10" i="4"/>
  <c r="CA3" i="4" s="1"/>
  <c r="BC10" i="4"/>
  <c r="BV10" i="4"/>
  <c r="DL10" i="4" s="1"/>
  <c r="CL10" i="4"/>
  <c r="BX10" i="4"/>
  <c r="DR10" i="4" s="1"/>
  <c r="DG11" i="4"/>
  <c r="DM17" i="4"/>
  <c r="BV9" i="4"/>
  <c r="DL9" i="4" s="1"/>
  <c r="CL9" i="4"/>
  <c r="BV12" i="4"/>
  <c r="DL12" i="4" s="1"/>
  <c r="DG12" i="4"/>
  <c r="CB22" i="4"/>
  <c r="CB20" i="4"/>
  <c r="AJ8" i="4"/>
  <c r="BP8" i="4" s="1"/>
  <c r="AR8" i="4"/>
  <c r="BX8" i="4" s="1"/>
  <c r="DR8" i="4" s="1"/>
  <c r="AZ8" i="4"/>
  <c r="CF7" i="4" s="1"/>
  <c r="BH8" i="4"/>
  <c r="CN3" i="4" s="1"/>
  <c r="DG14" i="4"/>
  <c r="CL11" i="4"/>
  <c r="CB12" i="4"/>
  <c r="AI15" i="4"/>
  <c r="AI14" i="4"/>
  <c r="AL9" i="4"/>
  <c r="AT9" i="4"/>
  <c r="CN10" i="4"/>
  <c r="AL13" i="4"/>
  <c r="BB13" i="4"/>
  <c r="BV15" i="4"/>
  <c r="DL15" i="4" s="1"/>
  <c r="AV16" i="4"/>
  <c r="CB16" i="4" s="1"/>
  <c r="CB18" i="4"/>
  <c r="DK24" i="4"/>
  <c r="BV14" i="4"/>
  <c r="DL14" i="4" s="1"/>
  <c r="CL14" i="4"/>
  <c r="DG16" i="4"/>
  <c r="BV17" i="4"/>
  <c r="DL17" i="4" s="1"/>
  <c r="CL17" i="4"/>
  <c r="DG15" i="4"/>
  <c r="BD16" i="4"/>
  <c r="CJ14" i="4" s="1"/>
  <c r="DM19" i="4"/>
  <c r="AW12" i="4"/>
  <c r="AT13" i="4"/>
  <c r="BJ13" i="4"/>
  <c r="CP3" i="4" s="1"/>
  <c r="DQ3" i="4" s="1"/>
  <c r="CL16" i="4"/>
  <c r="BA17" i="4"/>
  <c r="CG10" i="4" s="1"/>
  <c r="CB13" i="4"/>
  <c r="AS18" i="4"/>
  <c r="AS17" i="4"/>
  <c r="BI18" i="4"/>
  <c r="CO16" i="4" s="1"/>
  <c r="DI16" i="4" s="1"/>
  <c r="BI17" i="4"/>
  <c r="BV16" i="4"/>
  <c r="DL16" i="4" s="1"/>
  <c r="CF21" i="4"/>
  <c r="DG22" i="4"/>
  <c r="CB15" i="4"/>
  <c r="CD16" i="4"/>
  <c r="CL15" i="4"/>
  <c r="AN17" i="4"/>
  <c r="AN16" i="4"/>
  <c r="BT15" i="4" s="1"/>
  <c r="CB17" i="4"/>
  <c r="AK17" i="4"/>
  <c r="BQ14" i="4" s="1"/>
  <c r="AM18" i="4"/>
  <c r="AM17" i="4"/>
  <c r="AU18" i="4"/>
  <c r="CA15" i="4" s="1"/>
  <c r="AU17" i="4"/>
  <c r="BC18" i="4"/>
  <c r="BC17" i="4"/>
  <c r="CI14" i="4" s="1"/>
  <c r="DO14" i="4" s="1"/>
  <c r="DM18" i="4"/>
  <c r="AW20" i="4"/>
  <c r="AW19" i="4"/>
  <c r="CC14" i="4" s="1"/>
  <c r="CN20" i="4"/>
  <c r="CN19" i="4"/>
  <c r="DM20" i="4"/>
  <c r="CH22" i="4"/>
  <c r="AZ22" i="4"/>
  <c r="CF17" i="4" s="1"/>
  <c r="BW27" i="4"/>
  <c r="DJ27" i="4" s="1"/>
  <c r="BW26" i="4"/>
  <c r="DJ26" i="4" s="1"/>
  <c r="AX15" i="4"/>
  <c r="CD10" i="4" s="1"/>
  <c r="CD18" i="4"/>
  <c r="CJ19" i="4"/>
  <c r="BP20" i="4"/>
  <c r="CM20" i="4"/>
  <c r="CF18" i="4"/>
  <c r="BX20" i="4"/>
  <c r="DR20" i="4" s="1"/>
  <c r="AK21" i="4"/>
  <c r="BQ21" i="4" s="1"/>
  <c r="AK20" i="4"/>
  <c r="BQ15" i="4" s="1"/>
  <c r="AS21" i="4"/>
  <c r="BY21" i="4" s="1"/>
  <c r="DN21" i="4" s="1"/>
  <c r="AS20" i="4"/>
  <c r="BY20" i="4" s="1"/>
  <c r="DN20" i="4" s="1"/>
  <c r="BI21" i="4"/>
  <c r="CO21" i="4" s="1"/>
  <c r="BI20" i="4"/>
  <c r="AO24" i="4"/>
  <c r="BU24" i="4" s="1"/>
  <c r="DH24" i="4" s="1"/>
  <c r="AW24" i="4"/>
  <c r="CC24" i="4" s="1"/>
  <c r="BE24" i="4"/>
  <c r="CK24" i="4" s="1"/>
  <c r="CJ24" i="4"/>
  <c r="DM26" i="4"/>
  <c r="BS31" i="4"/>
  <c r="BS32" i="4"/>
  <c r="DA32" i="4" s="1"/>
  <c r="BS29" i="4"/>
  <c r="CA31" i="4"/>
  <c r="CA32" i="4"/>
  <c r="CA29" i="4"/>
  <c r="EO29" i="4" s="1"/>
  <c r="CI31" i="4"/>
  <c r="DO31" i="4" s="1"/>
  <c r="CI32" i="4"/>
  <c r="DO32" i="4" s="1"/>
  <c r="CI29" i="4"/>
  <c r="DO29" i="4" s="1"/>
  <c r="DM32" i="4"/>
  <c r="ES32" i="4"/>
  <c r="AL15" i="4"/>
  <c r="AT15" i="4"/>
  <c r="BB15" i="4"/>
  <c r="CH12" i="4" s="1"/>
  <c r="BJ15" i="4"/>
  <c r="BV18" i="4"/>
  <c r="DL18" i="4" s="1"/>
  <c r="CL18" i="4"/>
  <c r="CB19" i="4"/>
  <c r="AL21" i="4"/>
  <c r="AT21" i="4"/>
  <c r="BZ16" i="4" s="1"/>
  <c r="DP16" i="4" s="1"/>
  <c r="BB21" i="4"/>
  <c r="CH17" i="4" s="1"/>
  <c r="BA21" i="4"/>
  <c r="CG21" i="4" s="1"/>
  <c r="CM21" i="4"/>
  <c r="BX17" i="4"/>
  <c r="DR17" i="4" s="1"/>
  <c r="CN17" i="4"/>
  <c r="AQ18" i="4"/>
  <c r="BW18" i="4" s="1"/>
  <c r="DJ18" i="4" s="1"/>
  <c r="BG18" i="4"/>
  <c r="CM18" i="4" s="1"/>
  <c r="AO23" i="4"/>
  <c r="BU23" i="4" s="1"/>
  <c r="DH23" i="4" s="1"/>
  <c r="AW23" i="4"/>
  <c r="AW22" i="4"/>
  <c r="BE23" i="4"/>
  <c r="DM23" i="4"/>
  <c r="BS30" i="4"/>
  <c r="CA30" i="4"/>
  <c r="CI30" i="4"/>
  <c r="DO30" i="4" s="1"/>
  <c r="AI16" i="4"/>
  <c r="BO16" i="4" s="1"/>
  <c r="AQ16" i="4"/>
  <c r="BW15" i="4" s="1"/>
  <c r="DJ15" i="4" s="1"/>
  <c r="AY16" i="4"/>
  <c r="CE16" i="4" s="1"/>
  <c r="BG16" i="4"/>
  <c r="CM7" i="4" s="1"/>
  <c r="BX18" i="4"/>
  <c r="DR18" i="4" s="1"/>
  <c r="CN18" i="4"/>
  <c r="CB21" i="4"/>
  <c r="BT21" i="4"/>
  <c r="CL21" i="4"/>
  <c r="CL23" i="4"/>
  <c r="BV23" i="4"/>
  <c r="DL23" i="4" s="1"/>
  <c r="BV21" i="4"/>
  <c r="DL21" i="4" s="1"/>
  <c r="DM27" i="4"/>
  <c r="DT28" i="4"/>
  <c r="DS28" i="4"/>
  <c r="DM24" i="4"/>
  <c r="CB26" i="4"/>
  <c r="CJ26" i="4"/>
  <c r="CA27" i="4"/>
  <c r="CI27" i="4"/>
  <c r="DO27" i="4" s="1"/>
  <c r="EQ28" i="4"/>
  <c r="BQ29" i="4"/>
  <c r="BQ30" i="4"/>
  <c r="DA30" i="4" s="1"/>
  <c r="BY29" i="4"/>
  <c r="DN29" i="4" s="1"/>
  <c r="BY30" i="4"/>
  <c r="DN30" i="4" s="1"/>
  <c r="CG29" i="4"/>
  <c r="CG30" i="4"/>
  <c r="CO29" i="4"/>
  <c r="CO30" i="4"/>
  <c r="CY30" i="4" s="1"/>
  <c r="CE22" i="4"/>
  <c r="CG23" i="4"/>
  <c r="BQ24" i="4"/>
  <c r="CG24" i="4"/>
  <c r="BS25" i="4"/>
  <c r="EP25" i="4" s="1"/>
  <c r="CI25" i="4"/>
  <c r="DO25" i="4" s="1"/>
  <c r="BS26" i="4"/>
  <c r="CI26" i="4"/>
  <c r="DO26" i="4" s="1"/>
  <c r="AN27" i="4"/>
  <c r="BT18" i="4" s="1"/>
  <c r="CB27" i="4"/>
  <c r="CJ27" i="4"/>
  <c r="BO22" i="4"/>
  <c r="BW23" i="4"/>
  <c r="DJ23" i="4" s="1"/>
  <c r="CJ23" i="4"/>
  <c r="DG26" i="4"/>
  <c r="CX37" i="4"/>
  <c r="BY23" i="4"/>
  <c r="DN23" i="4" s="1"/>
  <c r="BW24" i="4"/>
  <c r="DJ24" i="4" s="1"/>
  <c r="DM25" i="4"/>
  <c r="BW25" i="4"/>
  <c r="DJ25" i="4" s="1"/>
  <c r="BY25" i="4"/>
  <c r="DN25" i="4" s="1"/>
  <c r="CO25" i="4"/>
  <c r="BY26" i="4"/>
  <c r="DN26" i="4" s="1"/>
  <c r="CO26" i="4"/>
  <c r="DI26" i="4" s="1"/>
  <c r="BY27" i="4"/>
  <c r="DN27" i="4" s="1"/>
  <c r="DK34" i="4"/>
  <c r="CJ22" i="4"/>
  <c r="BY24" i="4"/>
  <c r="DN24" i="4" s="1"/>
  <c r="CO24" i="4"/>
  <c r="CA25" i="4"/>
  <c r="CA26" i="4"/>
  <c r="DM28" i="4"/>
  <c r="DM37" i="4"/>
  <c r="CY37" i="4"/>
  <c r="EQ37" i="4"/>
  <c r="AM23" i="4"/>
  <c r="BS21" i="4" s="1"/>
  <c r="AU23" i="4"/>
  <c r="CA23" i="4" s="1"/>
  <c r="BC23" i="4"/>
  <c r="CI23" i="4" s="1"/>
  <c r="DO23" i="4" s="1"/>
  <c r="CB23" i="4"/>
  <c r="CO23" i="4"/>
  <c r="CB24" i="4"/>
  <c r="CZ24" i="4" s="1"/>
  <c r="CB25" i="4"/>
  <c r="DG25" i="4"/>
  <c r="AL26" i="4"/>
  <c r="AT26" i="4"/>
  <c r="BZ22" i="4" s="1"/>
  <c r="DP22" i="4" s="1"/>
  <c r="BB26" i="4"/>
  <c r="CH26" i="4" s="1"/>
  <c r="BJ26" i="4"/>
  <c r="CP16" i="4" s="1"/>
  <c r="DQ16" i="4" s="1"/>
  <c r="BQ27" i="4"/>
  <c r="ES27" i="4" s="1"/>
  <c r="CG27" i="4"/>
  <c r="DG31" i="4"/>
  <c r="BU33" i="4"/>
  <c r="DH33" i="4" s="1"/>
  <c r="BU34" i="4"/>
  <c r="DH34" i="4" s="1"/>
  <c r="BU31" i="4"/>
  <c r="DH31" i="4" s="1"/>
  <c r="BU32" i="4"/>
  <c r="DH32" i="4" s="1"/>
  <c r="CC33" i="4"/>
  <c r="DB33" i="4" s="1"/>
  <c r="CC34" i="4"/>
  <c r="CZ34" i="4" s="1"/>
  <c r="CC31" i="4"/>
  <c r="CC32" i="4"/>
  <c r="CC30" i="4"/>
  <c r="CK33" i="4"/>
  <c r="CK34" i="4"/>
  <c r="CK31" i="4"/>
  <c r="CK32" i="4"/>
  <c r="CK27" i="4"/>
  <c r="CK30" i="4"/>
  <c r="DK36" i="4"/>
  <c r="ER36" i="4"/>
  <c r="BQ23" i="4"/>
  <c r="BZ24" i="4"/>
  <c r="DP24" i="4" s="1"/>
  <c r="CH24" i="4"/>
  <c r="CP24" i="4"/>
  <c r="DQ24" i="4" s="1"/>
  <c r="BP26" i="4"/>
  <c r="AL27" i="4"/>
  <c r="BR27" i="4" s="1"/>
  <c r="BZ27" i="4"/>
  <c r="DP27" i="4" s="1"/>
  <c r="CP27" i="4"/>
  <c r="DQ27" i="4" s="1"/>
  <c r="BS28" i="4"/>
  <c r="BU29" i="4"/>
  <c r="DH29" i="4" s="1"/>
  <c r="CC29" i="4"/>
  <c r="CK29" i="4"/>
  <c r="DM31" i="4"/>
  <c r="DA31" i="4"/>
  <c r="ES31" i="4"/>
  <c r="EQ31" i="4"/>
  <c r="DT34" i="4"/>
  <c r="DS34" i="4"/>
  <c r="ET36" i="4"/>
  <c r="DT37" i="4"/>
  <c r="DS37" i="4"/>
  <c r="BU28" i="4"/>
  <c r="DH28" i="4" s="1"/>
  <c r="CC28" i="4"/>
  <c r="CK28" i="4"/>
  <c r="CA28" i="4"/>
  <c r="DM29" i="4"/>
  <c r="DA29" i="4"/>
  <c r="ES29" i="4"/>
  <c r="CY29" i="4"/>
  <c r="EQ29" i="4"/>
  <c r="DB31" i="4"/>
  <c r="CY32" i="4"/>
  <c r="EQ32" i="4"/>
  <c r="BP36" i="4"/>
  <c r="BP37" i="4"/>
  <c r="DA37" i="4" s="1"/>
  <c r="BP34" i="4"/>
  <c r="BP35" i="4"/>
  <c r="ET35" i="4" s="1"/>
  <c r="BX36" i="4"/>
  <c r="DR36" i="4" s="1"/>
  <c r="BX37" i="4"/>
  <c r="DR37" i="4" s="1"/>
  <c r="BX34" i="4"/>
  <c r="DR34" i="4" s="1"/>
  <c r="BX35" i="4"/>
  <c r="CF36" i="4"/>
  <c r="CF37" i="4"/>
  <c r="CF34" i="4"/>
  <c r="CF35" i="4"/>
  <c r="EU35" i="4" s="1"/>
  <c r="CN36" i="4"/>
  <c r="CX36" i="4" s="1"/>
  <c r="CN37" i="4"/>
  <c r="CN34" i="4"/>
  <c r="CN35" i="4"/>
  <c r="DG29" i="4"/>
  <c r="DK33" i="4"/>
  <c r="CZ33" i="4"/>
  <c r="DK35" i="4"/>
  <c r="DT36" i="4"/>
  <c r="DS36" i="4"/>
  <c r="EN36" i="4"/>
  <c r="BS27" i="4"/>
  <c r="CI28" i="4"/>
  <c r="DO28" i="4" s="1"/>
  <c r="CW32" i="4"/>
  <c r="EO32" i="4"/>
  <c r="DG32" i="4"/>
  <c r="BT32" i="4"/>
  <c r="BT33" i="4"/>
  <c r="BT30" i="4"/>
  <c r="BT31" i="4"/>
  <c r="CB32" i="4"/>
  <c r="CB33" i="4"/>
  <c r="ER33" i="4" s="1"/>
  <c r="CB30" i="4"/>
  <c r="CB31" i="4"/>
  <c r="CJ32" i="4"/>
  <c r="CJ33" i="4"/>
  <c r="ET33" i="4" s="1"/>
  <c r="CJ30" i="4"/>
  <c r="CJ31" i="4"/>
  <c r="ET31" i="4" s="1"/>
  <c r="DS35" i="4"/>
  <c r="DT35" i="4"/>
  <c r="DG27" i="4"/>
  <c r="BP28" i="4"/>
  <c r="DA28" i="4" s="1"/>
  <c r="CN28" i="4"/>
  <c r="DM30" i="4"/>
  <c r="DC32" i="4"/>
  <c r="EU32" i="4"/>
  <c r="DB32" i="4"/>
  <c r="ET32" i="4"/>
  <c r="EU37" i="4"/>
  <c r="DB37" i="4"/>
  <c r="BQ28" i="4"/>
  <c r="BY28" i="4"/>
  <c r="DN28" i="4" s="1"/>
  <c r="CG28" i="4"/>
  <c r="CO28" i="4"/>
  <c r="DI28" i="4" s="1"/>
  <c r="DT29" i="4"/>
  <c r="DS29" i="4"/>
  <c r="CV29" i="4"/>
  <c r="EN29" i="4"/>
  <c r="DG30" i="4"/>
  <c r="DG33" i="4"/>
  <c r="BV34" i="4"/>
  <c r="DL34" i="4" s="1"/>
  <c r="BV35" i="4"/>
  <c r="DL35" i="4" s="1"/>
  <c r="BV32" i="4"/>
  <c r="DL32" i="4" s="1"/>
  <c r="BV33" i="4"/>
  <c r="DL33" i="4" s="1"/>
  <c r="CD34" i="4"/>
  <c r="CD35" i="4"/>
  <c r="ER35" i="4" s="1"/>
  <c r="CD32" i="4"/>
  <c r="CD33" i="4"/>
  <c r="CL34" i="4"/>
  <c r="CL35" i="4"/>
  <c r="CX35" i="4" s="1"/>
  <c r="CL32" i="4"/>
  <c r="CL33" i="4"/>
  <c r="BO35" i="4"/>
  <c r="BO36" i="4"/>
  <c r="BO33" i="4"/>
  <c r="BO34" i="4"/>
  <c r="BW35" i="4"/>
  <c r="DJ35" i="4" s="1"/>
  <c r="BW36" i="4"/>
  <c r="DJ36" i="4" s="1"/>
  <c r="BW33" i="4"/>
  <c r="DJ33" i="4" s="1"/>
  <c r="BW34" i="4"/>
  <c r="DJ34" i="4" s="1"/>
  <c r="CE35" i="4"/>
  <c r="CZ35" i="4" s="1"/>
  <c r="CE36" i="4"/>
  <c r="CZ36" i="4" s="1"/>
  <c r="CE33" i="4"/>
  <c r="CE34" i="4"/>
  <c r="CM35" i="4"/>
  <c r="CM36" i="4"/>
  <c r="CM33" i="4"/>
  <c r="CM34" i="4"/>
  <c r="DB36" i="4"/>
  <c r="ER37" i="4"/>
  <c r="CZ37" i="4"/>
  <c r="ET37" i="4"/>
  <c r="BE5" i="3"/>
  <c r="BE3" i="3"/>
  <c r="AZ4" i="3"/>
  <c r="AV4" i="3"/>
  <c r="BD4" i="3"/>
  <c r="AR8" i="3"/>
  <c r="AJ10" i="3"/>
  <c r="AW7" i="3"/>
  <c r="AM14" i="3"/>
  <c r="BC14" i="3"/>
  <c r="AI15" i="3"/>
  <c r="AQ22" i="3"/>
  <c r="BG22" i="3"/>
  <c r="AU23" i="3"/>
  <c r="AZ14" i="3"/>
  <c r="BH12" i="3"/>
  <c r="BH14" i="3"/>
  <c r="BH18" i="3"/>
  <c r="AV19" i="3"/>
  <c r="AW11" i="3"/>
  <c r="BE11" i="3"/>
  <c r="AW21" i="3"/>
  <c r="AN3" i="3"/>
  <c r="AN7" i="3"/>
  <c r="BH10" i="3"/>
  <c r="AK14" i="3"/>
  <c r="CP34" i="3"/>
  <c r="BT29" i="3"/>
  <c r="CB29" i="3"/>
  <c r="CJ29" i="3"/>
  <c r="BS31" i="3"/>
  <c r="CA31" i="3"/>
  <c r="DK31" i="3" s="1"/>
  <c r="CI31" i="3"/>
  <c r="DO31" i="3" s="1"/>
  <c r="BQ33" i="3"/>
  <c r="BY33" i="3"/>
  <c r="DN33" i="3" s="1"/>
  <c r="CO33" i="3"/>
  <c r="CF33" i="3"/>
  <c r="AQ15" i="3"/>
  <c r="AY15" i="3"/>
  <c r="BC18" i="3"/>
  <c r="AQ19" i="3"/>
  <c r="BC20" i="3"/>
  <c r="AI21" i="3"/>
  <c r="AY21" i="3"/>
  <c r="AM22" i="3"/>
  <c r="BC22" i="3"/>
  <c r="AQ23" i="3"/>
  <c r="BC24" i="3"/>
  <c r="CC29" i="3"/>
  <c r="BO32" i="3"/>
  <c r="DM32" i="3" s="1"/>
  <c r="CE32" i="3"/>
  <c r="BR33" i="3"/>
  <c r="CH33" i="3"/>
  <c r="CP33" i="3"/>
  <c r="DQ33" i="3" s="1"/>
  <c r="BD6" i="3"/>
  <c r="AZ8" i="3"/>
  <c r="BH8" i="3"/>
  <c r="AV8" i="3"/>
  <c r="AN10" i="3"/>
  <c r="AR16" i="3"/>
  <c r="CH35" i="3"/>
  <c r="CP35" i="3"/>
  <c r="BS30" i="3"/>
  <c r="CA30" i="3"/>
  <c r="CI30" i="3"/>
  <c r="DO30" i="3" s="1"/>
  <c r="BO31" i="3"/>
  <c r="BW31" i="3"/>
  <c r="DJ31" i="3" s="1"/>
  <c r="CE31" i="3"/>
  <c r="CM31" i="3"/>
  <c r="CG34" i="3"/>
  <c r="CK30" i="3"/>
  <c r="BZ34" i="3"/>
  <c r="DP34" i="3" s="1"/>
  <c r="CC30" i="3"/>
  <c r="BR34" i="3"/>
  <c r="CH34" i="3"/>
  <c r="BS34" i="3"/>
  <c r="CI34" i="3"/>
  <c r="DO34" i="3" s="1"/>
  <c r="BV35" i="3"/>
  <c r="DL35" i="3" s="1"/>
  <c r="CD35" i="3"/>
  <c r="CL35" i="3"/>
  <c r="CX35" i="3" s="1"/>
  <c r="AT5" i="3"/>
  <c r="BB7" i="3"/>
  <c r="DI33" i="3"/>
  <c r="DQ34" i="3"/>
  <c r="CN29" i="3"/>
  <c r="BZ32" i="3"/>
  <c r="DP32" i="3" s="1"/>
  <c r="BZ29" i="3"/>
  <c r="DP29" i="3" s="1"/>
  <c r="BU32" i="3"/>
  <c r="DH32" i="3" s="1"/>
  <c r="CC32" i="3"/>
  <c r="CK32" i="3"/>
  <c r="BU33" i="3"/>
  <c r="DH33" i="3" s="1"/>
  <c r="CC33" i="3"/>
  <c r="CK33" i="3"/>
  <c r="CO34" i="3"/>
  <c r="BT35" i="3"/>
  <c r="DS35" i="3" s="1"/>
  <c r="AI2" i="3"/>
  <c r="AQ2" i="3"/>
  <c r="AY2" i="3"/>
  <c r="BG2" i="3"/>
  <c r="AM3" i="3"/>
  <c r="BC3" i="3"/>
  <c r="AI4" i="3"/>
  <c r="AQ3" i="3"/>
  <c r="AY3" i="3"/>
  <c r="BG4" i="3"/>
  <c r="AM4" i="3"/>
  <c r="AU5" i="3"/>
  <c r="BC5" i="3"/>
  <c r="AI6" i="3"/>
  <c r="AV10" i="3"/>
  <c r="BD10" i="3"/>
  <c r="AN12" i="3"/>
  <c r="AN15" i="3"/>
  <c r="AV14" i="3"/>
  <c r="AZ15" i="3"/>
  <c r="BH16" i="3"/>
  <c r="AN16" i="3"/>
  <c r="AV16" i="3"/>
  <c r="BD16" i="3"/>
  <c r="AJ18" i="3"/>
  <c r="BD19" i="3"/>
  <c r="AJ20" i="3"/>
  <c r="AR19" i="3"/>
  <c r="AN21" i="3"/>
  <c r="BD20" i="3"/>
  <c r="AZ21" i="3"/>
  <c r="BH22" i="3"/>
  <c r="AN23" i="3"/>
  <c r="AV23" i="3"/>
  <c r="BD23" i="3"/>
  <c r="AR24" i="3"/>
  <c r="AR25" i="3"/>
  <c r="AZ25" i="3"/>
  <c r="BH25" i="3"/>
  <c r="BP30" i="3"/>
  <c r="BX30" i="3"/>
  <c r="DR30" i="3" s="1"/>
  <c r="CN30" i="3"/>
  <c r="CB35" i="3"/>
  <c r="BQ35" i="3"/>
  <c r="BY35" i="3"/>
  <c r="DN35" i="3" s="1"/>
  <c r="CG35" i="3"/>
  <c r="CO35" i="3"/>
  <c r="BQ30" i="3"/>
  <c r="BY30" i="3"/>
  <c r="DN30" i="3" s="1"/>
  <c r="CG30" i="3"/>
  <c r="CO30" i="3"/>
  <c r="BQ31" i="3"/>
  <c r="BY31" i="3"/>
  <c r="DN31" i="3" s="1"/>
  <c r="CG31" i="3"/>
  <c r="CO31" i="3"/>
  <c r="BX32" i="3"/>
  <c r="DR32" i="3" s="1"/>
  <c r="CN32" i="3"/>
  <c r="BP33" i="3"/>
  <c r="BX33" i="3"/>
  <c r="DR33" i="3" s="1"/>
  <c r="CN33" i="3"/>
  <c r="DQ36" i="3"/>
  <c r="CF30" i="3"/>
  <c r="BO29" i="3"/>
  <c r="DM29" i="3" s="1"/>
  <c r="BW29" i="3"/>
  <c r="DJ29" i="3" s="1"/>
  <c r="CE29" i="3"/>
  <c r="CM29" i="3"/>
  <c r="BR31" i="3"/>
  <c r="BZ31" i="3"/>
  <c r="DP31" i="3" s="1"/>
  <c r="CH31" i="3"/>
  <c r="CP31" i="3"/>
  <c r="BU34" i="3"/>
  <c r="DH34" i="3" s="1"/>
  <c r="CC34" i="3"/>
  <c r="ET34" i="3" s="1"/>
  <c r="CK34" i="3"/>
  <c r="BP34" i="3"/>
  <c r="BX34" i="3"/>
  <c r="DR34" i="3" s="1"/>
  <c r="CF34" i="3"/>
  <c r="CN34" i="3"/>
  <c r="BX29" i="3"/>
  <c r="DR29" i="3" s="1"/>
  <c r="BU30" i="3"/>
  <c r="DH30" i="3" s="1"/>
  <c r="CH32" i="3"/>
  <c r="CJ35" i="3"/>
  <c r="CB36" i="3"/>
  <c r="CF29" i="3"/>
  <c r="BR32" i="3"/>
  <c r="BT36" i="3"/>
  <c r="CJ36" i="3"/>
  <c r="BQ29" i="3"/>
  <c r="BY29" i="3"/>
  <c r="DN29" i="3" s="1"/>
  <c r="CG29" i="3"/>
  <c r="CO29" i="3"/>
  <c r="BT30" i="3"/>
  <c r="CB30" i="3"/>
  <c r="CJ30" i="3"/>
  <c r="BS32" i="3"/>
  <c r="CA32" i="3"/>
  <c r="DK32" i="3" s="1"/>
  <c r="CI32" i="3"/>
  <c r="DO32" i="3" s="1"/>
  <c r="DQ35" i="3"/>
  <c r="BP29" i="3"/>
  <c r="CK29" i="3"/>
  <c r="CP32" i="3"/>
  <c r="BR29" i="3"/>
  <c r="CH29" i="3"/>
  <c r="CP29" i="3"/>
  <c r="BU31" i="3"/>
  <c r="DH31" i="3" s="1"/>
  <c r="CC31" i="3"/>
  <c r="CK31" i="3"/>
  <c r="BP32" i="3"/>
  <c r="BT33" i="3"/>
  <c r="DT33" i="3" s="1"/>
  <c r="CB33" i="3"/>
  <c r="CJ33" i="3"/>
  <c r="BS35" i="3"/>
  <c r="CA35" i="3"/>
  <c r="DK35" i="3" s="1"/>
  <c r="DQ37" i="3"/>
  <c r="AQ6" i="3"/>
  <c r="AY6" i="3"/>
  <c r="BG5" i="3"/>
  <c r="AM7" i="3"/>
  <c r="AU7" i="3"/>
  <c r="BC7" i="3"/>
  <c r="AQ7" i="3"/>
  <c r="AY8" i="3"/>
  <c r="BG7" i="3"/>
  <c r="AM9" i="3"/>
  <c r="AU9" i="3"/>
  <c r="BC9" i="3"/>
  <c r="AQ9" i="3"/>
  <c r="AY9" i="3"/>
  <c r="BG9" i="3"/>
  <c r="AM10" i="3"/>
  <c r="AU11" i="3"/>
  <c r="AI12" i="3"/>
  <c r="AQ12" i="3"/>
  <c r="AY12" i="3"/>
  <c r="AM12" i="3"/>
  <c r="BC12" i="3"/>
  <c r="AR28" i="3"/>
  <c r="BX28" i="3" s="1"/>
  <c r="DR28" i="3" s="1"/>
  <c r="AZ28" i="3"/>
  <c r="CF28" i="3" s="1"/>
  <c r="BH28" i="3"/>
  <c r="CN28" i="3" s="1"/>
  <c r="DG28" i="3" s="1"/>
  <c r="BI2" i="3"/>
  <c r="BI3" i="3"/>
  <c r="AW4" i="3"/>
  <c r="BE6" i="3"/>
  <c r="AW8" i="3"/>
  <c r="AS12" i="3"/>
  <c r="BA11" i="3"/>
  <c r="BI12" i="3"/>
  <c r="AW13" i="3"/>
  <c r="BE13" i="3"/>
  <c r="BE15" i="3"/>
  <c r="AK16" i="3"/>
  <c r="BA16" i="3"/>
  <c r="AW19" i="3"/>
  <c r="BA20" i="3"/>
  <c r="AW23" i="3"/>
  <c r="AK24" i="3"/>
  <c r="AS24" i="3"/>
  <c r="BA24" i="3"/>
  <c r="BI24" i="3"/>
  <c r="AW25" i="3"/>
  <c r="BE25" i="3"/>
  <c r="AK26" i="3"/>
  <c r="AS25" i="3"/>
  <c r="BA25" i="3"/>
  <c r="BI26" i="3"/>
  <c r="AO26" i="3"/>
  <c r="AW26" i="3"/>
  <c r="BS33" i="3"/>
  <c r="CA33" i="3"/>
  <c r="EO33" i="3" s="1"/>
  <c r="CI33" i="3"/>
  <c r="DO33" i="3" s="1"/>
  <c r="BT34" i="3"/>
  <c r="CB34" i="3"/>
  <c r="CJ34" i="3"/>
  <c r="BR36" i="3"/>
  <c r="BZ36" i="3"/>
  <c r="DP36" i="3" s="1"/>
  <c r="AT26" i="3"/>
  <c r="BJ26" i="3"/>
  <c r="AP27" i="3"/>
  <c r="AP28" i="3"/>
  <c r="BV32" i="3"/>
  <c r="DL32" i="3" s="1"/>
  <c r="CD32" i="3"/>
  <c r="CL32" i="3"/>
  <c r="CM33" i="3"/>
  <c r="BO36" i="3"/>
  <c r="DM36" i="3" s="1"/>
  <c r="BW36" i="3"/>
  <c r="DJ36" i="3" s="1"/>
  <c r="CE36" i="3"/>
  <c r="CM36" i="3"/>
  <c r="AO12" i="3"/>
  <c r="AS13" i="3"/>
  <c r="AS15" i="3"/>
  <c r="BI15" i="3"/>
  <c r="AO17" i="3"/>
  <c r="AW17" i="3"/>
  <c r="BE16" i="3"/>
  <c r="AK17" i="3"/>
  <c r="AS17" i="3"/>
  <c r="BA17" i="3"/>
  <c r="BI17" i="3"/>
  <c r="AO18" i="3"/>
  <c r="BE18" i="3"/>
  <c r="AK20" i="3"/>
  <c r="BI19" i="3"/>
  <c r="AO20" i="3"/>
  <c r="BE20" i="3"/>
  <c r="BA22" i="3"/>
  <c r="BI21" i="3"/>
  <c r="AO23" i="3"/>
  <c r="BE22" i="3"/>
  <c r="AO24" i="3"/>
  <c r="AL2" i="3"/>
  <c r="AT2" i="3"/>
  <c r="BB2" i="3"/>
  <c r="BJ2" i="3"/>
  <c r="AP3" i="3"/>
  <c r="AX3" i="3"/>
  <c r="BF3" i="3"/>
  <c r="AL4" i="3"/>
  <c r="AT3" i="3"/>
  <c r="BB3" i="3"/>
  <c r="BJ3" i="3"/>
  <c r="AP5" i="3"/>
  <c r="AX5" i="3"/>
  <c r="BF5" i="3"/>
  <c r="AL6" i="3"/>
  <c r="AT6" i="3"/>
  <c r="BB6" i="3"/>
  <c r="BJ5" i="3"/>
  <c r="AP7" i="3"/>
  <c r="AX6" i="3"/>
  <c r="BF7" i="3"/>
  <c r="AL7" i="3"/>
  <c r="AT7" i="3"/>
  <c r="BB8" i="3"/>
  <c r="BJ8" i="3"/>
  <c r="AP9" i="3"/>
  <c r="AX8" i="3"/>
  <c r="BF9" i="3"/>
  <c r="AL9" i="3"/>
  <c r="AT10" i="3"/>
  <c r="BJ10" i="3"/>
  <c r="AL12" i="3"/>
  <c r="AT12" i="3"/>
  <c r="BJ12" i="3"/>
  <c r="BF12" i="3"/>
  <c r="AL13" i="3"/>
  <c r="AT14" i="3"/>
  <c r="BJ14" i="3"/>
  <c r="BF15" i="3"/>
  <c r="AT16" i="3"/>
  <c r="BJ16" i="3"/>
  <c r="AP17" i="3"/>
  <c r="BF16" i="3"/>
  <c r="AT18" i="3"/>
  <c r="BJ18" i="3"/>
  <c r="BF18" i="3"/>
  <c r="AT20" i="3"/>
  <c r="BJ20" i="3"/>
  <c r="AP21" i="3"/>
  <c r="AT22" i="3"/>
  <c r="AP23" i="3"/>
  <c r="AT24" i="3"/>
  <c r="BJ24" i="3"/>
  <c r="AX12" i="3"/>
  <c r="BB22" i="3"/>
  <c r="BB27" i="3"/>
  <c r="AX28" i="3"/>
  <c r="CD28" i="3" s="1"/>
  <c r="AS19" i="3"/>
  <c r="AJ11" i="3"/>
  <c r="BF10" i="3"/>
  <c r="AT19" i="3"/>
  <c r="AN4" i="3"/>
  <c r="AU14" i="3"/>
  <c r="BG15" i="3"/>
  <c r="BG19" i="3"/>
  <c r="BG23" i="3"/>
  <c r="BG25" i="3"/>
  <c r="BJ21" i="3"/>
  <c r="BJ28" i="3"/>
  <c r="CP28" i="3" s="1"/>
  <c r="AX11" i="3"/>
  <c r="BB12" i="3"/>
  <c r="BB14" i="3"/>
  <c r="AX15" i="3"/>
  <c r="AL16" i="3"/>
  <c r="BB15" i="3"/>
  <c r="AX17" i="3"/>
  <c r="AL18" i="3"/>
  <c r="BB18" i="3"/>
  <c r="AX19" i="3"/>
  <c r="AL20" i="3"/>
  <c r="BB20" i="3"/>
  <c r="AX21" i="3"/>
  <c r="BF21" i="3"/>
  <c r="AL22" i="3"/>
  <c r="BB21" i="3"/>
  <c r="AX23" i="3"/>
  <c r="BF23" i="3"/>
  <c r="AL23" i="3"/>
  <c r="AX25" i="3"/>
  <c r="AL25" i="3"/>
  <c r="BB26" i="3"/>
  <c r="BF27" i="3"/>
  <c r="AL27" i="3"/>
  <c r="BB28" i="3"/>
  <c r="CH28" i="3" s="1"/>
  <c r="AK2" i="3"/>
  <c r="AS2" i="3"/>
  <c r="BA2" i="3"/>
  <c r="AO3" i="3"/>
  <c r="AS4" i="3"/>
  <c r="BA3" i="3"/>
  <c r="AO5" i="3"/>
  <c r="AS6" i="3"/>
  <c r="BA6" i="3"/>
  <c r="AO7" i="3"/>
  <c r="AS8" i="3"/>
  <c r="BA7" i="3"/>
  <c r="AO8" i="3"/>
  <c r="BE9" i="3"/>
  <c r="AK9" i="3"/>
  <c r="AS9" i="3"/>
  <c r="BA9" i="3"/>
  <c r="AK11" i="3"/>
  <c r="BJ9" i="3"/>
  <c r="AP10" i="3"/>
  <c r="AL3" i="3"/>
  <c r="AZ17" i="3"/>
  <c r="AT23" i="3"/>
  <c r="BB23" i="3"/>
  <c r="AX26" i="3"/>
  <c r="AT27" i="3"/>
  <c r="BB4" i="3"/>
  <c r="BB16" i="3"/>
  <c r="AL14" i="3"/>
  <c r="AL19" i="3"/>
  <c r="BJ6" i="3"/>
  <c r="BF8" i="3"/>
  <c r="AX9" i="3"/>
  <c r="BB11" i="3"/>
  <c r="AT13" i="3"/>
  <c r="AT15" i="3"/>
  <c r="AX20" i="3"/>
  <c r="BJ23" i="3"/>
  <c r="CP23" i="3" s="1"/>
  <c r="BB25" i="3"/>
  <c r="AU26" i="3"/>
  <c r="BC27" i="3"/>
  <c r="AI28" i="3"/>
  <c r="BO28" i="3" s="1"/>
  <c r="DM28" i="3" s="1"/>
  <c r="AQ28" i="3"/>
  <c r="BW28" i="3" s="1"/>
  <c r="DJ28" i="3" s="1"/>
  <c r="AY28" i="3"/>
  <c r="CE28" i="3" s="1"/>
  <c r="BG28" i="3"/>
  <c r="CM28" i="3" s="1"/>
  <c r="AM28" i="3"/>
  <c r="BS28" i="3" s="1"/>
  <c r="AU28" i="3"/>
  <c r="CA28" i="3" s="1"/>
  <c r="DK28" i="3" s="1"/>
  <c r="BC28" i="3"/>
  <c r="CI28" i="3" s="1"/>
  <c r="DO28" i="3" s="1"/>
  <c r="BF6" i="3"/>
  <c r="AL8" i="3"/>
  <c r="AL10" i="3"/>
  <c r="BJ11" i="3"/>
  <c r="BB13" i="3"/>
  <c r="BJ15" i="3"/>
  <c r="BF20" i="3"/>
  <c r="AP22" i="3"/>
  <c r="BJ25" i="3"/>
  <c r="AX27" i="3"/>
  <c r="AN28" i="3"/>
  <c r="BT28" i="3" s="1"/>
  <c r="DS28" i="3" s="1"/>
  <c r="AV28" i="3"/>
  <c r="CB28" i="3" s="1"/>
  <c r="BD28" i="3"/>
  <c r="CJ28" i="3" s="1"/>
  <c r="AT4" i="3"/>
  <c r="AL5" i="3"/>
  <c r="AT8" i="3"/>
  <c r="BF11" i="3"/>
  <c r="BJ13" i="3"/>
  <c r="AX18" i="3"/>
  <c r="AX22" i="3"/>
  <c r="AL24" i="3"/>
  <c r="AL26" i="3"/>
  <c r="AL28" i="3"/>
  <c r="BR28" i="3" s="1"/>
  <c r="BJ27" i="3"/>
  <c r="BF28" i="3"/>
  <c r="CL28" i="3" s="1"/>
  <c r="BB5" i="3"/>
  <c r="BJ7" i="3"/>
  <c r="BF22" i="3"/>
  <c r="AX24" i="3"/>
  <c r="AP26" i="3"/>
  <c r="AT28" i="3"/>
  <c r="BZ28" i="3" s="1"/>
  <c r="DP28" i="3" s="1"/>
  <c r="BJ4" i="3"/>
  <c r="AL11" i="3"/>
  <c r="AP16" i="3"/>
  <c r="BB19" i="3"/>
  <c r="BJ22" i="3"/>
  <c r="BB24" i="3"/>
  <c r="BF26" i="3"/>
  <c r="AT11" i="3"/>
  <c r="BF17" i="3"/>
  <c r="BJ19" i="3"/>
  <c r="AL21" i="3"/>
  <c r="AP8" i="3"/>
  <c r="AL15" i="3"/>
  <c r="BF19" i="3"/>
  <c r="AT21" i="3"/>
  <c r="BC23" i="3"/>
  <c r="AP6" i="3"/>
  <c r="AJ25" i="3"/>
  <c r="AJ12" i="3"/>
  <c r="AI7" i="3"/>
  <c r="AI9" i="3"/>
  <c r="BC10" i="3"/>
  <c r="AP12" i="3"/>
  <c r="AP15" i="3"/>
  <c r="AP18" i="3"/>
  <c r="AP20" i="3"/>
  <c r="AP24" i="3"/>
  <c r="AT25" i="3"/>
  <c r="AK3" i="3"/>
  <c r="AR23" i="3"/>
  <c r="AT9" i="3"/>
  <c r="AV15" i="3"/>
  <c r="AX16" i="3"/>
  <c r="AP19" i="3"/>
  <c r="AP25" i="3"/>
  <c r="AM23" i="3"/>
  <c r="AW5" i="3"/>
  <c r="BA12" i="3"/>
  <c r="AO13" i="3"/>
  <c r="AR5" i="3"/>
  <c r="AR6" i="3"/>
  <c r="AZ6" i="3"/>
  <c r="AZ5" i="3"/>
  <c r="AV6" i="3"/>
  <c r="AV7" i="3"/>
  <c r="AN8" i="3"/>
  <c r="AN9" i="3"/>
  <c r="BD8" i="3"/>
  <c r="BD9" i="3"/>
  <c r="AR9" i="3"/>
  <c r="AR10" i="3"/>
  <c r="AZ9" i="3"/>
  <c r="AZ10" i="3"/>
  <c r="AR11" i="3"/>
  <c r="AR12" i="3"/>
  <c r="AZ11" i="3"/>
  <c r="AZ12" i="3"/>
  <c r="AV12" i="3"/>
  <c r="AV13" i="3"/>
  <c r="BD12" i="3"/>
  <c r="BD13" i="3"/>
  <c r="AJ14" i="3"/>
  <c r="AJ13" i="3"/>
  <c r="AR13" i="3"/>
  <c r="AR14" i="3"/>
  <c r="BD14" i="3"/>
  <c r="BD15" i="3"/>
  <c r="AJ15" i="3"/>
  <c r="AJ16" i="3"/>
  <c r="AR18" i="3"/>
  <c r="AR17" i="3"/>
  <c r="AZ19" i="3"/>
  <c r="AZ20" i="3"/>
  <c r="BH20" i="3"/>
  <c r="BH19" i="3"/>
  <c r="AV21" i="3"/>
  <c r="AV20" i="3"/>
  <c r="AJ22" i="3"/>
  <c r="AJ21" i="3"/>
  <c r="AR22" i="3"/>
  <c r="AR21" i="3"/>
  <c r="AJ23" i="3"/>
  <c r="AJ24" i="3"/>
  <c r="AZ24" i="3"/>
  <c r="AZ23" i="3"/>
  <c r="BH24" i="3"/>
  <c r="BH23" i="3"/>
  <c r="AN24" i="3"/>
  <c r="AN25" i="3"/>
  <c r="AV25" i="3"/>
  <c r="AV24" i="3"/>
  <c r="BD24" i="3"/>
  <c r="BD25" i="3"/>
  <c r="AN26" i="3"/>
  <c r="AN27" i="3"/>
  <c r="AV27" i="3"/>
  <c r="AV26" i="3"/>
  <c r="BD26" i="3"/>
  <c r="BD27" i="3"/>
  <c r="AJ27" i="3"/>
  <c r="AJ28" i="3"/>
  <c r="BP28" i="3" s="1"/>
  <c r="AZ13" i="3"/>
  <c r="BD21" i="3"/>
  <c r="AR15" i="3"/>
  <c r="AJ17" i="3"/>
  <c r="AJ19" i="3"/>
  <c r="BH11" i="3"/>
  <c r="AR20" i="3"/>
  <c r="AZ16" i="3"/>
  <c r="AZ18" i="3"/>
  <c r="AZ22" i="3"/>
  <c r="AN13" i="3"/>
  <c r="AN14" i="3"/>
  <c r="AN20" i="3"/>
  <c r="BH21" i="3"/>
  <c r="BA4" i="3"/>
  <c r="BE7" i="3"/>
  <c r="BE8" i="3"/>
  <c r="AM18" i="3"/>
  <c r="AN2" i="3"/>
  <c r="BD2" i="3"/>
  <c r="BH5" i="3"/>
  <c r="BH9" i="3"/>
  <c r="BH13" i="3"/>
  <c r="BH15" i="3"/>
  <c r="BI4" i="3"/>
  <c r="BA5" i="3"/>
  <c r="BE12" i="3"/>
  <c r="AK15" i="3"/>
  <c r="BA15" i="3"/>
  <c r="AW20" i="3"/>
  <c r="BA21" i="3"/>
  <c r="AO22" i="3"/>
  <c r="BI16" i="3"/>
  <c r="BE21" i="3"/>
  <c r="AK21" i="3"/>
  <c r="BE23" i="3"/>
  <c r="AW22" i="3"/>
  <c r="AO16" i="3"/>
  <c r="AO21" i="3"/>
  <c r="AS16" i="3"/>
  <c r="BE17" i="3"/>
  <c r="BD7" i="3"/>
  <c r="BI5" i="3"/>
  <c r="AK7" i="3"/>
  <c r="AJ5" i="3"/>
  <c r="AN6" i="3"/>
  <c r="AJ9" i="3"/>
  <c r="AU15" i="3"/>
  <c r="AP2" i="3"/>
  <c r="AX2" i="3"/>
  <c r="BF2" i="3"/>
  <c r="BH17" i="3"/>
  <c r="AS10" i="3"/>
  <c r="BI9" i="3"/>
  <c r="AK12" i="3"/>
  <c r="BI7" i="3"/>
  <c r="BI11" i="3"/>
  <c r="AS14" i="3"/>
  <c r="AW24" i="3"/>
  <c r="AS26" i="3"/>
  <c r="BA26" i="3"/>
  <c r="AO9" i="3"/>
  <c r="BE14" i="3"/>
  <c r="AO25" i="3"/>
  <c r="AK27" i="3"/>
  <c r="AO27" i="3"/>
  <c r="BI27" i="3"/>
  <c r="AO28" i="3"/>
  <c r="BU28" i="3" s="1"/>
  <c r="DH28" i="3" s="1"/>
  <c r="AW28" i="3"/>
  <c r="CC28" i="3" s="1"/>
  <c r="BE28" i="3"/>
  <c r="CK28" i="3" s="1"/>
  <c r="AO2" i="3"/>
  <c r="AU2" i="3"/>
  <c r="AW2" i="3"/>
  <c r="AV2" i="3"/>
  <c r="AO10" i="3"/>
  <c r="BA13" i="3"/>
  <c r="AQ13" i="3"/>
  <c r="BG13" i="3"/>
  <c r="AM16" i="3"/>
  <c r="BC16" i="3"/>
  <c r="AQ16" i="3"/>
  <c r="BG16" i="3"/>
  <c r="AW18" i="3"/>
  <c r="AU20" i="3"/>
  <c r="BE24" i="3"/>
  <c r="AY25" i="3"/>
  <c r="BE26" i="3"/>
  <c r="AS27" i="3"/>
  <c r="BY27" i="3" s="1"/>
  <c r="DN27" i="3" s="1"/>
  <c r="BC19" i="3"/>
  <c r="AU24" i="3"/>
  <c r="BG26" i="3"/>
  <c r="AS3" i="3"/>
  <c r="AO4" i="3"/>
  <c r="AW9" i="3"/>
  <c r="AS11" i="3"/>
  <c r="AU12" i="3"/>
  <c r="AK13" i="3"/>
  <c r="BC15" i="3"/>
  <c r="AU18" i="3"/>
  <c r="AK19" i="3"/>
  <c r="BA19" i="3"/>
  <c r="AO19" i="3"/>
  <c r="BE19" i="3"/>
  <c r="AS20" i="3"/>
  <c r="BI20" i="3"/>
  <c r="BC21" i="3"/>
  <c r="AQ21" i="3"/>
  <c r="BG21" i="3"/>
  <c r="AM24" i="3"/>
  <c r="BG24" i="3"/>
  <c r="AI25" i="3"/>
  <c r="BI25" i="3"/>
  <c r="AU27" i="3"/>
  <c r="AW27" i="3"/>
  <c r="BI28" i="3"/>
  <c r="AI19" i="3"/>
  <c r="AQ20" i="3"/>
  <c r="AU22" i="3"/>
  <c r="AY23" i="3"/>
  <c r="AQ25" i="3"/>
  <c r="BE2" i="3"/>
  <c r="AW3" i="3"/>
  <c r="AQ4" i="3"/>
  <c r="BE4" i="3"/>
  <c r="AK5" i="3"/>
  <c r="AW12" i="3"/>
  <c r="AM13" i="3"/>
  <c r="BI13" i="3"/>
  <c r="AM15" i="3"/>
  <c r="AI23" i="3"/>
  <c r="BA27" i="3"/>
  <c r="CG27" i="3" s="1"/>
  <c r="AK28" i="3"/>
  <c r="BQ28" i="3" s="1"/>
  <c r="BC4" i="3"/>
  <c r="BC13" i="3"/>
  <c r="AY19" i="3"/>
  <c r="BG20" i="3"/>
  <c r="BE10" i="3"/>
  <c r="AI13" i="3"/>
  <c r="AY13" i="3"/>
  <c r="AU16" i="3"/>
  <c r="AI16" i="3"/>
  <c r="AY16" i="3"/>
  <c r="BI22" i="3"/>
  <c r="AK25" i="3"/>
  <c r="AQ5" i="3"/>
  <c r="AS7" i="3"/>
  <c r="AW16" i="3"/>
  <c r="AS21" i="3"/>
  <c r="AI22" i="3"/>
  <c r="AQ24" i="3"/>
  <c r="AY22" i="3"/>
  <c r="AY7" i="3"/>
  <c r="AM26" i="3"/>
  <c r="BG8" i="3"/>
  <c r="AQ8" i="3"/>
  <c r="BC11" i="3"/>
  <c r="AU10" i="3"/>
  <c r="BG3" i="3"/>
  <c r="AI3" i="3"/>
  <c r="AV3" i="3"/>
  <c r="AY5" i="3"/>
  <c r="BG6" i="3"/>
  <c r="AM5" i="3"/>
  <c r="AM11" i="3"/>
  <c r="BC2" i="3"/>
  <c r="AI5" i="3"/>
  <c r="AI8" i="3"/>
  <c r="AU3" i="3"/>
  <c r="AU4" i="3"/>
  <c r="AY4" i="3"/>
  <c r="AM2" i="3"/>
  <c r="BH2" i="3"/>
  <c r="AJ2" i="3"/>
  <c r="AR2" i="3"/>
  <c r="AZ2" i="3"/>
  <c r="BC6" i="3"/>
  <c r="AX4" i="3"/>
  <c r="AM6" i="3"/>
  <c r="AP11" i="3"/>
  <c r="AK4" i="3"/>
  <c r="AI11" i="3"/>
  <c r="AQ11" i="3"/>
  <c r="AY11" i="3"/>
  <c r="BG11" i="3"/>
  <c r="AS5" i="3"/>
  <c r="BB10" i="3"/>
  <c r="BB9" i="3"/>
  <c r="AW15" i="3"/>
  <c r="AW14" i="3"/>
  <c r="AJ3" i="3"/>
  <c r="AR3" i="3"/>
  <c r="AZ3" i="3"/>
  <c r="BH3" i="3"/>
  <c r="AP4" i="3"/>
  <c r="AU6" i="3"/>
  <c r="AX7" i="3"/>
  <c r="BA8" i="3"/>
  <c r="AP14" i="3"/>
  <c r="AX14" i="3"/>
  <c r="BF14" i="3"/>
  <c r="AO14" i="3"/>
  <c r="BF4" i="3"/>
  <c r="AN5" i="3"/>
  <c r="AV5" i="3"/>
  <c r="BD5" i="3"/>
  <c r="AK8" i="3"/>
  <c r="AX10" i="3"/>
  <c r="AO6" i="3"/>
  <c r="AW6" i="3"/>
  <c r="AJ7" i="3"/>
  <c r="AR7" i="3"/>
  <c r="AZ7" i="3"/>
  <c r="BH7" i="3"/>
  <c r="AM8" i="3"/>
  <c r="AU8" i="3"/>
  <c r="BC8" i="3"/>
  <c r="AK10" i="3"/>
  <c r="AW10" i="3"/>
  <c r="AI10" i="3"/>
  <c r="AQ10" i="3"/>
  <c r="AY10" i="3"/>
  <c r="BG10" i="3"/>
  <c r="AV9" i="3"/>
  <c r="BA10" i="3"/>
  <c r="AN11" i="3"/>
  <c r="AV11" i="3"/>
  <c r="BD11" i="3"/>
  <c r="AP13" i="3"/>
  <c r="AX13" i="3"/>
  <c r="BF13" i="3"/>
  <c r="AI17" i="3"/>
  <c r="AQ17" i="3"/>
  <c r="AY17" i="3"/>
  <c r="BG17" i="3"/>
  <c r="AN18" i="3"/>
  <c r="AN17" i="3"/>
  <c r="AV18" i="3"/>
  <c r="AV17" i="3"/>
  <c r="BD18" i="3"/>
  <c r="BD17" i="3"/>
  <c r="AL17" i="3"/>
  <c r="AT17" i="3"/>
  <c r="BB17" i="3"/>
  <c r="BJ17" i="3"/>
  <c r="BC26" i="3"/>
  <c r="BC25" i="3"/>
  <c r="AI27" i="3"/>
  <c r="AQ27" i="3"/>
  <c r="AY27" i="3"/>
  <c r="BG27" i="3"/>
  <c r="AK23" i="3"/>
  <c r="AS23" i="3"/>
  <c r="BA23" i="3"/>
  <c r="BI23" i="3"/>
  <c r="AR27" i="3"/>
  <c r="AR26" i="3"/>
  <c r="AZ27" i="3"/>
  <c r="AZ26" i="3"/>
  <c r="BH27" i="3"/>
  <c r="BH26" i="3"/>
  <c r="AK18" i="3"/>
  <c r="AS18" i="3"/>
  <c r="BA18" i="3"/>
  <c r="BI18" i="3"/>
  <c r="AM20" i="3"/>
  <c r="AN22" i="3"/>
  <c r="AV22" i="3"/>
  <c r="BD22" i="3"/>
  <c r="BF25" i="3"/>
  <c r="BF24" i="3"/>
  <c r="DG32" i="3"/>
  <c r="BV34" i="3"/>
  <c r="BV29" i="3"/>
  <c r="DL29" i="3" s="1"/>
  <c r="BV31" i="3"/>
  <c r="DL31" i="3" s="1"/>
  <c r="BV30" i="3"/>
  <c r="DL30" i="3" s="1"/>
  <c r="CD34" i="3"/>
  <c r="CD29" i="3"/>
  <c r="CD30" i="3"/>
  <c r="CD31" i="3"/>
  <c r="CL34" i="3"/>
  <c r="CL29" i="3"/>
  <c r="CL31" i="3"/>
  <c r="CL30" i="3"/>
  <c r="AJ26" i="3"/>
  <c r="DG34" i="3"/>
  <c r="EP37" i="3"/>
  <c r="DG30" i="3"/>
  <c r="BO33" i="3"/>
  <c r="BW33" i="3"/>
  <c r="CE33" i="3"/>
  <c r="CY33" i="3"/>
  <c r="DT36" i="3"/>
  <c r="DS36" i="3"/>
  <c r="DT37" i="3"/>
  <c r="DS37" i="3"/>
  <c r="CX37" i="3"/>
  <c r="BV27" i="3"/>
  <c r="DL27" i="3" s="1"/>
  <c r="BY28" i="3"/>
  <c r="DN28" i="3" s="1"/>
  <c r="CG28" i="3"/>
  <c r="BS29" i="3"/>
  <c r="CA29" i="3"/>
  <c r="CI29" i="3"/>
  <c r="DO29" i="3" s="1"/>
  <c r="DT29" i="3"/>
  <c r="DS29" i="3"/>
  <c r="BT32" i="3"/>
  <c r="CB32" i="3"/>
  <c r="CJ32" i="3"/>
  <c r="BR30" i="3"/>
  <c r="BZ30" i="3"/>
  <c r="DP30" i="3" s="1"/>
  <c r="CH30" i="3"/>
  <c r="CP30" i="3"/>
  <c r="BW32" i="3"/>
  <c r="DJ32" i="3" s="1"/>
  <c r="DK36" i="3"/>
  <c r="DK30" i="3"/>
  <c r="DM37" i="3"/>
  <c r="DT30" i="3"/>
  <c r="DS30" i="3"/>
  <c r="BP36" i="3"/>
  <c r="BP31" i="3"/>
  <c r="BX36" i="3"/>
  <c r="DR36" i="3" s="1"/>
  <c r="BX31" i="3"/>
  <c r="DR31" i="3" s="1"/>
  <c r="CF36" i="3"/>
  <c r="CZ36" i="3" s="1"/>
  <c r="CF31" i="3"/>
  <c r="CN36" i="3"/>
  <c r="CN31" i="3"/>
  <c r="DG37" i="3"/>
  <c r="DM31" i="3"/>
  <c r="DS33" i="3"/>
  <c r="DG33" i="3"/>
  <c r="DT34" i="3"/>
  <c r="DS34" i="3"/>
  <c r="BQ37" i="3"/>
  <c r="ES37" i="3" s="1"/>
  <c r="BQ32" i="3"/>
  <c r="BY37" i="3"/>
  <c r="DN37" i="3" s="1"/>
  <c r="BY32" i="3"/>
  <c r="DN32" i="3" s="1"/>
  <c r="CG37" i="3"/>
  <c r="CG32" i="3"/>
  <c r="CO37" i="3"/>
  <c r="CO32" i="3"/>
  <c r="BV28" i="3"/>
  <c r="DL28" i="3" s="1"/>
  <c r="DG29" i="3"/>
  <c r="BT31" i="3"/>
  <c r="CB31" i="3"/>
  <c r="CJ31" i="3"/>
  <c r="CM32" i="3"/>
  <c r="BO35" i="3"/>
  <c r="BO30" i="3"/>
  <c r="BW35" i="3"/>
  <c r="DJ35" i="3" s="1"/>
  <c r="BW30" i="3"/>
  <c r="DJ30" i="3" s="1"/>
  <c r="CE35" i="3"/>
  <c r="CE30" i="3"/>
  <c r="CM35" i="3"/>
  <c r="CM30" i="3"/>
  <c r="BV33" i="3"/>
  <c r="DL33" i="3" s="1"/>
  <c r="CD33" i="3"/>
  <c r="CL33" i="3"/>
  <c r="BO34" i="3"/>
  <c r="BW34" i="3"/>
  <c r="CE34" i="3"/>
  <c r="CM34" i="3"/>
  <c r="DK34" i="3"/>
  <c r="BP35" i="3"/>
  <c r="ET35" i="3" s="1"/>
  <c r="BX35" i="3"/>
  <c r="CF35" i="3"/>
  <c r="CN35" i="3"/>
  <c r="BQ36" i="3"/>
  <c r="BY36" i="3"/>
  <c r="DN36" i="3" s="1"/>
  <c r="CG36" i="3"/>
  <c r="CO36" i="3"/>
  <c r="EQ36" i="3" s="1"/>
  <c r="BR37" i="3"/>
  <c r="BZ37" i="3"/>
  <c r="DP37" i="3" s="1"/>
  <c r="ER37" i="3"/>
  <c r="CZ37" i="3"/>
  <c r="CI10" i="4" l="1"/>
  <c r="DO10" i="4" s="1"/>
  <c r="BR16" i="4"/>
  <c r="BZ15" i="4"/>
  <c r="DP15" i="4" s="1"/>
  <c r="BT17" i="4"/>
  <c r="CC12" i="4"/>
  <c r="BW17" i="4"/>
  <c r="DJ17" i="4" s="1"/>
  <c r="CL5" i="4"/>
  <c r="CO3" i="4"/>
  <c r="DI3" i="4" s="1"/>
  <c r="BQ6" i="4"/>
  <c r="CD8" i="4"/>
  <c r="CI16" i="4"/>
  <c r="DO16" i="4" s="1"/>
  <c r="BZ20" i="4"/>
  <c r="DP20" i="4" s="1"/>
  <c r="BR11" i="4"/>
  <c r="CA8" i="4"/>
  <c r="BS3" i="4"/>
  <c r="CA12" i="4"/>
  <c r="DK12" i="4" s="1"/>
  <c r="BT2" i="4"/>
  <c r="DT2" i="4" s="1"/>
  <c r="CM16" i="4"/>
  <c r="CK12" i="4"/>
  <c r="CK18" i="4"/>
  <c r="CK11" i="4"/>
  <c r="CJ13" i="4"/>
  <c r="BY3" i="4"/>
  <c r="DN3" i="4" s="1"/>
  <c r="CB3" i="4"/>
  <c r="BT7" i="4"/>
  <c r="BR22" i="4"/>
  <c r="CC21" i="4"/>
  <c r="BT22" i="4"/>
  <c r="CP18" i="4"/>
  <c r="DQ18" i="4" s="1"/>
  <c r="CC16" i="4"/>
  <c r="BS17" i="4"/>
  <c r="CX17" i="4" s="1"/>
  <c r="CA20" i="4"/>
  <c r="DK20" i="4" s="1"/>
  <c r="CK17" i="4"/>
  <c r="CD5" i="4"/>
  <c r="CJ4" i="4"/>
  <c r="CK2" i="4"/>
  <c r="CO2" i="4"/>
  <c r="DI2" i="4" s="1"/>
  <c r="BT26" i="4"/>
  <c r="DT26" i="4" s="1"/>
  <c r="CC23" i="4"/>
  <c r="CZ23" i="4" s="1"/>
  <c r="CG20" i="4"/>
  <c r="ET20" i="4" s="1"/>
  <c r="BU22" i="4"/>
  <c r="DH22" i="4" s="1"/>
  <c r="CO7" i="4"/>
  <c r="DI7" i="4" s="1"/>
  <c r="BZ8" i="4"/>
  <c r="DP8" i="4" s="1"/>
  <c r="CD12" i="4"/>
  <c r="CL3" i="4"/>
  <c r="CM5" i="4"/>
  <c r="BT10" i="4"/>
  <c r="DS10" i="4" s="1"/>
  <c r="CI19" i="4"/>
  <c r="DO19" i="4" s="1"/>
  <c r="BQ9" i="4"/>
  <c r="CG13" i="4"/>
  <c r="CO12" i="4"/>
  <c r="BR8" i="4"/>
  <c r="CH3" i="4"/>
  <c r="CB6" i="4"/>
  <c r="BU2" i="4"/>
  <c r="DH2" i="4" s="1"/>
  <c r="CJ5" i="4"/>
  <c r="BZ11" i="4"/>
  <c r="DP11" i="4" s="1"/>
  <c r="CI21" i="4"/>
  <c r="DO21" i="4" s="1"/>
  <c r="CH16" i="4"/>
  <c r="CP14" i="4"/>
  <c r="DQ14" i="4" s="1"/>
  <c r="CA22" i="4"/>
  <c r="BY8" i="4"/>
  <c r="DN8" i="4" s="1"/>
  <c r="CP6" i="4"/>
  <c r="DQ6" i="4" s="1"/>
  <c r="CF3" i="4"/>
  <c r="BU9" i="4"/>
  <c r="DH9" i="4" s="1"/>
  <c r="BZ3" i="4"/>
  <c r="DP3" i="4" s="1"/>
  <c r="CG5" i="4"/>
  <c r="CH2" i="4"/>
  <c r="EQ22" i="4"/>
  <c r="DS15" i="4"/>
  <c r="DT15" i="4"/>
  <c r="DK8" i="4"/>
  <c r="DS2" i="4"/>
  <c r="DT7" i="4"/>
  <c r="DS7" i="4"/>
  <c r="DI12" i="4"/>
  <c r="DG3" i="4"/>
  <c r="CX31" i="4"/>
  <c r="EP31" i="4"/>
  <c r="BY14" i="4"/>
  <c r="DN14" i="4" s="1"/>
  <c r="CE8" i="4"/>
  <c r="CC3" i="4"/>
  <c r="DC37" i="4"/>
  <c r="DA34" i="4"/>
  <c r="ES34" i="4"/>
  <c r="DM34" i="4"/>
  <c r="CV36" i="4"/>
  <c r="CV33" i="4"/>
  <c r="EN33" i="4"/>
  <c r="DS33" i="4"/>
  <c r="DT33" i="4"/>
  <c r="EU31" i="4"/>
  <c r="EP28" i="4"/>
  <c r="CX28" i="4"/>
  <c r="CX29" i="4"/>
  <c r="EP29" i="4"/>
  <c r="DY29" i="4" s="1"/>
  <c r="CX34" i="4"/>
  <c r="EP34" i="4"/>
  <c r="CP26" i="4"/>
  <c r="CP23" i="4"/>
  <c r="CP22" i="4"/>
  <c r="ES37" i="4"/>
  <c r="DI24" i="4"/>
  <c r="BT27" i="4"/>
  <c r="BT20" i="4"/>
  <c r="BT23" i="4"/>
  <c r="DI29" i="4"/>
  <c r="CW29" i="4"/>
  <c r="CY28" i="4"/>
  <c r="EN28" i="4"/>
  <c r="CF20" i="4"/>
  <c r="BW16" i="4"/>
  <c r="DJ16" i="4" s="1"/>
  <c r="CA21" i="4"/>
  <c r="BT24" i="4"/>
  <c r="CW24" i="4" s="1"/>
  <c r="BR17" i="4"/>
  <c r="CK22" i="4"/>
  <c r="CX26" i="4"/>
  <c r="DG19" i="4"/>
  <c r="BS18" i="4"/>
  <c r="BQ13" i="4"/>
  <c r="CH18" i="4"/>
  <c r="BS15" i="4"/>
  <c r="BS20" i="4"/>
  <c r="CD14" i="4"/>
  <c r="CG17" i="4"/>
  <c r="CG16" i="4"/>
  <c r="CG9" i="4"/>
  <c r="CO13" i="4"/>
  <c r="BT13" i="4"/>
  <c r="CC17" i="4"/>
  <c r="BU14" i="4"/>
  <c r="DH14" i="4" s="1"/>
  <c r="BO14" i="4"/>
  <c r="CF12" i="4"/>
  <c r="BW8" i="4"/>
  <c r="DJ8" i="4" s="1"/>
  <c r="BW9" i="4"/>
  <c r="DJ9" i="4" s="1"/>
  <c r="CP8" i="4"/>
  <c r="DQ8" i="4" s="1"/>
  <c r="CA10" i="4"/>
  <c r="BX7" i="4"/>
  <c r="DR7" i="4" s="1"/>
  <c r="CF15" i="4"/>
  <c r="CJ11" i="4"/>
  <c r="BU5" i="4"/>
  <c r="DH5" i="4" s="1"/>
  <c r="BW7" i="4"/>
  <c r="DJ7" i="4" s="1"/>
  <c r="CD11" i="4"/>
  <c r="EP11" i="4" s="1"/>
  <c r="CN5" i="4"/>
  <c r="BS12" i="4"/>
  <c r="BZ7" i="4"/>
  <c r="DP7" i="4" s="1"/>
  <c r="BU17" i="4"/>
  <c r="DH17" i="4" s="1"/>
  <c r="BO6" i="4"/>
  <c r="CM9" i="4"/>
  <c r="CG4" i="4"/>
  <c r="CB5" i="4"/>
  <c r="BU3" i="4"/>
  <c r="DH3" i="4" s="1"/>
  <c r="CE2" i="4"/>
  <c r="CM2" i="4"/>
  <c r="BV2" i="4"/>
  <c r="DL2" i="4" s="1"/>
  <c r="BR2" i="4"/>
  <c r="EN30" i="4"/>
  <c r="DT30" i="4"/>
  <c r="DS30" i="4"/>
  <c r="CV30" i="4"/>
  <c r="DK31" i="4"/>
  <c r="CZ31" i="4"/>
  <c r="ER31" i="4"/>
  <c r="BY12" i="4"/>
  <c r="DN12" i="4" s="1"/>
  <c r="CE9" i="4"/>
  <c r="CC6" i="4"/>
  <c r="EU36" i="4"/>
  <c r="DM33" i="4"/>
  <c r="ES33" i="4"/>
  <c r="DA33" i="4"/>
  <c r="EO33" i="4"/>
  <c r="DY33" i="4" s="1"/>
  <c r="EN35" i="4"/>
  <c r="ES30" i="4"/>
  <c r="EP36" i="4"/>
  <c r="CV32" i="4"/>
  <c r="EN32" i="4"/>
  <c r="DT32" i="4"/>
  <c r="DS32" i="4"/>
  <c r="DC31" i="4"/>
  <c r="CX33" i="4"/>
  <c r="EP33" i="4"/>
  <c r="DI23" i="4"/>
  <c r="EO23" i="4"/>
  <c r="EQ27" i="4"/>
  <c r="DB30" i="4"/>
  <c r="ET30" i="4"/>
  <c r="CV28" i="4"/>
  <c r="CH19" i="4"/>
  <c r="DM16" i="4"/>
  <c r="CH23" i="4"/>
  <c r="EP24" i="4"/>
  <c r="CX24" i="4"/>
  <c r="BQ20" i="4"/>
  <c r="BQ19" i="4"/>
  <c r="BT25" i="4"/>
  <c r="EP26" i="4"/>
  <c r="DG20" i="4"/>
  <c r="CP17" i="4"/>
  <c r="DQ17" i="4" s="1"/>
  <c r="CO15" i="4"/>
  <c r="BR18" i="4"/>
  <c r="CE14" i="4"/>
  <c r="CG19" i="4"/>
  <c r="BY13" i="4"/>
  <c r="DN13" i="4" s="1"/>
  <c r="CH13" i="4"/>
  <c r="BO15" i="4"/>
  <c r="BZ12" i="4"/>
  <c r="DP12" i="4" s="1"/>
  <c r="BO8" i="4"/>
  <c r="CF14" i="4"/>
  <c r="CF11" i="4"/>
  <c r="BS10" i="4"/>
  <c r="BP7" i="4"/>
  <c r="CB11" i="4"/>
  <c r="BY7" i="4"/>
  <c r="DN7" i="4" s="1"/>
  <c r="BY2" i="4"/>
  <c r="DN2" i="4" s="1"/>
  <c r="CF9" i="4"/>
  <c r="BX6" i="4"/>
  <c r="DR6" i="4" s="1"/>
  <c r="CA5" i="4"/>
  <c r="CF5" i="4"/>
  <c r="BR6" i="4"/>
  <c r="BT9" i="4"/>
  <c r="CO6" i="4"/>
  <c r="DI6" i="4" s="1"/>
  <c r="CI2" i="4"/>
  <c r="DO2" i="4" s="1"/>
  <c r="BU19" i="4"/>
  <c r="DH19" i="4" s="1"/>
  <c r="BO9" i="4"/>
  <c r="BR7" i="4"/>
  <c r="CI6" i="4"/>
  <c r="DO6" i="4" s="1"/>
  <c r="BW13" i="4"/>
  <c r="DJ13" i="4" s="1"/>
  <c r="CO8" i="4"/>
  <c r="DI8" i="4" s="1"/>
  <c r="BT5" i="4"/>
  <c r="CL4" i="4"/>
  <c r="CM3" i="4"/>
  <c r="BW2" i="4"/>
  <c r="DJ2" i="4" s="1"/>
  <c r="CD6" i="4"/>
  <c r="CJ2" i="4"/>
  <c r="CY35" i="4"/>
  <c r="EQ35" i="4"/>
  <c r="BY9" i="4"/>
  <c r="DN9" i="4" s="1"/>
  <c r="DK3" i="4"/>
  <c r="DA36" i="4"/>
  <c r="ES36" i="4"/>
  <c r="DM36" i="4"/>
  <c r="CW33" i="4"/>
  <c r="EP35" i="4"/>
  <c r="EN34" i="4"/>
  <c r="DB34" i="4"/>
  <c r="BZ26" i="4"/>
  <c r="DP26" i="4" s="1"/>
  <c r="BZ25" i="4"/>
  <c r="DP25" i="4" s="1"/>
  <c r="CY27" i="4"/>
  <c r="DB35" i="4"/>
  <c r="DB29" i="4"/>
  <c r="ET29" i="4"/>
  <c r="CZ27" i="4"/>
  <c r="DK27" i="4"/>
  <c r="ER27" i="4"/>
  <c r="BR19" i="4"/>
  <c r="CK23" i="4"/>
  <c r="EU23" i="4" s="1"/>
  <c r="CK10" i="4"/>
  <c r="CK16" i="4"/>
  <c r="CH21" i="4"/>
  <c r="BS16" i="4"/>
  <c r="CX25" i="4"/>
  <c r="CP20" i="4"/>
  <c r="DQ20" i="4" s="1"/>
  <c r="CP25" i="4"/>
  <c r="CP21" i="4"/>
  <c r="EU21" i="4" s="1"/>
  <c r="BR20" i="4"/>
  <c r="BQ17" i="4"/>
  <c r="BU12" i="4"/>
  <c r="DH12" i="4" s="1"/>
  <c r="CE13" i="4"/>
  <c r="BY19" i="4"/>
  <c r="DN19" i="4" s="1"/>
  <c r="BQ16" i="4"/>
  <c r="ER24" i="4"/>
  <c r="BR13" i="4"/>
  <c r="CA11" i="4"/>
  <c r="BW12" i="4"/>
  <c r="DJ12" i="4" s="1"/>
  <c r="CB8" i="4"/>
  <c r="CH11" i="4"/>
  <c r="CD9" i="4"/>
  <c r="CG15" i="4"/>
  <c r="CJ8" i="4"/>
  <c r="CP5" i="4"/>
  <c r="DQ5" i="4" s="1"/>
  <c r="CA14" i="4"/>
  <c r="BT11" i="4"/>
  <c r="CC7" i="4"/>
  <c r="BQ8" i="4"/>
  <c r="BO11" i="4"/>
  <c r="CP4" i="4"/>
  <c r="DQ4" i="4" s="1"/>
  <c r="CM8" i="4"/>
  <c r="CK7" i="4"/>
  <c r="BT6" i="4"/>
  <c r="BS2" i="4"/>
  <c r="CI9" i="4"/>
  <c r="DO9" i="4" s="1"/>
  <c r="CA6" i="4"/>
  <c r="CJ6" i="4"/>
  <c r="CH8" i="4"/>
  <c r="CE3" i="4"/>
  <c r="CM6" i="4"/>
  <c r="BX3" i="4"/>
  <c r="DR3" i="4" s="1"/>
  <c r="CA7" i="4"/>
  <c r="CC2" i="4"/>
  <c r="CB2" i="4"/>
  <c r="ER28" i="4"/>
  <c r="DK28" i="4"/>
  <c r="CZ28" i="4"/>
  <c r="DK25" i="4"/>
  <c r="CZ25" i="4"/>
  <c r="ER25" i="4"/>
  <c r="DS22" i="4"/>
  <c r="EN22" i="4"/>
  <c r="CV22" i="4"/>
  <c r="DT22" i="4"/>
  <c r="DK15" i="4"/>
  <c r="BY4" i="4"/>
  <c r="DN4" i="4" s="1"/>
  <c r="ES35" i="4"/>
  <c r="DM35" i="4"/>
  <c r="DA35" i="4"/>
  <c r="DB28" i="4"/>
  <c r="ET28" i="4"/>
  <c r="CW35" i="4"/>
  <c r="EO35" i="4"/>
  <c r="DY35" i="4" s="1"/>
  <c r="DG35" i="4"/>
  <c r="DR35" i="4"/>
  <c r="DC35" i="4"/>
  <c r="DC36" i="4"/>
  <c r="EN37" i="4"/>
  <c r="CV34" i="4"/>
  <c r="ET34" i="4"/>
  <c r="CW31" i="4"/>
  <c r="BR26" i="4"/>
  <c r="DA26" i="4" s="1"/>
  <c r="ES28" i="4"/>
  <c r="EU34" i="4"/>
  <c r="DG18" i="4"/>
  <c r="DK30" i="4"/>
  <c r="CZ30" i="4"/>
  <c r="ER30" i="4"/>
  <c r="CC22" i="4"/>
  <c r="BZ21" i="4"/>
  <c r="DP21" i="4" s="1"/>
  <c r="BZ18" i="4"/>
  <c r="DP18" i="4" s="1"/>
  <c r="CP15" i="4"/>
  <c r="DQ15" i="4" s="1"/>
  <c r="CP19" i="4"/>
  <c r="DQ19" i="4" s="1"/>
  <c r="BT19" i="4"/>
  <c r="CH25" i="4"/>
  <c r="CK21" i="4"/>
  <c r="CK20" i="4"/>
  <c r="CI17" i="4"/>
  <c r="DO17" i="4" s="1"/>
  <c r="CI15" i="4"/>
  <c r="DO15" i="4" s="1"/>
  <c r="CI13" i="4"/>
  <c r="DO13" i="4" s="1"/>
  <c r="CI11" i="4"/>
  <c r="DO11" i="4" s="1"/>
  <c r="BU11" i="4"/>
  <c r="DH11" i="4" s="1"/>
  <c r="BO13" i="4"/>
  <c r="CO17" i="4"/>
  <c r="DI17" i="4" s="1"/>
  <c r="CO11" i="4"/>
  <c r="CO9" i="4"/>
  <c r="CE12" i="4"/>
  <c r="CZ12" i="4" s="1"/>
  <c r="CB14" i="4"/>
  <c r="CE15" i="4"/>
  <c r="CF13" i="4"/>
  <c r="CK15" i="4"/>
  <c r="DG10" i="4"/>
  <c r="BZ14" i="4"/>
  <c r="DP14" i="4" s="1"/>
  <c r="BS11" i="4"/>
  <c r="CP11" i="4"/>
  <c r="DQ11" i="4" s="1"/>
  <c r="CN8" i="4"/>
  <c r="CN6" i="4"/>
  <c r="CG11" i="4"/>
  <c r="BU16" i="4"/>
  <c r="DH16" i="4" s="1"/>
  <c r="CK13" i="4"/>
  <c r="CI8" i="4"/>
  <c r="DO8" i="4" s="1"/>
  <c r="CH5" i="4"/>
  <c r="BS14" i="4"/>
  <c r="CH10" i="4"/>
  <c r="BP6" i="4"/>
  <c r="CJ9" i="4"/>
  <c r="CJ3" i="4"/>
  <c r="BO7" i="4"/>
  <c r="CN4" i="4"/>
  <c r="CH7" i="4"/>
  <c r="EQ7" i="4" s="1"/>
  <c r="CK8" i="4"/>
  <c r="CE5" i="4"/>
  <c r="BZ6" i="4"/>
  <c r="DP6" i="4" s="1"/>
  <c r="CA9" i="4"/>
  <c r="CG7" i="4"/>
  <c r="BS6" i="4"/>
  <c r="CA2" i="4"/>
  <c r="CM11" i="4"/>
  <c r="CK3" i="4"/>
  <c r="BW3" i="4"/>
  <c r="DJ3" i="4" s="1"/>
  <c r="BX5" i="4"/>
  <c r="DR5" i="4" s="1"/>
  <c r="CE6" i="4"/>
  <c r="DC27" i="4"/>
  <c r="EU27" i="4"/>
  <c r="DI30" i="4"/>
  <c r="EQ30" i="4"/>
  <c r="DK22" i="4"/>
  <c r="DT18" i="4"/>
  <c r="DS18" i="4"/>
  <c r="CE10" i="4"/>
  <c r="CY34" i="4"/>
  <c r="EQ34" i="4"/>
  <c r="EO30" i="4"/>
  <c r="CW28" i="4"/>
  <c r="EO28" i="4"/>
  <c r="DY28" i="4" s="1"/>
  <c r="DG28" i="4"/>
  <c r="CV35" i="4"/>
  <c r="CW34" i="4"/>
  <c r="EO34" i="4"/>
  <c r="DY34" i="4" s="1"/>
  <c r="DG34" i="4"/>
  <c r="CV37" i="4"/>
  <c r="BR24" i="4"/>
  <c r="ES24" i="4" s="1"/>
  <c r="EP30" i="4"/>
  <c r="CX30" i="4"/>
  <c r="DK23" i="4"/>
  <c r="DC34" i="4"/>
  <c r="DA27" i="4"/>
  <c r="DG17" i="4"/>
  <c r="BR21" i="4"/>
  <c r="CH15" i="4"/>
  <c r="CH14" i="4"/>
  <c r="CO20" i="4"/>
  <c r="DI20" i="4" s="1"/>
  <c r="CO19" i="4"/>
  <c r="CA19" i="4"/>
  <c r="BZ23" i="4"/>
  <c r="DP23" i="4" s="1"/>
  <c r="BZ19" i="4"/>
  <c r="DP19" i="4" s="1"/>
  <c r="BR25" i="4"/>
  <c r="CH20" i="4"/>
  <c r="CC19" i="4"/>
  <c r="CI18" i="4"/>
  <c r="DO18" i="4" s="1"/>
  <c r="BT16" i="4"/>
  <c r="CG14" i="4"/>
  <c r="CC11" i="4"/>
  <c r="CO18" i="4"/>
  <c r="DI18" i="4" s="1"/>
  <c r="BR12" i="4"/>
  <c r="CP13" i="4"/>
  <c r="DQ13" i="4" s="1"/>
  <c r="CP10" i="4"/>
  <c r="DQ10" i="4" s="1"/>
  <c r="BO12" i="4"/>
  <c r="CF16" i="4"/>
  <c r="BZ9" i="4"/>
  <c r="DP9" i="4" s="1"/>
  <c r="BR14" i="4"/>
  <c r="BQ10" i="4"/>
  <c r="CF8" i="4"/>
  <c r="BQ11" i="4"/>
  <c r="CG18" i="4"/>
  <c r="BU15" i="4"/>
  <c r="DH15" i="4" s="1"/>
  <c r="CC13" i="4"/>
  <c r="BZ5" i="4"/>
  <c r="DP5" i="4" s="1"/>
  <c r="BZ4" i="4"/>
  <c r="DP4" i="4" s="1"/>
  <c r="CM13" i="4"/>
  <c r="CH9" i="4"/>
  <c r="CH4" i="4"/>
  <c r="BO4" i="4"/>
  <c r="CO5" i="4"/>
  <c r="DI5" i="4" s="1"/>
  <c r="CJ10" i="4"/>
  <c r="BS7" i="4"/>
  <c r="CF4" i="4"/>
  <c r="BS5" i="4"/>
  <c r="CC8" i="4"/>
  <c r="BW5" i="4"/>
  <c r="DJ5" i="4" s="1"/>
  <c r="BS9" i="4"/>
  <c r="CG6" i="4"/>
  <c r="CG2" i="4"/>
  <c r="CC4" i="4"/>
  <c r="BQ5" i="4"/>
  <c r="CH6" i="4"/>
  <c r="CE11" i="4"/>
  <c r="CI7" i="4"/>
  <c r="DO7" i="4" s="1"/>
  <c r="CI3" i="4"/>
  <c r="DO3" i="4" s="1"/>
  <c r="BP3" i="4"/>
  <c r="BY5" i="4"/>
  <c r="DN5" i="4" s="1"/>
  <c r="CI4" i="4"/>
  <c r="DO4" i="4" s="1"/>
  <c r="CN2" i="4"/>
  <c r="BP5" i="4"/>
  <c r="BO5" i="4"/>
  <c r="BW4" i="4"/>
  <c r="DJ4" i="4" s="1"/>
  <c r="EQ33" i="4"/>
  <c r="CY33" i="4"/>
  <c r="CW30" i="4"/>
  <c r="DC28" i="4"/>
  <c r="EU28" i="4"/>
  <c r="EO37" i="4"/>
  <c r="DY37" i="4" s="1"/>
  <c r="DG37" i="4"/>
  <c r="CW37" i="4"/>
  <c r="EP27" i="4"/>
  <c r="CX27" i="4"/>
  <c r="EO31" i="4"/>
  <c r="DY31" i="4" s="1"/>
  <c r="BS22" i="4"/>
  <c r="DA22" i="4" s="1"/>
  <c r="BS23" i="4"/>
  <c r="DI25" i="4"/>
  <c r="EQ25" i="4"/>
  <c r="DM22" i="4"/>
  <c r="DB24" i="4"/>
  <c r="ET24" i="4"/>
  <c r="EU33" i="4"/>
  <c r="DC30" i="4"/>
  <c r="EU30" i="4"/>
  <c r="DK29" i="4"/>
  <c r="CZ29" i="4"/>
  <c r="ER29" i="4"/>
  <c r="DI21" i="4"/>
  <c r="EO21" i="4"/>
  <c r="CX18" i="4"/>
  <c r="CY22" i="4"/>
  <c r="CD15" i="4"/>
  <c r="CD13" i="4"/>
  <c r="CC20" i="4"/>
  <c r="CA17" i="4"/>
  <c r="DT17" i="4"/>
  <c r="DS17" i="4"/>
  <c r="CM15" i="4"/>
  <c r="DC15" i="4" s="1"/>
  <c r="BY17" i="4"/>
  <c r="DN17" i="4" s="1"/>
  <c r="BY15" i="4"/>
  <c r="DN15" i="4" s="1"/>
  <c r="BY11" i="4"/>
  <c r="DN11" i="4" s="1"/>
  <c r="BZ13" i="4"/>
  <c r="DP13" i="4" s="1"/>
  <c r="BU21" i="4"/>
  <c r="DH21" i="4" s="1"/>
  <c r="BS19" i="4"/>
  <c r="BT14" i="4"/>
  <c r="BR9" i="4"/>
  <c r="CA13" i="4"/>
  <c r="CC9" i="4"/>
  <c r="CC10" i="4"/>
  <c r="BY10" i="4"/>
  <c r="DN10" i="4" s="1"/>
  <c r="BQ18" i="4"/>
  <c r="CM12" i="4"/>
  <c r="BU13" i="4"/>
  <c r="DH13" i="4" s="1"/>
  <c r="BS8" i="4"/>
  <c r="BR5" i="4"/>
  <c r="CG12" i="4"/>
  <c r="BZ10" i="4"/>
  <c r="DP10" i="4" s="1"/>
  <c r="BZ17" i="4"/>
  <c r="DP17" i="4" s="1"/>
  <c r="CO4" i="4"/>
  <c r="DI4" i="4" s="1"/>
  <c r="CB9" i="4"/>
  <c r="BW6" i="4"/>
  <c r="DJ6" i="4" s="1"/>
  <c r="BX4" i="4"/>
  <c r="DR4" i="4" s="1"/>
  <c r="CG3" i="4"/>
  <c r="BU7" i="4"/>
  <c r="DH7" i="4" s="1"/>
  <c r="BU6" i="4"/>
  <c r="DH6" i="4" s="1"/>
  <c r="CM4" i="4"/>
  <c r="BT8" i="4"/>
  <c r="BY6" i="4"/>
  <c r="DN6" i="4" s="1"/>
  <c r="BT4" i="4"/>
  <c r="CM14" i="4"/>
  <c r="CK5" i="4"/>
  <c r="BW11" i="4"/>
  <c r="DJ11" i="4" s="1"/>
  <c r="CE7" i="4"/>
  <c r="BQ2" i="4"/>
  <c r="CF2" i="4"/>
  <c r="BR4" i="4"/>
  <c r="CA4" i="4"/>
  <c r="BX2" i="4"/>
  <c r="DR2" i="4" s="1"/>
  <c r="BQ4" i="4"/>
  <c r="CI5" i="4"/>
  <c r="DO5" i="4" s="1"/>
  <c r="BQ3" i="4"/>
  <c r="ER34" i="4"/>
  <c r="DT10" i="4"/>
  <c r="CY36" i="4"/>
  <c r="EQ36" i="4"/>
  <c r="CV31" i="4"/>
  <c r="EN31" i="4"/>
  <c r="DT31" i="4"/>
  <c r="DS31" i="4"/>
  <c r="CW36" i="4"/>
  <c r="DG36" i="4"/>
  <c r="EO36" i="4"/>
  <c r="DY36" i="4" s="1"/>
  <c r="EP32" i="4"/>
  <c r="DY32" i="4" s="1"/>
  <c r="CX32" i="4"/>
  <c r="ET27" i="4"/>
  <c r="DB27" i="4"/>
  <c r="CW25" i="4"/>
  <c r="ER26" i="4"/>
  <c r="DK26" i="4"/>
  <c r="CZ26" i="4"/>
  <c r="EP37" i="4"/>
  <c r="DC24" i="4"/>
  <c r="EU24" i="4"/>
  <c r="DC33" i="4"/>
  <c r="EU29" i="4"/>
  <c r="DC29" i="4"/>
  <c r="DT21" i="4"/>
  <c r="DS21" i="4"/>
  <c r="CV21" i="4"/>
  <c r="CY16" i="4"/>
  <c r="EQ16" i="4"/>
  <c r="BR23" i="4"/>
  <c r="EQ23" i="4" s="1"/>
  <c r="BR15" i="4"/>
  <c r="ER32" i="4"/>
  <c r="DK32" i="4"/>
  <c r="CZ32" i="4"/>
  <c r="DB20" i="4"/>
  <c r="BU18" i="4"/>
  <c r="DH18" i="4" s="1"/>
  <c r="CI22" i="4"/>
  <c r="DO22" i="4" s="1"/>
  <c r="CF19" i="4"/>
  <c r="CF22" i="4"/>
  <c r="BU20" i="4"/>
  <c r="DH20" i="4" s="1"/>
  <c r="CA18" i="4"/>
  <c r="CA16" i="4"/>
  <c r="EU15" i="4"/>
  <c r="CI20" i="4"/>
  <c r="DO20" i="4" s="1"/>
  <c r="BY18" i="4"/>
  <c r="DN18" i="4" s="1"/>
  <c r="CC18" i="4"/>
  <c r="CP12" i="4"/>
  <c r="DQ12" i="4" s="1"/>
  <c r="CJ16" i="4"/>
  <c r="CJ15" i="4"/>
  <c r="CJ12" i="4"/>
  <c r="CX12" i="4" s="1"/>
  <c r="CO14" i="4"/>
  <c r="CK19" i="4"/>
  <c r="CK14" i="4"/>
  <c r="CC15" i="4"/>
  <c r="CZ15" i="4" s="1"/>
  <c r="BS13" i="4"/>
  <c r="CG8" i="4"/>
  <c r="CF10" i="4"/>
  <c r="CM10" i="4"/>
  <c r="CM17" i="4"/>
  <c r="BT12" i="4"/>
  <c r="CP9" i="4"/>
  <c r="DQ9" i="4" s="1"/>
  <c r="BO10" i="4"/>
  <c r="DG7" i="4"/>
  <c r="BY16" i="4"/>
  <c r="DN16" i="4" s="1"/>
  <c r="BQ12" i="4"/>
  <c r="BR10" i="4"/>
  <c r="CD3" i="4"/>
  <c r="CO10" i="4"/>
  <c r="DI10" i="4" s="1"/>
  <c r="CB4" i="4"/>
  <c r="CB10" i="4"/>
  <c r="CK6" i="4"/>
  <c r="BP4" i="4"/>
  <c r="CI12" i="4"/>
  <c r="DO12" i="4" s="1"/>
  <c r="BU8" i="4"/>
  <c r="DH8" i="4" s="1"/>
  <c r="CE4" i="4"/>
  <c r="BW10" i="4"/>
  <c r="DJ10" i="4" s="1"/>
  <c r="CJ7" i="4"/>
  <c r="BQ7" i="4"/>
  <c r="CD4" i="4"/>
  <c r="BW14" i="4"/>
  <c r="DJ14" i="4" s="1"/>
  <c r="CC5" i="4"/>
  <c r="CK9" i="4"/>
  <c r="CF6" i="4"/>
  <c r="CD7" i="4"/>
  <c r="CP2" i="4"/>
  <c r="DQ2" i="4" s="1"/>
  <c r="BS4" i="4"/>
  <c r="CL2" i="4"/>
  <c r="BT3" i="4"/>
  <c r="CK4" i="4"/>
  <c r="BP2" i="4"/>
  <c r="CF27" i="3"/>
  <c r="CD25" i="3"/>
  <c r="CN27" i="3"/>
  <c r="DG27" i="3" s="1"/>
  <c r="BR22" i="3"/>
  <c r="CZ35" i="3"/>
  <c r="CW33" i="3"/>
  <c r="ET29" i="3"/>
  <c r="CB27" i="3"/>
  <c r="CV35" i="3"/>
  <c r="EU29" i="3"/>
  <c r="BX27" i="3"/>
  <c r="CH25" i="3"/>
  <c r="EQ29" i="3"/>
  <c r="DK33" i="3"/>
  <c r="EN29" i="3"/>
  <c r="CD26" i="3"/>
  <c r="DB35" i="3"/>
  <c r="DT35" i="3"/>
  <c r="DA31" i="3"/>
  <c r="CV29" i="3"/>
  <c r="DB34" i="3"/>
  <c r="CZ31" i="3"/>
  <c r="DI31" i="3"/>
  <c r="DI34" i="3"/>
  <c r="DC33" i="3"/>
  <c r="EP32" i="3"/>
  <c r="EU33" i="3"/>
  <c r="DQ28" i="3"/>
  <c r="EP33" i="3"/>
  <c r="ER31" i="3"/>
  <c r="DI32" i="3"/>
  <c r="CX36" i="3"/>
  <c r="EP35" i="3"/>
  <c r="CZ30" i="3"/>
  <c r="CW29" i="3"/>
  <c r="DQ29" i="3"/>
  <c r="ET33" i="3"/>
  <c r="CZ33" i="3"/>
  <c r="CY29" i="3"/>
  <c r="EQ31" i="3"/>
  <c r="DQ30" i="3"/>
  <c r="DB29" i="3"/>
  <c r="DQ31" i="3"/>
  <c r="DI36" i="3"/>
  <c r="ES29" i="3"/>
  <c r="CY31" i="3"/>
  <c r="DC29" i="3"/>
  <c r="DQ23" i="3"/>
  <c r="DQ32" i="3"/>
  <c r="EO37" i="3"/>
  <c r="DA29" i="3"/>
  <c r="ER36" i="3"/>
  <c r="EP34" i="3"/>
  <c r="EO29" i="3"/>
  <c r="DI30" i="3"/>
  <c r="DI35" i="3"/>
  <c r="CX34" i="3"/>
  <c r="DA32" i="3"/>
  <c r="DB33" i="3"/>
  <c r="EO30" i="3"/>
  <c r="CG24" i="3"/>
  <c r="CH24" i="3"/>
  <c r="DI29" i="3"/>
  <c r="CH27" i="3"/>
  <c r="CH26" i="3"/>
  <c r="CP22" i="3"/>
  <c r="CP24" i="3"/>
  <c r="CP27" i="3"/>
  <c r="CL26" i="3"/>
  <c r="BR20" i="3"/>
  <c r="CD27" i="3"/>
  <c r="BU26" i="3"/>
  <c r="DH26" i="3" s="1"/>
  <c r="CE26" i="3"/>
  <c r="BU24" i="3"/>
  <c r="DH24" i="3" s="1"/>
  <c r="CD17" i="3"/>
  <c r="CH18" i="3"/>
  <c r="BZ27" i="3"/>
  <c r="DP27" i="3" s="1"/>
  <c r="BZ19" i="3"/>
  <c r="DP19" i="3" s="1"/>
  <c r="CP25" i="3"/>
  <c r="CP20" i="3"/>
  <c r="CP26" i="3"/>
  <c r="CL27" i="3"/>
  <c r="BR5" i="3"/>
  <c r="BZ26" i="3"/>
  <c r="DP26" i="3" s="1"/>
  <c r="BZ18" i="3"/>
  <c r="DP18" i="3" s="1"/>
  <c r="BZ22" i="3"/>
  <c r="DP22" i="3" s="1"/>
  <c r="CP19" i="3"/>
  <c r="CP21" i="3"/>
  <c r="CP8" i="3"/>
  <c r="CP18" i="3"/>
  <c r="BY25" i="3"/>
  <c r="DN25" i="3" s="1"/>
  <c r="CD19" i="3"/>
  <c r="CD21" i="3"/>
  <c r="BS25" i="3"/>
  <c r="BS27" i="3"/>
  <c r="CJ27" i="3"/>
  <c r="CD18" i="3"/>
  <c r="CJ23" i="3"/>
  <c r="BU6" i="3"/>
  <c r="DH6" i="3" s="1"/>
  <c r="CL22" i="3"/>
  <c r="CH21" i="3"/>
  <c r="CL25" i="3"/>
  <c r="CA16" i="3"/>
  <c r="DK16" i="3" s="1"/>
  <c r="CI27" i="3"/>
  <c r="DO27" i="3" s="1"/>
  <c r="CA24" i="3"/>
  <c r="DK24" i="3" s="1"/>
  <c r="CI26" i="3"/>
  <c r="DO26" i="3" s="1"/>
  <c r="CA27" i="3"/>
  <c r="DK27" i="3" s="1"/>
  <c r="BR21" i="3"/>
  <c r="BR27" i="3"/>
  <c r="BR25" i="3"/>
  <c r="BT25" i="3"/>
  <c r="DS25" i="3" s="1"/>
  <c r="BY24" i="3"/>
  <c r="DN24" i="3" s="1"/>
  <c r="BT24" i="3"/>
  <c r="DT24" i="3" s="1"/>
  <c r="BV15" i="3"/>
  <c r="DL15" i="3" s="1"/>
  <c r="BV25" i="3"/>
  <c r="DL25" i="3" s="1"/>
  <c r="DT28" i="3"/>
  <c r="BT27" i="3"/>
  <c r="DS27" i="3" s="1"/>
  <c r="BV22" i="3"/>
  <c r="DL22" i="3" s="1"/>
  <c r="BV17" i="3"/>
  <c r="DL17" i="3" s="1"/>
  <c r="BV19" i="3"/>
  <c r="DL19" i="3" s="1"/>
  <c r="BZ11" i="3"/>
  <c r="DP11" i="3" s="1"/>
  <c r="CH20" i="3"/>
  <c r="CD20" i="3"/>
  <c r="CD16" i="3"/>
  <c r="BZ20" i="3"/>
  <c r="DP20" i="3" s="1"/>
  <c r="CH23" i="3"/>
  <c r="CD23" i="3"/>
  <c r="BV16" i="3"/>
  <c r="DL16" i="3" s="1"/>
  <c r="BV24" i="3"/>
  <c r="DL24" i="3" s="1"/>
  <c r="BV26" i="3"/>
  <c r="DL26" i="3" s="1"/>
  <c r="BV20" i="3"/>
  <c r="DL20" i="3" s="1"/>
  <c r="BZ24" i="3"/>
  <c r="DP24" i="3" s="1"/>
  <c r="CH22" i="3"/>
  <c r="CD24" i="3"/>
  <c r="CD22" i="3"/>
  <c r="BU15" i="3"/>
  <c r="DH15" i="3" s="1"/>
  <c r="BV18" i="3"/>
  <c r="DL18" i="3" s="1"/>
  <c r="BV23" i="3"/>
  <c r="DL23" i="3" s="1"/>
  <c r="BV14" i="3"/>
  <c r="DL14" i="3" s="1"/>
  <c r="BV21" i="3"/>
  <c r="DL21" i="3" s="1"/>
  <c r="CH19" i="3"/>
  <c r="BR23" i="3"/>
  <c r="BW26" i="3"/>
  <c r="DJ26" i="3" s="1"/>
  <c r="BR17" i="3"/>
  <c r="BR19" i="3"/>
  <c r="BR24" i="3"/>
  <c r="BR18" i="3"/>
  <c r="BR26" i="3"/>
  <c r="CJ24" i="3"/>
  <c r="BU27" i="3"/>
  <c r="DH27" i="3" s="1"/>
  <c r="CB23" i="3"/>
  <c r="BZ23" i="3"/>
  <c r="DP23" i="3" s="1"/>
  <c r="BS23" i="3"/>
  <c r="BZ25" i="3"/>
  <c r="DP25" i="3" s="1"/>
  <c r="BZ21" i="3"/>
  <c r="DP21" i="3" s="1"/>
  <c r="BS21" i="3"/>
  <c r="CB26" i="3"/>
  <c r="BV13" i="3"/>
  <c r="DL13" i="3" s="1"/>
  <c r="CA23" i="3"/>
  <c r="DK23" i="3" s="1"/>
  <c r="CB24" i="3"/>
  <c r="BU20" i="3"/>
  <c r="DH20" i="3" s="1"/>
  <c r="BW22" i="3"/>
  <c r="DJ22" i="3" s="1"/>
  <c r="BQ24" i="3"/>
  <c r="CD15" i="3"/>
  <c r="BT23" i="3"/>
  <c r="CB25" i="3"/>
  <c r="BW25" i="3"/>
  <c r="DJ25" i="3" s="1"/>
  <c r="BU23" i="3"/>
  <c r="DH23" i="3" s="1"/>
  <c r="CN16" i="3"/>
  <c r="DG16" i="3" s="1"/>
  <c r="BO24" i="3"/>
  <c r="DM24" i="3" s="1"/>
  <c r="CG26" i="3"/>
  <c r="CD14" i="3"/>
  <c r="BT12" i="3"/>
  <c r="DT12" i="3" s="1"/>
  <c r="BU21" i="3"/>
  <c r="DH21" i="3" s="1"/>
  <c r="BU19" i="3"/>
  <c r="DH19" i="3" s="1"/>
  <c r="BY26" i="3"/>
  <c r="DN26" i="3" s="1"/>
  <c r="BU22" i="3"/>
  <c r="DH22" i="3" s="1"/>
  <c r="BU25" i="3"/>
  <c r="DH25" i="3" s="1"/>
  <c r="BS26" i="3"/>
  <c r="CF16" i="3"/>
  <c r="BU14" i="3"/>
  <c r="DH14" i="3" s="1"/>
  <c r="BU18" i="3"/>
  <c r="DH18" i="3" s="1"/>
  <c r="CJ25" i="3"/>
  <c r="CG25" i="3"/>
  <c r="BT26" i="3"/>
  <c r="DS26" i="3" s="1"/>
  <c r="CD13" i="3"/>
  <c r="CJ26" i="3"/>
  <c r="BP17" i="3"/>
  <c r="CO27" i="3"/>
  <c r="BP27" i="3"/>
  <c r="CC27" i="3"/>
  <c r="CK2" i="3"/>
  <c r="BS9" i="3"/>
  <c r="CK13" i="3"/>
  <c r="BT16" i="3"/>
  <c r="DS16" i="3" s="1"/>
  <c r="BQ5" i="3"/>
  <c r="CP6" i="3"/>
  <c r="BO21" i="3"/>
  <c r="DM21" i="3" s="1"/>
  <c r="BR14" i="3"/>
  <c r="BU16" i="3"/>
  <c r="DH16" i="3" s="1"/>
  <c r="CN5" i="3"/>
  <c r="CN23" i="3"/>
  <c r="DG23" i="3" s="1"/>
  <c r="CK5" i="3"/>
  <c r="CK23" i="3"/>
  <c r="BS14" i="3"/>
  <c r="BS11" i="3"/>
  <c r="CK7" i="3"/>
  <c r="CK8" i="3"/>
  <c r="CA19" i="3"/>
  <c r="DK19" i="3" s="1"/>
  <c r="CF19" i="3"/>
  <c r="BQ3" i="3"/>
  <c r="CL17" i="3"/>
  <c r="BV8" i="3"/>
  <c r="DL8" i="3" s="1"/>
  <c r="BU7" i="3"/>
  <c r="DH7" i="3" s="1"/>
  <c r="BQ17" i="3"/>
  <c r="CA25" i="3"/>
  <c r="DK25" i="3" s="1"/>
  <c r="CK18" i="3"/>
  <c r="CA17" i="3"/>
  <c r="DK17" i="3" s="1"/>
  <c r="CA14" i="3"/>
  <c r="DK14" i="3" s="1"/>
  <c r="CM25" i="3"/>
  <c r="CK15" i="3"/>
  <c r="CN22" i="3"/>
  <c r="CM23" i="3"/>
  <c r="CK25" i="3"/>
  <c r="CK9" i="3"/>
  <c r="CK22" i="3"/>
  <c r="CK6" i="3"/>
  <c r="CN4" i="3"/>
  <c r="CN9" i="3"/>
  <c r="CK20" i="3"/>
  <c r="CK27" i="3"/>
  <c r="CN19" i="3"/>
  <c r="CO3" i="3"/>
  <c r="CK17" i="3"/>
  <c r="CK10" i="3"/>
  <c r="CK3" i="3"/>
  <c r="CK26" i="3"/>
  <c r="CO20" i="3"/>
  <c r="CO26" i="3"/>
  <c r="CK12" i="3"/>
  <c r="CK24" i="3"/>
  <c r="CN24" i="3"/>
  <c r="BO23" i="3"/>
  <c r="DM23" i="3" s="1"/>
  <c r="CK11" i="3"/>
  <c r="CK14" i="3"/>
  <c r="CM20" i="3"/>
  <c r="CM15" i="3"/>
  <c r="BS22" i="3"/>
  <c r="BW4" i="3"/>
  <c r="DJ4" i="3" s="1"/>
  <c r="BW20" i="3"/>
  <c r="DJ20" i="3" s="1"/>
  <c r="BW15" i="3"/>
  <c r="DJ15" i="3" s="1"/>
  <c r="CC18" i="3"/>
  <c r="CC22" i="3"/>
  <c r="CF23" i="3"/>
  <c r="CC19" i="3"/>
  <c r="CF5" i="3"/>
  <c r="CE3" i="3"/>
  <c r="CE25" i="3"/>
  <c r="CG15" i="3"/>
  <c r="CF20" i="3"/>
  <c r="CG23" i="3"/>
  <c r="CE12" i="3"/>
  <c r="CC9" i="3"/>
  <c r="CE6" i="3"/>
  <c r="CF10" i="3"/>
  <c r="CM24" i="3"/>
  <c r="CO8" i="3"/>
  <c r="CL19" i="3"/>
  <c r="CL3" i="3"/>
  <c r="CO28" i="3"/>
  <c r="CL11" i="3"/>
  <c r="CN25" i="3"/>
  <c r="CM22" i="3"/>
  <c r="CA26" i="3"/>
  <c r="DK26" i="3" s="1"/>
  <c r="BQ26" i="3"/>
  <c r="CC26" i="3"/>
  <c r="BY11" i="3"/>
  <c r="DN11" i="3" s="1"/>
  <c r="CO19" i="3"/>
  <c r="CL18" i="3"/>
  <c r="CE21" i="3"/>
  <c r="CC3" i="3"/>
  <c r="CA6" i="3"/>
  <c r="DK6" i="3" s="1"/>
  <c r="BR4" i="3"/>
  <c r="BR7" i="3"/>
  <c r="BR2" i="3"/>
  <c r="CA21" i="3"/>
  <c r="DK21" i="3" s="1"/>
  <c r="CA18" i="3"/>
  <c r="DK18" i="3" s="1"/>
  <c r="CJ16" i="3"/>
  <c r="CA10" i="3"/>
  <c r="DK10" i="3" s="1"/>
  <c r="BQ27" i="3"/>
  <c r="CM14" i="3"/>
  <c r="BU12" i="3"/>
  <c r="DH12" i="3" s="1"/>
  <c r="CJ8" i="3"/>
  <c r="CM5" i="3"/>
  <c r="CC12" i="3"/>
  <c r="CA8" i="3"/>
  <c r="DK8" i="3" s="1"/>
  <c r="BU10" i="3"/>
  <c r="DH10" i="3" s="1"/>
  <c r="CC13" i="3"/>
  <c r="CD11" i="3"/>
  <c r="CL2" i="3"/>
  <c r="CC17" i="3"/>
  <c r="CK21" i="3"/>
  <c r="CC24" i="3"/>
  <c r="CC21" i="3"/>
  <c r="BQ25" i="3"/>
  <c r="CC23" i="3"/>
  <c r="CO17" i="3"/>
  <c r="BW21" i="3"/>
  <c r="DJ21" i="3" s="1"/>
  <c r="CA13" i="3"/>
  <c r="DK13" i="3" s="1"/>
  <c r="CE9" i="3"/>
  <c r="CC11" i="3"/>
  <c r="BV12" i="3"/>
  <c r="DL12" i="3" s="1"/>
  <c r="CP5" i="3"/>
  <c r="BV2" i="3"/>
  <c r="DL2" i="3" s="1"/>
  <c r="CC15" i="3"/>
  <c r="CM7" i="3"/>
  <c r="BV5" i="3"/>
  <c r="DL5" i="3" s="1"/>
  <c r="CO25" i="3"/>
  <c r="CA12" i="3"/>
  <c r="DK12" i="3" s="1"/>
  <c r="CA15" i="3"/>
  <c r="DK15" i="3" s="1"/>
  <c r="CI7" i="3"/>
  <c r="DO7" i="3" s="1"/>
  <c r="CC25" i="3"/>
  <c r="CG14" i="3"/>
  <c r="BW14" i="3"/>
  <c r="DJ14" i="3" s="1"/>
  <c r="BU11" i="3"/>
  <c r="DH11" i="3" s="1"/>
  <c r="CC10" i="3"/>
  <c r="CN7" i="3"/>
  <c r="CC4" i="3"/>
  <c r="CK19" i="3"/>
  <c r="CA11" i="3"/>
  <c r="DK11" i="3" s="1"/>
  <c r="CO24" i="3"/>
  <c r="BU5" i="3"/>
  <c r="DH5" i="3" s="1"/>
  <c r="EP28" i="3"/>
  <c r="BW23" i="3"/>
  <c r="DJ23" i="3" s="1"/>
  <c r="CE24" i="3"/>
  <c r="CO22" i="3"/>
  <c r="CA20" i="3"/>
  <c r="CE20" i="3"/>
  <c r="BO14" i="3"/>
  <c r="DM14" i="3" s="1"/>
  <c r="BU13" i="3"/>
  <c r="DH13" i="3" s="1"/>
  <c r="CG21" i="3"/>
  <c r="CC8" i="3"/>
  <c r="CC16" i="3"/>
  <c r="CK4" i="3"/>
  <c r="BU17" i="3"/>
  <c r="DH17" i="3" s="1"/>
  <c r="BW24" i="3"/>
  <c r="DJ24" i="3" s="1"/>
  <c r="CA22" i="3"/>
  <c r="DK22" i="3" s="1"/>
  <c r="CC20" i="3"/>
  <c r="CG16" i="3"/>
  <c r="CO16" i="3"/>
  <c r="CE13" i="3"/>
  <c r="BT3" i="3"/>
  <c r="CG2" i="3"/>
  <c r="BV6" i="3"/>
  <c r="DL6" i="3" s="1"/>
  <c r="CA2" i="3"/>
  <c r="DK2" i="3" s="1"/>
  <c r="CA4" i="3"/>
  <c r="DK4" i="3" s="1"/>
  <c r="BS24" i="3"/>
  <c r="CK16" i="3"/>
  <c r="CL24" i="3"/>
  <c r="CN26" i="3"/>
  <c r="BQ22" i="3"/>
  <c r="BO16" i="3"/>
  <c r="DM16" i="3" s="1"/>
  <c r="CD12" i="3"/>
  <c r="BW16" i="3"/>
  <c r="DJ16" i="3" s="1"/>
  <c r="BV10" i="3"/>
  <c r="DL10" i="3" s="1"/>
  <c r="CL23" i="3"/>
  <c r="CM26" i="3"/>
  <c r="BX2" i="3"/>
  <c r="DR2" i="3" s="1"/>
  <c r="BO26" i="3"/>
  <c r="DM26" i="3" s="1"/>
  <c r="CA9" i="3"/>
  <c r="DK9" i="3" s="1"/>
  <c r="BS8" i="3"/>
  <c r="BS5" i="3"/>
  <c r="BS7" i="3"/>
  <c r="BS4" i="3"/>
  <c r="BS2" i="3"/>
  <c r="BT13" i="3"/>
  <c r="CI6" i="3"/>
  <c r="DO6" i="3" s="1"/>
  <c r="CI4" i="3"/>
  <c r="DO4" i="3" s="1"/>
  <c r="CI2" i="3"/>
  <c r="DO2" i="3" s="1"/>
  <c r="CI3" i="3"/>
  <c r="DO3" i="3" s="1"/>
  <c r="CI5" i="3"/>
  <c r="DO5" i="3" s="1"/>
  <c r="CH17" i="3"/>
  <c r="CH16" i="3"/>
  <c r="CH2" i="3"/>
  <c r="CH14" i="3"/>
  <c r="CH15" i="3"/>
  <c r="CH12" i="3"/>
  <c r="CH13" i="3"/>
  <c r="CH8" i="3"/>
  <c r="CH7" i="3"/>
  <c r="CH11" i="3"/>
  <c r="DG4" i="3"/>
  <c r="BY5" i="3"/>
  <c r="DN5" i="3" s="1"/>
  <c r="BY3" i="3"/>
  <c r="DN3" i="3" s="1"/>
  <c r="BY4" i="3"/>
  <c r="DN4" i="3" s="1"/>
  <c r="BY2" i="3"/>
  <c r="DN2" i="3" s="1"/>
  <c r="CY30" i="3"/>
  <c r="EQ30" i="3"/>
  <c r="DC30" i="3"/>
  <c r="EU30" i="3"/>
  <c r="DJ34" i="3"/>
  <c r="CV34" i="3"/>
  <c r="BT15" i="3"/>
  <c r="BX10" i="3"/>
  <c r="DR10" i="3" s="1"/>
  <c r="CW35" i="3"/>
  <c r="DG35" i="3"/>
  <c r="EO35" i="3"/>
  <c r="ER35" i="3"/>
  <c r="CV30" i="3"/>
  <c r="BX24" i="3"/>
  <c r="ER30" i="3"/>
  <c r="BQ23" i="3"/>
  <c r="BQ21" i="3"/>
  <c r="BQ16" i="3"/>
  <c r="BQ20" i="3"/>
  <c r="BQ7" i="3"/>
  <c r="BQ19" i="3"/>
  <c r="BQ9" i="3"/>
  <c r="BQ11" i="3"/>
  <c r="BQ12" i="3"/>
  <c r="CH3" i="3"/>
  <c r="CY34" i="3"/>
  <c r="EQ34" i="3"/>
  <c r="EU34" i="3"/>
  <c r="DC34" i="3"/>
  <c r="DB28" i="3"/>
  <c r="ET28" i="3"/>
  <c r="DR27" i="3"/>
  <c r="CB17" i="3"/>
  <c r="CB16" i="3"/>
  <c r="CB13" i="3"/>
  <c r="CB12" i="3"/>
  <c r="CB15" i="3"/>
  <c r="CB3" i="3"/>
  <c r="CB14" i="3"/>
  <c r="BT22" i="3"/>
  <c r="BT20" i="3"/>
  <c r="BT21" i="3"/>
  <c r="BT19" i="3"/>
  <c r="CD7" i="3"/>
  <c r="CD6" i="3"/>
  <c r="CD5" i="3"/>
  <c r="DA34" i="3"/>
  <c r="ES34" i="3"/>
  <c r="DM34" i="3"/>
  <c r="CW34" i="3"/>
  <c r="EO34" i="3"/>
  <c r="CI25" i="3"/>
  <c r="DO25" i="3" s="1"/>
  <c r="CI15" i="3"/>
  <c r="DO15" i="3" s="1"/>
  <c r="CI13" i="3"/>
  <c r="DO13" i="3" s="1"/>
  <c r="CI18" i="3"/>
  <c r="DO18" i="3" s="1"/>
  <c r="CI11" i="3"/>
  <c r="DO11" i="3" s="1"/>
  <c r="CI9" i="3"/>
  <c r="DO9" i="3" s="1"/>
  <c r="CI14" i="3"/>
  <c r="DO14" i="3" s="1"/>
  <c r="CI17" i="3"/>
  <c r="DO17" i="3" s="1"/>
  <c r="CI22" i="3"/>
  <c r="DO22" i="3" s="1"/>
  <c r="CI12" i="3"/>
  <c r="DO12" i="3" s="1"/>
  <c r="CI21" i="3"/>
  <c r="DO21" i="3" s="1"/>
  <c r="CI19" i="3"/>
  <c r="DO19" i="3" s="1"/>
  <c r="CI10" i="3"/>
  <c r="DO10" i="3" s="1"/>
  <c r="CI20" i="3"/>
  <c r="DO20" i="3" s="1"/>
  <c r="ET31" i="3"/>
  <c r="CX31" i="3"/>
  <c r="DB31" i="3"/>
  <c r="CI16" i="3"/>
  <c r="DO16" i="3" s="1"/>
  <c r="BX15" i="3"/>
  <c r="DR15" i="3" s="1"/>
  <c r="BQ6" i="3"/>
  <c r="BT4" i="3"/>
  <c r="DG36" i="3"/>
  <c r="CW36" i="3"/>
  <c r="EO36" i="3"/>
  <c r="DB30" i="3"/>
  <c r="ET30" i="3"/>
  <c r="BZ17" i="3"/>
  <c r="DP17" i="3" s="1"/>
  <c r="BZ4" i="3"/>
  <c r="DP4" i="3" s="1"/>
  <c r="BZ7" i="3"/>
  <c r="DP7" i="3" s="1"/>
  <c r="BZ10" i="3"/>
  <c r="DP10" i="3" s="1"/>
  <c r="BZ3" i="3"/>
  <c r="DP3" i="3" s="1"/>
  <c r="BZ9" i="3"/>
  <c r="DP9" i="3" s="1"/>
  <c r="BZ12" i="3"/>
  <c r="DP12" i="3" s="1"/>
  <c r="BZ13" i="3"/>
  <c r="DP13" i="3" s="1"/>
  <c r="BZ5" i="3"/>
  <c r="DP5" i="3" s="1"/>
  <c r="BZ6" i="3"/>
  <c r="DP6" i="3" s="1"/>
  <c r="BZ14" i="3"/>
  <c r="DP14" i="3" s="1"/>
  <c r="BZ2" i="3"/>
  <c r="DP2" i="3" s="1"/>
  <c r="BZ16" i="3"/>
  <c r="DP16" i="3" s="1"/>
  <c r="BP26" i="3"/>
  <c r="BP6" i="3"/>
  <c r="BP11" i="3"/>
  <c r="BP20" i="3"/>
  <c r="BP24" i="3"/>
  <c r="BP8" i="3"/>
  <c r="BP21" i="3"/>
  <c r="BP9" i="3"/>
  <c r="BP25" i="3"/>
  <c r="BP22" i="3"/>
  <c r="BP10" i="3"/>
  <c r="BP14" i="3"/>
  <c r="BP12" i="3"/>
  <c r="BP23" i="3"/>
  <c r="BP15" i="3"/>
  <c r="BP16" i="3"/>
  <c r="BP13" i="3"/>
  <c r="BP4" i="3"/>
  <c r="BP19" i="3"/>
  <c r="BP18" i="3"/>
  <c r="DC32" i="3"/>
  <c r="EU32" i="3"/>
  <c r="ES32" i="3"/>
  <c r="CV31" i="3"/>
  <c r="EN31" i="3"/>
  <c r="DT31" i="3"/>
  <c r="DS31" i="3"/>
  <c r="DA36" i="3"/>
  <c r="ES36" i="3"/>
  <c r="EU31" i="3"/>
  <c r="ER32" i="3"/>
  <c r="CZ32" i="3"/>
  <c r="EQ33" i="3"/>
  <c r="EP36" i="3"/>
  <c r="CZ34" i="3"/>
  <c r="ER34" i="3"/>
  <c r="EO32" i="3"/>
  <c r="CI23" i="3"/>
  <c r="DO23" i="3" s="1"/>
  <c r="BY14" i="3"/>
  <c r="DN14" i="3" s="1"/>
  <c r="CJ14" i="3"/>
  <c r="CB6" i="3"/>
  <c r="BP3" i="3"/>
  <c r="BP2" i="3"/>
  <c r="BZ8" i="3"/>
  <c r="DP8" i="3" s="1"/>
  <c r="CB2" i="3"/>
  <c r="DC36" i="3"/>
  <c r="EU36" i="3"/>
  <c r="CB22" i="3"/>
  <c r="CB19" i="3"/>
  <c r="CB20" i="3"/>
  <c r="CB21" i="3"/>
  <c r="CY35" i="3"/>
  <c r="EQ35" i="3"/>
  <c r="DC28" i="3"/>
  <c r="EU28" i="3"/>
  <c r="ES28" i="3"/>
  <c r="DA28" i="3"/>
  <c r="CD4" i="3"/>
  <c r="CD3" i="3"/>
  <c r="CD2" i="3"/>
  <c r="BY23" i="3"/>
  <c r="DN23" i="3" s="1"/>
  <c r="BY7" i="3"/>
  <c r="DN7" i="3" s="1"/>
  <c r="BY6" i="3"/>
  <c r="DN6" i="3" s="1"/>
  <c r="BY22" i="3"/>
  <c r="DN22" i="3" s="1"/>
  <c r="BY20" i="3"/>
  <c r="DN20" i="3" s="1"/>
  <c r="BY10" i="3"/>
  <c r="DN10" i="3" s="1"/>
  <c r="BY19" i="3"/>
  <c r="DN19" i="3" s="1"/>
  <c r="BY21" i="3"/>
  <c r="DN21" i="3" s="1"/>
  <c r="ER28" i="3"/>
  <c r="CZ28" i="3"/>
  <c r="DM30" i="3"/>
  <c r="DA30" i="3"/>
  <c r="ES30" i="3"/>
  <c r="DI37" i="3"/>
  <c r="CY37" i="3"/>
  <c r="EQ37" i="3"/>
  <c r="CW37" i="3"/>
  <c r="EN30" i="3"/>
  <c r="CV32" i="3"/>
  <c r="EN32" i="3"/>
  <c r="DT32" i="3"/>
  <c r="DS32" i="3"/>
  <c r="CV37" i="3"/>
  <c r="DJ33" i="3"/>
  <c r="EN33" i="3"/>
  <c r="EP30" i="3"/>
  <c r="CX30" i="3"/>
  <c r="CW32" i="3"/>
  <c r="BQ13" i="3"/>
  <c r="BX26" i="3"/>
  <c r="DR26" i="3" s="1"/>
  <c r="BX17" i="3"/>
  <c r="DR17" i="3" s="1"/>
  <c r="BX12" i="3"/>
  <c r="DR12" i="3" s="1"/>
  <c r="BX13" i="3"/>
  <c r="DR13" i="3" s="1"/>
  <c r="BX8" i="3"/>
  <c r="DR8" i="3" s="1"/>
  <c r="BX20" i="3"/>
  <c r="DR20" i="3" s="1"/>
  <c r="BX21" i="3"/>
  <c r="DR21" i="3" s="1"/>
  <c r="BX18" i="3"/>
  <c r="DR18" i="3" s="1"/>
  <c r="BX9" i="3"/>
  <c r="DR9" i="3" s="1"/>
  <c r="BX23" i="3"/>
  <c r="DR23" i="3" s="1"/>
  <c r="BX19" i="3"/>
  <c r="DR19" i="3" s="1"/>
  <c r="BX25" i="3"/>
  <c r="DR25" i="3" s="1"/>
  <c r="BX22" i="3"/>
  <c r="DR22" i="3" s="1"/>
  <c r="BX14" i="3"/>
  <c r="DR14" i="3" s="1"/>
  <c r="BX11" i="3"/>
  <c r="DR11" i="3" s="1"/>
  <c r="BX16" i="3"/>
  <c r="DR16" i="3" s="1"/>
  <c r="CI24" i="3"/>
  <c r="DO24" i="3" s="1"/>
  <c r="CJ18" i="3"/>
  <c r="CJ15" i="3"/>
  <c r="EP31" i="3"/>
  <c r="BZ15" i="3"/>
  <c r="DP15" i="3" s="1"/>
  <c r="BY12" i="3"/>
  <c r="DN12" i="3" s="1"/>
  <c r="BP5" i="3"/>
  <c r="BY9" i="3"/>
  <c r="DN9" i="3" s="1"/>
  <c r="CJ3" i="3"/>
  <c r="DR35" i="3"/>
  <c r="DC35" i="3"/>
  <c r="DB32" i="3"/>
  <c r="ET32" i="3"/>
  <c r="EU35" i="3"/>
  <c r="ER33" i="3"/>
  <c r="EN28" i="3"/>
  <c r="CY36" i="3"/>
  <c r="DC31" i="3"/>
  <c r="EN36" i="3"/>
  <c r="ES33" i="3"/>
  <c r="DY33" i="3" s="1"/>
  <c r="DM33" i="3"/>
  <c r="DA33" i="3"/>
  <c r="BO25" i="3"/>
  <c r="BS20" i="3"/>
  <c r="BS15" i="3"/>
  <c r="CG19" i="3"/>
  <c r="BO20" i="3"/>
  <c r="CB18" i="3"/>
  <c r="BY16" i="3"/>
  <c r="DN16" i="3" s="1"/>
  <c r="BQ15" i="3"/>
  <c r="BR13" i="3"/>
  <c r="CB11" i="3"/>
  <c r="CF13" i="3"/>
  <c r="CE10" i="3"/>
  <c r="BO13" i="3"/>
  <c r="CP14" i="3"/>
  <c r="CF7" i="3"/>
  <c r="CF6" i="3"/>
  <c r="CN14" i="3"/>
  <c r="CD10" i="3"/>
  <c r="BO12" i="3"/>
  <c r="CJ5" i="3"/>
  <c r="BR11" i="3"/>
  <c r="CA5" i="3"/>
  <c r="CB8" i="3"/>
  <c r="BR15" i="3"/>
  <c r="CP10" i="3"/>
  <c r="CE8" i="3"/>
  <c r="CF4" i="3"/>
  <c r="CM11" i="3"/>
  <c r="BY8" i="3"/>
  <c r="DN8" i="3" s="1"/>
  <c r="CJ9" i="3"/>
  <c r="CJ7" i="3"/>
  <c r="BR6" i="3"/>
  <c r="CG3" i="3"/>
  <c r="CP2" i="3"/>
  <c r="CM6" i="3"/>
  <c r="CL8" i="3"/>
  <c r="BU4" i="3"/>
  <c r="DH4" i="3" s="1"/>
  <c r="BU8" i="3"/>
  <c r="DH8" i="3" s="1"/>
  <c r="CJ6" i="3"/>
  <c r="CJ2" i="3"/>
  <c r="CX33" i="3"/>
  <c r="DB37" i="3"/>
  <c r="ET37" i="3"/>
  <c r="CV28" i="3"/>
  <c r="EN35" i="3"/>
  <c r="DK29" i="3"/>
  <c r="CZ29" i="3"/>
  <c r="ER29" i="3"/>
  <c r="DY29" i="3" s="1"/>
  <c r="CF22" i="3"/>
  <c r="CF25" i="3"/>
  <c r="EP29" i="3"/>
  <c r="CX29" i="3"/>
  <c r="CO18" i="3"/>
  <c r="CO10" i="3"/>
  <c r="CM27" i="3"/>
  <c r="CM19" i="3"/>
  <c r="BT17" i="3"/>
  <c r="CL21" i="3"/>
  <c r="CM17" i="3"/>
  <c r="BS17" i="3"/>
  <c r="BT11" i="3"/>
  <c r="BT9" i="3"/>
  <c r="BT10" i="3"/>
  <c r="BW10" i="3"/>
  <c r="DJ10" i="3" s="1"/>
  <c r="CF12" i="3"/>
  <c r="BX7" i="3"/>
  <c r="DR7" i="3" s="1"/>
  <c r="BX6" i="3"/>
  <c r="DR6" i="3" s="1"/>
  <c r="CL9" i="3"/>
  <c r="BR8" i="3"/>
  <c r="CB5" i="3"/>
  <c r="CL10" i="3"/>
  <c r="CL15" i="3"/>
  <c r="CN8" i="3"/>
  <c r="CG4" i="3"/>
  <c r="CH9" i="3"/>
  <c r="CH6" i="3"/>
  <c r="BW8" i="3"/>
  <c r="DJ8" i="3" s="1"/>
  <c r="CN12" i="3"/>
  <c r="CE11" i="3"/>
  <c r="CO7" i="3"/>
  <c r="BR16" i="3"/>
  <c r="CF9" i="3"/>
  <c r="CB7" i="3"/>
  <c r="CC5" i="3"/>
  <c r="CM2" i="3"/>
  <c r="BX4" i="3"/>
  <c r="DR4" i="3" s="1"/>
  <c r="BT6" i="3"/>
  <c r="BW6" i="3"/>
  <c r="DJ6" i="3" s="1"/>
  <c r="BT2" i="3"/>
  <c r="CD8" i="3"/>
  <c r="BR3" i="3"/>
  <c r="CM8" i="3"/>
  <c r="ET36" i="3"/>
  <c r="DB36" i="3"/>
  <c r="CV33" i="3"/>
  <c r="CX32" i="3"/>
  <c r="DL34" i="3"/>
  <c r="EN34" i="3"/>
  <c r="CX28" i="3"/>
  <c r="CG22" i="3"/>
  <c r="CG18" i="3"/>
  <c r="CG13" i="3"/>
  <c r="CE27" i="3"/>
  <c r="CE22" i="3"/>
  <c r="CE19" i="3"/>
  <c r="CN21" i="3"/>
  <c r="CG17" i="3"/>
  <c r="BT18" i="3"/>
  <c r="CN20" i="3"/>
  <c r="CE17" i="3"/>
  <c r="BS19" i="3"/>
  <c r="CL16" i="3"/>
  <c r="BS16" i="3"/>
  <c r="CE14" i="3"/>
  <c r="BO10" i="3"/>
  <c r="CO15" i="3"/>
  <c r="CM18" i="3"/>
  <c r="CP13" i="3"/>
  <c r="BP7" i="3"/>
  <c r="CE7" i="3"/>
  <c r="BT5" i="3"/>
  <c r="CL14" i="3"/>
  <c r="CB10" i="3"/>
  <c r="CO14" i="3"/>
  <c r="CF8" i="3"/>
  <c r="BV4" i="3"/>
  <c r="DL4" i="3" s="1"/>
  <c r="CH10" i="3"/>
  <c r="BO8" i="3"/>
  <c r="BW11" i="3"/>
  <c r="DJ11" i="3" s="1"/>
  <c r="BV7" i="3"/>
  <c r="DL7" i="3" s="1"/>
  <c r="CP12" i="3"/>
  <c r="BT7" i="3"/>
  <c r="CE2" i="3"/>
  <c r="CN6" i="3"/>
  <c r="BO6" i="3"/>
  <c r="BW5" i="3"/>
  <c r="DJ5" i="3" s="1"/>
  <c r="BU3" i="3"/>
  <c r="DH3" i="3" s="1"/>
  <c r="CA7" i="3"/>
  <c r="BR10" i="3"/>
  <c r="CL13" i="3"/>
  <c r="CL12" i="3"/>
  <c r="CJ11" i="3"/>
  <c r="CJ10" i="3"/>
  <c r="CM10" i="3"/>
  <c r="CM9" i="3"/>
  <c r="CY32" i="3"/>
  <c r="EQ32" i="3"/>
  <c r="ES31" i="3"/>
  <c r="CV36" i="3"/>
  <c r="EN37" i="3"/>
  <c r="CF24" i="3"/>
  <c r="BY18" i="3"/>
  <c r="DN18" i="3" s="1"/>
  <c r="CE23" i="3"/>
  <c r="BW27" i="3"/>
  <c r="BW19" i="3"/>
  <c r="DJ19" i="3" s="1"/>
  <c r="BW18" i="3"/>
  <c r="DJ18" i="3" s="1"/>
  <c r="CG20" i="3"/>
  <c r="CM21" i="3"/>
  <c r="CN18" i="3"/>
  <c r="CN17" i="3"/>
  <c r="BW17" i="3"/>
  <c r="DJ17" i="3" s="1"/>
  <c r="CF21" i="3"/>
  <c r="CF18" i="3"/>
  <c r="BT14" i="3"/>
  <c r="BY17" i="3"/>
  <c r="DN17" i="3" s="1"/>
  <c r="CE15" i="3"/>
  <c r="BS12" i="3"/>
  <c r="CG10" i="3"/>
  <c r="BR12" i="3"/>
  <c r="BY15" i="3"/>
  <c r="DN15" i="3" s="1"/>
  <c r="CE18" i="3"/>
  <c r="BQ10" i="3"/>
  <c r="CC6" i="3"/>
  <c r="CN13" i="3"/>
  <c r="BQ8" i="3"/>
  <c r="CM13" i="3"/>
  <c r="CO6" i="3"/>
  <c r="CL4" i="3"/>
  <c r="BU9" i="3"/>
  <c r="DH9" i="3" s="1"/>
  <c r="BW12" i="3"/>
  <c r="DJ12" i="3" s="1"/>
  <c r="BO9" i="3"/>
  <c r="CN3" i="3"/>
  <c r="CM12" i="3"/>
  <c r="CC14" i="3"/>
  <c r="CP9" i="3"/>
  <c r="BW7" i="3"/>
  <c r="DJ7" i="3" s="1"/>
  <c r="BO7" i="3"/>
  <c r="BO11" i="3"/>
  <c r="BX5" i="3"/>
  <c r="DR5" i="3" s="1"/>
  <c r="BS6" i="3"/>
  <c r="BY13" i="3"/>
  <c r="DN13" i="3" s="1"/>
  <c r="BW2" i="3"/>
  <c r="DJ2" i="3" s="1"/>
  <c r="BW3" i="3"/>
  <c r="DJ3" i="3" s="1"/>
  <c r="CP3" i="3"/>
  <c r="CG5" i="3"/>
  <c r="CM3" i="3"/>
  <c r="CA3" i="3"/>
  <c r="CE5" i="3"/>
  <c r="BQ18" i="3"/>
  <c r="CF26" i="3"/>
  <c r="CF14" i="3"/>
  <c r="CO23" i="3"/>
  <c r="CO21" i="3"/>
  <c r="BO27" i="3"/>
  <c r="BO22" i="3"/>
  <c r="BS18" i="3"/>
  <c r="CF17" i="3"/>
  <c r="CL20" i="3"/>
  <c r="BO17" i="3"/>
  <c r="CM16" i="3"/>
  <c r="CE16" i="3"/>
  <c r="BO15" i="3"/>
  <c r="CB9" i="3"/>
  <c r="CF11" i="3"/>
  <c r="BO19" i="3"/>
  <c r="BS10" i="3"/>
  <c r="CN15" i="3"/>
  <c r="CN10" i="3"/>
  <c r="BO18" i="3"/>
  <c r="CO12" i="3"/>
  <c r="CI8" i="3"/>
  <c r="DO8" i="3" s="1"/>
  <c r="CG7" i="3"/>
  <c r="BW13" i="3"/>
  <c r="DJ13" i="3" s="1"/>
  <c r="CG6" i="3"/>
  <c r="CO13" i="3"/>
  <c r="CG8" i="3"/>
  <c r="CO11" i="3"/>
  <c r="CF3" i="3"/>
  <c r="BW9" i="3"/>
  <c r="DJ9" i="3" s="1"/>
  <c r="CL6" i="3"/>
  <c r="BS13" i="3"/>
  <c r="CO9" i="3"/>
  <c r="BQ4" i="3"/>
  <c r="CN11" i="3"/>
  <c r="CH5" i="3"/>
  <c r="CN2" i="3"/>
  <c r="BO2" i="3"/>
  <c r="BO3" i="3"/>
  <c r="CM4" i="3"/>
  <c r="CC2" i="3"/>
  <c r="BV3" i="3"/>
  <c r="DL3" i="3" s="1"/>
  <c r="CD9" i="3"/>
  <c r="CO5" i="3"/>
  <c r="BQ2" i="3"/>
  <c r="CJ4" i="3"/>
  <c r="BS3" i="3"/>
  <c r="BO5" i="3"/>
  <c r="CH4" i="3"/>
  <c r="ES35" i="3"/>
  <c r="DM35" i="3"/>
  <c r="DA35" i="3"/>
  <c r="EU37" i="3"/>
  <c r="DY37" i="3" s="1"/>
  <c r="DC37" i="3"/>
  <c r="EO31" i="3"/>
  <c r="DG31" i="3"/>
  <c r="CW31" i="3"/>
  <c r="DA37" i="3"/>
  <c r="CW30" i="3"/>
  <c r="CJ22" i="3"/>
  <c r="CJ19" i="3"/>
  <c r="CJ20" i="3"/>
  <c r="CP17" i="3"/>
  <c r="CP11" i="3"/>
  <c r="CP4" i="3"/>
  <c r="CP16" i="3"/>
  <c r="CP7" i="3"/>
  <c r="CJ17" i="3"/>
  <c r="CJ12" i="3"/>
  <c r="CJ21" i="3"/>
  <c r="CP15" i="3"/>
  <c r="CF15" i="3"/>
  <c r="CG12" i="3"/>
  <c r="CG11" i="3"/>
  <c r="BX3" i="3"/>
  <c r="DR3" i="3" s="1"/>
  <c r="CJ13" i="3"/>
  <c r="BR9" i="3"/>
  <c r="CG9" i="3"/>
  <c r="CC7" i="3"/>
  <c r="BQ14" i="3"/>
  <c r="BV11" i="3"/>
  <c r="DL11" i="3" s="1"/>
  <c r="BV9" i="3"/>
  <c r="DL9" i="3" s="1"/>
  <c r="BT8" i="3"/>
  <c r="CO4" i="3"/>
  <c r="CL7" i="3"/>
  <c r="CF2" i="3"/>
  <c r="BO4" i="3"/>
  <c r="CE4" i="3"/>
  <c r="BU2" i="3"/>
  <c r="DH2" i="3" s="1"/>
  <c r="CO2" i="3"/>
  <c r="CL5" i="3"/>
  <c r="CB4" i="3"/>
  <c r="ET5" i="4" l="1"/>
  <c r="EN17" i="4"/>
  <c r="EN21" i="4"/>
  <c r="DC23" i="4"/>
  <c r="ES26" i="4"/>
  <c r="ER23" i="4"/>
  <c r="DC21" i="4"/>
  <c r="DA16" i="4"/>
  <c r="DS26" i="4"/>
  <c r="DB13" i="4"/>
  <c r="CZ20" i="4"/>
  <c r="ES22" i="4"/>
  <c r="CZ3" i="4"/>
  <c r="CV10" i="4"/>
  <c r="EQ26" i="4"/>
  <c r="CZ8" i="4"/>
  <c r="CY21" i="4"/>
  <c r="EP17" i="4"/>
  <c r="DC9" i="4"/>
  <c r="DA24" i="4"/>
  <c r="DA23" i="4"/>
  <c r="CW17" i="4"/>
  <c r="ET10" i="4"/>
  <c r="CX2" i="4"/>
  <c r="CX6" i="4"/>
  <c r="EP6" i="4"/>
  <c r="ER16" i="4"/>
  <c r="CZ16" i="4"/>
  <c r="DK16" i="4"/>
  <c r="ER4" i="4"/>
  <c r="DK4" i="4"/>
  <c r="CZ4" i="4"/>
  <c r="EN4" i="4"/>
  <c r="CV4" i="4"/>
  <c r="DT4" i="4"/>
  <c r="DS4" i="4"/>
  <c r="DS14" i="4"/>
  <c r="EN14" i="4"/>
  <c r="CV14" i="4"/>
  <c r="DT14" i="4"/>
  <c r="CV17" i="4"/>
  <c r="DB14" i="4"/>
  <c r="ET14" i="4"/>
  <c r="ER19" i="4"/>
  <c r="DK19" i="4"/>
  <c r="CZ19" i="4"/>
  <c r="EQ11" i="4"/>
  <c r="CY11" i="4"/>
  <c r="ER15" i="4"/>
  <c r="DB23" i="4"/>
  <c r="EP23" i="4"/>
  <c r="CX23" i="4"/>
  <c r="CY5" i="4"/>
  <c r="EO20" i="4"/>
  <c r="ET21" i="4"/>
  <c r="CZ21" i="4"/>
  <c r="DK21" i="4"/>
  <c r="ER21" i="4"/>
  <c r="CV20" i="4"/>
  <c r="EN20" i="4"/>
  <c r="DT20" i="4"/>
  <c r="DS20" i="4"/>
  <c r="DQ26" i="4"/>
  <c r="DC26" i="4"/>
  <c r="EU26" i="4"/>
  <c r="CW26" i="4"/>
  <c r="EO26" i="4"/>
  <c r="DY26" i="4" s="1"/>
  <c r="ET13" i="4"/>
  <c r="EO3" i="4"/>
  <c r="EP2" i="4"/>
  <c r="EN2" i="4"/>
  <c r="CY24" i="4"/>
  <c r="EU7" i="4"/>
  <c r="DC7" i="4"/>
  <c r="EO7" i="4"/>
  <c r="DB8" i="4"/>
  <c r="ET8" i="4"/>
  <c r="DK18" i="4"/>
  <c r="CZ18" i="4"/>
  <c r="ER18" i="4"/>
  <c r="EN10" i="4"/>
  <c r="EQ12" i="4"/>
  <c r="CY12" i="4"/>
  <c r="DK17" i="4"/>
  <c r="ER17" i="4"/>
  <c r="CZ17" i="4"/>
  <c r="ET2" i="4"/>
  <c r="DB2" i="4"/>
  <c r="CV16" i="4"/>
  <c r="DS16" i="4"/>
  <c r="DT16" i="4"/>
  <c r="EN16" i="4"/>
  <c r="DI19" i="4"/>
  <c r="CY19" i="4"/>
  <c r="EQ19" i="4"/>
  <c r="EO17" i="4"/>
  <c r="DY17" i="4" s="1"/>
  <c r="DK2" i="4"/>
  <c r="CZ2" i="4"/>
  <c r="ER2" i="4"/>
  <c r="EO4" i="4"/>
  <c r="DY4" i="4" s="1"/>
  <c r="CW4" i="4"/>
  <c r="DG4" i="4"/>
  <c r="CY26" i="4"/>
  <c r="DK7" i="4"/>
  <c r="ER7" i="4"/>
  <c r="CZ7" i="4"/>
  <c r="DT11" i="4"/>
  <c r="DS11" i="4"/>
  <c r="EN11" i="4"/>
  <c r="CV11" i="4"/>
  <c r="ER12" i="4"/>
  <c r="DB19" i="4"/>
  <c r="ET19" i="4"/>
  <c r="CY23" i="4"/>
  <c r="CY7" i="4"/>
  <c r="CY2" i="4"/>
  <c r="EQ2" i="4"/>
  <c r="CY20" i="4"/>
  <c r="CV27" i="4"/>
  <c r="DT27" i="4"/>
  <c r="DS27" i="4"/>
  <c r="EN27" i="4"/>
  <c r="EO27" i="4"/>
  <c r="DY27" i="4" s="1"/>
  <c r="EO12" i="4"/>
  <c r="DY12" i="4" s="1"/>
  <c r="ES3" i="4"/>
  <c r="DM3" i="4"/>
  <c r="DA3" i="4"/>
  <c r="CW7" i="4"/>
  <c r="EN8" i="4"/>
  <c r="DT8" i="4"/>
  <c r="DS8" i="4"/>
  <c r="CV8" i="4"/>
  <c r="EU18" i="4"/>
  <c r="DC18" i="4"/>
  <c r="DA18" i="4"/>
  <c r="ES18" i="4"/>
  <c r="CY15" i="4"/>
  <c r="EQ15" i="4"/>
  <c r="DB6" i="4"/>
  <c r="ET6" i="4"/>
  <c r="ES12" i="4"/>
  <c r="DM12" i="4"/>
  <c r="DA12" i="4"/>
  <c r="DY30" i="4"/>
  <c r="ER20" i="4"/>
  <c r="DA7" i="4"/>
  <c r="DM7" i="4"/>
  <c r="ES7" i="4"/>
  <c r="EP13" i="4"/>
  <c r="CX13" i="4"/>
  <c r="EO18" i="4"/>
  <c r="DT6" i="4"/>
  <c r="DS6" i="4"/>
  <c r="CV6" i="4"/>
  <c r="EN6" i="4"/>
  <c r="DK14" i="4"/>
  <c r="CZ14" i="4"/>
  <c r="ER14" i="4"/>
  <c r="ER11" i="4"/>
  <c r="CZ11" i="4"/>
  <c r="DK11" i="4"/>
  <c r="DC17" i="4"/>
  <c r="EU17" i="4"/>
  <c r="DA17" i="4"/>
  <c r="ES17" i="4"/>
  <c r="DB22" i="4"/>
  <c r="ER5" i="4"/>
  <c r="CZ5" i="4"/>
  <c r="DK5" i="4"/>
  <c r="DS25" i="4"/>
  <c r="CV25" i="4"/>
  <c r="DT25" i="4"/>
  <c r="EN25" i="4"/>
  <c r="ES16" i="4"/>
  <c r="EN26" i="4"/>
  <c r="CZ10" i="4"/>
  <c r="DK10" i="4"/>
  <c r="ER10" i="4"/>
  <c r="EN13" i="4"/>
  <c r="DT13" i="4"/>
  <c r="DS13" i="4"/>
  <c r="CV13" i="4"/>
  <c r="EQ20" i="4"/>
  <c r="EQ24" i="4"/>
  <c r="CW12" i="4"/>
  <c r="CV7" i="4"/>
  <c r="CV15" i="4"/>
  <c r="DA10" i="4"/>
  <c r="DM10" i="4"/>
  <c r="ES10" i="4"/>
  <c r="DC22" i="4"/>
  <c r="EU22" i="4"/>
  <c r="EU2" i="4"/>
  <c r="DC2" i="4"/>
  <c r="EQ4" i="4"/>
  <c r="CY4" i="4"/>
  <c r="DC14" i="4"/>
  <c r="DM4" i="4"/>
  <c r="DA4" i="4"/>
  <c r="ES4" i="4"/>
  <c r="ET18" i="4"/>
  <c r="DB18" i="4"/>
  <c r="ET7" i="4"/>
  <c r="DB7" i="4"/>
  <c r="EO10" i="4"/>
  <c r="DI9" i="4"/>
  <c r="CW9" i="4"/>
  <c r="EO9" i="4"/>
  <c r="CW18" i="4"/>
  <c r="EQ6" i="4"/>
  <c r="CY6" i="4"/>
  <c r="EP7" i="4"/>
  <c r="CX7" i="4"/>
  <c r="ER3" i="4"/>
  <c r="ES2" i="4"/>
  <c r="DA2" i="4"/>
  <c r="DM2" i="4"/>
  <c r="ES9" i="4"/>
  <c r="DA9" i="4"/>
  <c r="DM9" i="4"/>
  <c r="DC19" i="4"/>
  <c r="EU19" i="4"/>
  <c r="ES19" i="4"/>
  <c r="DA19" i="4"/>
  <c r="CV26" i="4"/>
  <c r="DB10" i="4"/>
  <c r="CW5" i="4"/>
  <c r="EO5" i="4"/>
  <c r="DY5" i="4" s="1"/>
  <c r="DG5" i="4"/>
  <c r="DI13" i="4"/>
  <c r="EO13" i="4"/>
  <c r="CW13" i="4"/>
  <c r="DC13" i="4"/>
  <c r="EU13" i="4"/>
  <c r="EP22" i="4"/>
  <c r="CX22" i="4"/>
  <c r="EO24" i="4"/>
  <c r="DY24" i="4" s="1"/>
  <c r="DC6" i="4"/>
  <c r="EN7" i="4"/>
  <c r="EN15" i="4"/>
  <c r="CX14" i="4"/>
  <c r="EP14" i="4"/>
  <c r="DC3" i="4"/>
  <c r="EU3" i="4"/>
  <c r="EU14" i="4"/>
  <c r="EU11" i="4"/>
  <c r="DC11" i="4"/>
  <c r="DK9" i="4"/>
  <c r="CZ9" i="4"/>
  <c r="ER9" i="4"/>
  <c r="ET11" i="4"/>
  <c r="DB11" i="4"/>
  <c r="CW10" i="4"/>
  <c r="DI11" i="4"/>
  <c r="CW11" i="4"/>
  <c r="EO11" i="4"/>
  <c r="DY11" i="4" s="1"/>
  <c r="CX20" i="4"/>
  <c r="EP20" i="4"/>
  <c r="CY8" i="4"/>
  <c r="EQ8" i="4"/>
  <c r="DQ21" i="4"/>
  <c r="CW21" i="4"/>
  <c r="EQ18" i="4"/>
  <c r="CY3" i="4"/>
  <c r="EQ3" i="4"/>
  <c r="DM8" i="4"/>
  <c r="DA8" i="4"/>
  <c r="ES8" i="4"/>
  <c r="DI15" i="4"/>
  <c r="CW15" i="4"/>
  <c r="EO15" i="4"/>
  <c r="DY15" i="4" s="1"/>
  <c r="DC20" i="4"/>
  <c r="EU20" i="4"/>
  <c r="DA20" i="4"/>
  <c r="ES20" i="4"/>
  <c r="DB9" i="4"/>
  <c r="ET9" i="4"/>
  <c r="EU6" i="4"/>
  <c r="DB5" i="4"/>
  <c r="EU9" i="4"/>
  <c r="ER8" i="4"/>
  <c r="EP4" i="4"/>
  <c r="CX4" i="4"/>
  <c r="CX9" i="4"/>
  <c r="EP9" i="4"/>
  <c r="EN12" i="4"/>
  <c r="DS12" i="4"/>
  <c r="CV12" i="4"/>
  <c r="DT12" i="4"/>
  <c r="CX19" i="4"/>
  <c r="EP19" i="4"/>
  <c r="ES23" i="4"/>
  <c r="ET12" i="4"/>
  <c r="DB12" i="4"/>
  <c r="CX11" i="4"/>
  <c r="DM5" i="4"/>
  <c r="DA5" i="4"/>
  <c r="ES5" i="4"/>
  <c r="DA25" i="4"/>
  <c r="ES25" i="4"/>
  <c r="ER22" i="4"/>
  <c r="CW6" i="4"/>
  <c r="DG6" i="4"/>
  <c r="EO6" i="4"/>
  <c r="DY6" i="4" s="1"/>
  <c r="EP15" i="4"/>
  <c r="CX15" i="4"/>
  <c r="CX21" i="4"/>
  <c r="EP21" i="4"/>
  <c r="DY21" i="4" s="1"/>
  <c r="ET15" i="4"/>
  <c r="DB15" i="4"/>
  <c r="EO16" i="4"/>
  <c r="DQ25" i="4"/>
  <c r="DC25" i="4"/>
  <c r="EO25" i="4"/>
  <c r="DY25" i="4" s="1"/>
  <c r="EU25" i="4"/>
  <c r="CY18" i="4"/>
  <c r="DB4" i="4"/>
  <c r="ET4" i="4"/>
  <c r="ET16" i="4"/>
  <c r="DB16" i="4"/>
  <c r="EN24" i="4"/>
  <c r="DS24" i="4"/>
  <c r="DT24" i="4"/>
  <c r="CV24" i="4"/>
  <c r="CW27" i="4"/>
  <c r="EP12" i="4"/>
  <c r="DS3" i="4"/>
  <c r="EN3" i="4"/>
  <c r="DT3" i="4"/>
  <c r="CV3" i="4"/>
  <c r="DC12" i="4"/>
  <c r="EU12" i="4"/>
  <c r="CY17" i="4"/>
  <c r="EQ17" i="4"/>
  <c r="DI14" i="4"/>
  <c r="CW14" i="4"/>
  <c r="EO14" i="4"/>
  <c r="DY14" i="4" s="1"/>
  <c r="DC4" i="4"/>
  <c r="EU4" i="4"/>
  <c r="CX5" i="4"/>
  <c r="EP5" i="4"/>
  <c r="DB3" i="4"/>
  <c r="ET3" i="4"/>
  <c r="DK13" i="4"/>
  <c r="CZ13" i="4"/>
  <c r="ER13" i="4"/>
  <c r="EP18" i="4"/>
  <c r="EQ13" i="4"/>
  <c r="CY13" i="4"/>
  <c r="EU10" i="4"/>
  <c r="DC10" i="4"/>
  <c r="ES21" i="4"/>
  <c r="DA21" i="4"/>
  <c r="EN18" i="4"/>
  <c r="CZ22" i="4"/>
  <c r="CW8" i="4"/>
  <c r="EO8" i="4"/>
  <c r="DG8" i="4"/>
  <c r="CW16" i="4"/>
  <c r="DM13" i="4"/>
  <c r="DA13" i="4"/>
  <c r="ES13" i="4"/>
  <c r="ET25" i="4"/>
  <c r="CY25" i="4"/>
  <c r="DB25" i="4"/>
  <c r="DA11" i="4"/>
  <c r="ES11" i="4"/>
  <c r="DM11" i="4"/>
  <c r="EU16" i="4"/>
  <c r="DC16" i="4"/>
  <c r="CX16" i="4"/>
  <c r="EP16" i="4"/>
  <c r="EN5" i="4"/>
  <c r="DT5" i="4"/>
  <c r="DS5" i="4"/>
  <c r="CV5" i="4"/>
  <c r="ES15" i="4"/>
  <c r="DM15" i="4"/>
  <c r="DA15" i="4"/>
  <c r="CW20" i="4"/>
  <c r="ET22" i="4"/>
  <c r="EQ9" i="4"/>
  <c r="CY9" i="4"/>
  <c r="DB17" i="4"/>
  <c r="ET17" i="4"/>
  <c r="EO19" i="4"/>
  <c r="EQ21" i="4"/>
  <c r="DQ22" i="4"/>
  <c r="CW22" i="4"/>
  <c r="EO22" i="4"/>
  <c r="DY22" i="4" s="1"/>
  <c r="CW3" i="4"/>
  <c r="CY10" i="4"/>
  <c r="EQ10" i="4"/>
  <c r="CY14" i="4"/>
  <c r="EQ14" i="4"/>
  <c r="EO2" i="4"/>
  <c r="CW2" i="4"/>
  <c r="EU5" i="4"/>
  <c r="DC5" i="4"/>
  <c r="CV18" i="4"/>
  <c r="CX3" i="4"/>
  <c r="EP3" i="4"/>
  <c r="EP8" i="4"/>
  <c r="CX8" i="4"/>
  <c r="CV19" i="4"/>
  <c r="EN19" i="4"/>
  <c r="DT19" i="4"/>
  <c r="DS19" i="4"/>
  <c r="ET23" i="4"/>
  <c r="CZ6" i="4"/>
  <c r="DK6" i="4"/>
  <c r="ER6" i="4"/>
  <c r="DC8" i="4"/>
  <c r="EU8" i="4"/>
  <c r="CX10" i="4"/>
  <c r="EP10" i="4"/>
  <c r="EQ5" i="4"/>
  <c r="CV9" i="4"/>
  <c r="EN9" i="4"/>
  <c r="DS9" i="4"/>
  <c r="DT9" i="4"/>
  <c r="DB21" i="4"/>
  <c r="DY23" i="4"/>
  <c r="DM6" i="4"/>
  <c r="ES6" i="4"/>
  <c r="DA6" i="4"/>
  <c r="ES14" i="4"/>
  <c r="DM14" i="4"/>
  <c r="DA14" i="4"/>
  <c r="CW19" i="4"/>
  <c r="DS23" i="4"/>
  <c r="EN23" i="4"/>
  <c r="DT23" i="4"/>
  <c r="CV23" i="4"/>
  <c r="DQ23" i="4"/>
  <c r="CW23" i="4"/>
  <c r="DB26" i="4"/>
  <c r="ET26" i="4"/>
  <c r="DT25" i="3"/>
  <c r="DS24" i="3"/>
  <c r="DI9" i="3"/>
  <c r="DQ11" i="3"/>
  <c r="DI22" i="3"/>
  <c r="DI2" i="3"/>
  <c r="DQ16" i="3"/>
  <c r="DI13" i="3"/>
  <c r="DQ9" i="3"/>
  <c r="DI6" i="3"/>
  <c r="DI24" i="3"/>
  <c r="DI17" i="3"/>
  <c r="DI20" i="3"/>
  <c r="DQ21" i="3"/>
  <c r="DQ20" i="3"/>
  <c r="DG22" i="3"/>
  <c r="DQ19" i="3"/>
  <c r="DQ25" i="3"/>
  <c r="DQ24" i="3"/>
  <c r="DQ5" i="3"/>
  <c r="DI8" i="3"/>
  <c r="DG9" i="3"/>
  <c r="DQ6" i="3"/>
  <c r="DQ22" i="3"/>
  <c r="DQ13" i="3"/>
  <c r="DG7" i="3"/>
  <c r="DI27" i="3"/>
  <c r="DQ4" i="3"/>
  <c r="DQ17" i="3"/>
  <c r="DI12" i="3"/>
  <c r="DI10" i="3"/>
  <c r="DQ14" i="3"/>
  <c r="DI16" i="3"/>
  <c r="DI25" i="3"/>
  <c r="DI19" i="3"/>
  <c r="DI3" i="3"/>
  <c r="DQ2" i="3"/>
  <c r="DI4" i="3"/>
  <c r="DI5" i="3"/>
  <c r="DI11" i="3"/>
  <c r="DI21" i="3"/>
  <c r="DI14" i="3"/>
  <c r="DI15" i="3"/>
  <c r="DI18" i="3"/>
  <c r="DI28" i="3"/>
  <c r="DG19" i="3"/>
  <c r="DG5" i="3"/>
  <c r="DQ18" i="3"/>
  <c r="DQ10" i="3"/>
  <c r="DQ15" i="3"/>
  <c r="DI7" i="3"/>
  <c r="DQ7" i="3"/>
  <c r="DI23" i="3"/>
  <c r="DQ3" i="3"/>
  <c r="DQ12" i="3"/>
  <c r="DI26" i="3"/>
  <c r="DQ8" i="3"/>
  <c r="DQ26" i="3"/>
  <c r="DQ27" i="3"/>
  <c r="EP27" i="3"/>
  <c r="DT26" i="3"/>
  <c r="DT27" i="3"/>
  <c r="EO27" i="3"/>
  <c r="ER24" i="3"/>
  <c r="CY20" i="3"/>
  <c r="ET27" i="3"/>
  <c r="DS12" i="3"/>
  <c r="CZ25" i="3"/>
  <c r="EU27" i="3"/>
  <c r="CX23" i="3"/>
  <c r="DT23" i="3"/>
  <c r="DS23" i="3"/>
  <c r="DT16" i="3"/>
  <c r="CX25" i="3"/>
  <c r="DB27" i="3"/>
  <c r="CZ26" i="3"/>
  <c r="CZ23" i="3"/>
  <c r="EQ20" i="3"/>
  <c r="EQ26" i="3"/>
  <c r="ER20" i="3"/>
  <c r="CX27" i="3"/>
  <c r="ER27" i="3"/>
  <c r="EN24" i="3"/>
  <c r="CY26" i="3"/>
  <c r="EP25" i="3"/>
  <c r="CZ20" i="3"/>
  <c r="DK20" i="3"/>
  <c r="ER19" i="3"/>
  <c r="DA26" i="3"/>
  <c r="CX22" i="3"/>
  <c r="CZ19" i="3"/>
  <c r="CY24" i="3"/>
  <c r="CW24" i="3"/>
  <c r="EO28" i="3"/>
  <c r="DG24" i="3"/>
  <c r="DG25" i="3"/>
  <c r="EQ24" i="3"/>
  <c r="EQ28" i="3"/>
  <c r="CW28" i="3"/>
  <c r="EO19" i="3"/>
  <c r="EO25" i="3"/>
  <c r="ER25" i="3"/>
  <c r="ET15" i="3"/>
  <c r="DA24" i="3"/>
  <c r="EP12" i="3"/>
  <c r="CY25" i="3"/>
  <c r="ER6" i="3"/>
  <c r="DB15" i="3"/>
  <c r="EQ25" i="3"/>
  <c r="ER13" i="3"/>
  <c r="CW25" i="3"/>
  <c r="ET23" i="3"/>
  <c r="CZ13" i="3"/>
  <c r="DB25" i="3"/>
  <c r="CW26" i="3"/>
  <c r="EN3" i="3"/>
  <c r="DB23" i="3"/>
  <c r="CY28" i="3"/>
  <c r="EP9" i="3"/>
  <c r="EP22" i="3"/>
  <c r="ES24" i="3"/>
  <c r="DT3" i="3"/>
  <c r="EP19" i="3"/>
  <c r="EO24" i="3"/>
  <c r="CV26" i="3"/>
  <c r="EQ23" i="3"/>
  <c r="DA23" i="3"/>
  <c r="DS3" i="3"/>
  <c r="CZ4" i="3"/>
  <c r="ET21" i="3"/>
  <c r="CY22" i="3"/>
  <c r="CZ8" i="3"/>
  <c r="DB24" i="3"/>
  <c r="EN26" i="3"/>
  <c r="EP26" i="3"/>
  <c r="EO26" i="3"/>
  <c r="CX26" i="3"/>
  <c r="EP3" i="3"/>
  <c r="EP13" i="3"/>
  <c r="CX18" i="3"/>
  <c r="EQ14" i="3"/>
  <c r="DG26" i="3"/>
  <c r="ER22" i="3"/>
  <c r="ES16" i="3"/>
  <c r="ET14" i="3"/>
  <c r="CY14" i="3"/>
  <c r="CX13" i="3"/>
  <c r="DA16" i="3"/>
  <c r="EU17" i="3"/>
  <c r="CY23" i="3"/>
  <c r="DA21" i="3"/>
  <c r="EP23" i="3"/>
  <c r="CX11" i="3"/>
  <c r="ER17" i="3"/>
  <c r="CW19" i="3"/>
  <c r="ES14" i="3"/>
  <c r="CX19" i="3"/>
  <c r="CX12" i="3"/>
  <c r="CZ6" i="3"/>
  <c r="DC25" i="3"/>
  <c r="CZ24" i="3"/>
  <c r="CX3" i="3"/>
  <c r="EP24" i="3"/>
  <c r="CX24" i="3"/>
  <c r="DB2" i="3"/>
  <c r="CZ2" i="3"/>
  <c r="ES3" i="3"/>
  <c r="DA3" i="3"/>
  <c r="DM3" i="3"/>
  <c r="ER10" i="3"/>
  <c r="CZ10" i="3"/>
  <c r="DC17" i="3"/>
  <c r="CX9" i="3"/>
  <c r="DM2" i="3"/>
  <c r="DA2" i="3"/>
  <c r="ES2" i="3"/>
  <c r="CW14" i="3"/>
  <c r="EO14" i="3"/>
  <c r="DG14" i="3"/>
  <c r="EP2" i="3"/>
  <c r="EU21" i="3"/>
  <c r="DC21" i="3"/>
  <c r="DM4" i="3"/>
  <c r="ES4" i="3"/>
  <c r="DA4" i="3"/>
  <c r="ER8" i="3"/>
  <c r="DC2" i="3"/>
  <c r="EU2" i="3"/>
  <c r="CW2" i="3"/>
  <c r="EO2" i="3"/>
  <c r="DG2" i="3"/>
  <c r="DM15" i="3"/>
  <c r="DA15" i="3"/>
  <c r="ES15" i="3"/>
  <c r="DM17" i="3"/>
  <c r="DA17" i="3"/>
  <c r="ES17" i="3"/>
  <c r="CZ22" i="3"/>
  <c r="DJ27" i="3"/>
  <c r="CV27" i="3"/>
  <c r="CV5" i="3"/>
  <c r="EN5" i="3"/>
  <c r="DT5" i="3"/>
  <c r="DS5" i="3"/>
  <c r="DB17" i="3"/>
  <c r="ET17" i="3"/>
  <c r="EO16" i="3"/>
  <c r="CW8" i="3"/>
  <c r="EO8" i="3"/>
  <c r="DG8" i="3"/>
  <c r="CV17" i="3"/>
  <c r="DT17" i="3"/>
  <c r="EN17" i="3"/>
  <c r="DS17" i="3"/>
  <c r="DC15" i="3"/>
  <c r="EU15" i="3"/>
  <c r="ET2" i="3"/>
  <c r="DC3" i="3"/>
  <c r="DT21" i="3"/>
  <c r="DS21" i="3"/>
  <c r="CV21" i="3"/>
  <c r="EN21" i="3"/>
  <c r="DC12" i="3"/>
  <c r="EU12" i="3"/>
  <c r="DC23" i="3"/>
  <c r="EU23" i="3"/>
  <c r="CZ27" i="3"/>
  <c r="CW5" i="3"/>
  <c r="DB26" i="3"/>
  <c r="CV16" i="3"/>
  <c r="CY17" i="3"/>
  <c r="EQ17" i="3"/>
  <c r="ER11" i="3"/>
  <c r="CZ11" i="3"/>
  <c r="DC14" i="3"/>
  <c r="EU14" i="3"/>
  <c r="EU18" i="3"/>
  <c r="DC18" i="3"/>
  <c r="DT18" i="3"/>
  <c r="CV18" i="3"/>
  <c r="DS18" i="3"/>
  <c r="EN18" i="3"/>
  <c r="ET9" i="3"/>
  <c r="DB9" i="3"/>
  <c r="DM18" i="3"/>
  <c r="DA18" i="3"/>
  <c r="ES18" i="3"/>
  <c r="CX20" i="3"/>
  <c r="EP20" i="3"/>
  <c r="DM22" i="3"/>
  <c r="DA22" i="3"/>
  <c r="ES22" i="3"/>
  <c r="CY13" i="3"/>
  <c r="EQ13" i="3"/>
  <c r="ET10" i="3"/>
  <c r="DB10" i="3"/>
  <c r="DM8" i="3"/>
  <c r="DA8" i="3"/>
  <c r="ES8" i="3"/>
  <c r="CW21" i="3"/>
  <c r="DG21" i="3"/>
  <c r="EO21" i="3"/>
  <c r="CW16" i="3"/>
  <c r="CV6" i="3"/>
  <c r="DT6" i="3"/>
  <c r="DS6" i="3"/>
  <c r="EN6" i="3"/>
  <c r="EP15" i="3"/>
  <c r="CX15" i="3"/>
  <c r="DM25" i="3"/>
  <c r="DA25" i="3"/>
  <c r="ES25" i="3"/>
  <c r="EQ7" i="3"/>
  <c r="EP18" i="3"/>
  <c r="EU22" i="3"/>
  <c r="CV3" i="3"/>
  <c r="ES21" i="3"/>
  <c r="DA14" i="3"/>
  <c r="CV20" i="3"/>
  <c r="EN20" i="3"/>
  <c r="DT20" i="3"/>
  <c r="DS20" i="3"/>
  <c r="ER16" i="3"/>
  <c r="CZ16" i="3"/>
  <c r="DY34" i="3"/>
  <c r="EU11" i="3"/>
  <c r="DC11" i="3"/>
  <c r="DY30" i="3"/>
  <c r="EO4" i="3"/>
  <c r="CX6" i="3"/>
  <c r="EP6" i="3"/>
  <c r="EO20" i="3"/>
  <c r="DG20" i="3"/>
  <c r="CW20" i="3"/>
  <c r="EQ10" i="3"/>
  <c r="CY10" i="3"/>
  <c r="DY36" i="3"/>
  <c r="CX7" i="3"/>
  <c r="EP7" i="3"/>
  <c r="EO11" i="3"/>
  <c r="DG11" i="3"/>
  <c r="CW11" i="3"/>
  <c r="DB8" i="3"/>
  <c r="ET8" i="3"/>
  <c r="EO10" i="3"/>
  <c r="DG10" i="3"/>
  <c r="CW10" i="3"/>
  <c r="EP11" i="3"/>
  <c r="ES27" i="3"/>
  <c r="DA27" i="3"/>
  <c r="DM27" i="3"/>
  <c r="EQ12" i="3"/>
  <c r="CY12" i="3"/>
  <c r="DC8" i="3"/>
  <c r="EU8" i="3"/>
  <c r="CW17" i="3"/>
  <c r="EO17" i="3"/>
  <c r="DG17" i="3"/>
  <c r="EP17" i="3"/>
  <c r="CX17" i="3"/>
  <c r="CW27" i="3"/>
  <c r="DM6" i="3"/>
  <c r="ES6" i="3"/>
  <c r="DA6" i="3"/>
  <c r="EP10" i="3"/>
  <c r="CX10" i="3"/>
  <c r="DT10" i="3"/>
  <c r="CV10" i="3"/>
  <c r="EN10" i="3"/>
  <c r="DS10" i="3"/>
  <c r="DK5" i="3"/>
  <c r="CZ5" i="3"/>
  <c r="ER5" i="3"/>
  <c r="CZ17" i="3"/>
  <c r="EO22" i="3"/>
  <c r="CZ21" i="3"/>
  <c r="ER21" i="3"/>
  <c r="CY7" i="3"/>
  <c r="DC22" i="3"/>
  <c r="DT4" i="3"/>
  <c r="DS4" i="3"/>
  <c r="CV4" i="3"/>
  <c r="EN4" i="3"/>
  <c r="EN27" i="3"/>
  <c r="CV22" i="3"/>
  <c r="EN22" i="3"/>
  <c r="DT22" i="3"/>
  <c r="DS22" i="3"/>
  <c r="EN12" i="3"/>
  <c r="EU9" i="3"/>
  <c r="DC9" i="3"/>
  <c r="EN15" i="3"/>
  <c r="DT15" i="3"/>
  <c r="DS15" i="3"/>
  <c r="CV15" i="3"/>
  <c r="EO5" i="3"/>
  <c r="CW4" i="3"/>
  <c r="CY5" i="3"/>
  <c r="EN16" i="3"/>
  <c r="DB7" i="3"/>
  <c r="ET7" i="3"/>
  <c r="ET3" i="3"/>
  <c r="DB3" i="3"/>
  <c r="CY16" i="3"/>
  <c r="EQ16" i="3"/>
  <c r="CX4" i="3"/>
  <c r="EP4" i="3"/>
  <c r="DK7" i="3"/>
  <c r="CZ7" i="3"/>
  <c r="ER7" i="3"/>
  <c r="DB22" i="3"/>
  <c r="ET22" i="3"/>
  <c r="DB12" i="3"/>
  <c r="ET12" i="3"/>
  <c r="DC4" i="3"/>
  <c r="EU4" i="3"/>
  <c r="CW15" i="3"/>
  <c r="EO15" i="3"/>
  <c r="DG15" i="3"/>
  <c r="CW3" i="3"/>
  <c r="EO3" i="3"/>
  <c r="DG3" i="3"/>
  <c r="EO13" i="3"/>
  <c r="CW13" i="3"/>
  <c r="DG13" i="3"/>
  <c r="CW18" i="3"/>
  <c r="EO18" i="3"/>
  <c r="DG18" i="3"/>
  <c r="CW6" i="3"/>
  <c r="EO6" i="3"/>
  <c r="DG6" i="3"/>
  <c r="EP16" i="3"/>
  <c r="CX16" i="3"/>
  <c r="ET13" i="3"/>
  <c r="DB13" i="3"/>
  <c r="DB21" i="3"/>
  <c r="EQ2" i="3"/>
  <c r="CY2" i="3"/>
  <c r="EO12" i="3"/>
  <c r="DG12" i="3"/>
  <c r="CW12" i="3"/>
  <c r="DT9" i="3"/>
  <c r="EN9" i="3"/>
  <c r="CV9" i="3"/>
  <c r="DS9" i="3"/>
  <c r="CX8" i="3"/>
  <c r="EP8" i="3"/>
  <c r="DA13" i="3"/>
  <c r="ES13" i="3"/>
  <c r="DM13" i="3"/>
  <c r="CW23" i="3"/>
  <c r="CW22" i="3"/>
  <c r="CW9" i="3"/>
  <c r="ER4" i="3"/>
  <c r="ET24" i="3"/>
  <c r="CV25" i="3"/>
  <c r="ET25" i="3"/>
  <c r="EU6" i="3"/>
  <c r="DC6" i="3"/>
  <c r="EQ22" i="3"/>
  <c r="EN25" i="3"/>
  <c r="CV12" i="3"/>
  <c r="DC27" i="3"/>
  <c r="DC19" i="3"/>
  <c r="EU19" i="3"/>
  <c r="CV23" i="3"/>
  <c r="ES26" i="3"/>
  <c r="EQ5" i="3"/>
  <c r="DM7" i="3"/>
  <c r="DA7" i="3"/>
  <c r="ES7" i="3"/>
  <c r="EQ9" i="3"/>
  <c r="CY9" i="3"/>
  <c r="CX2" i="3"/>
  <c r="CX14" i="3"/>
  <c r="EP14" i="3"/>
  <c r="ET4" i="3"/>
  <c r="DB4" i="3"/>
  <c r="CX21" i="3"/>
  <c r="EP21" i="3"/>
  <c r="CW7" i="3"/>
  <c r="ER12" i="3"/>
  <c r="CZ12" i="3"/>
  <c r="DR24" i="3"/>
  <c r="EU24" i="3"/>
  <c r="DC24" i="3"/>
  <c r="ET26" i="3"/>
  <c r="CX5" i="3"/>
  <c r="EP5" i="3"/>
  <c r="CV8" i="3"/>
  <c r="EN8" i="3"/>
  <c r="DT8" i="3"/>
  <c r="DS8" i="3"/>
  <c r="DB6" i="3"/>
  <c r="ET6" i="3"/>
  <c r="DK3" i="3"/>
  <c r="CZ3" i="3"/>
  <c r="ER3" i="3"/>
  <c r="DA9" i="3"/>
  <c r="DM9" i="3"/>
  <c r="ES9" i="3"/>
  <c r="EQ21" i="3"/>
  <c r="CY21" i="3"/>
  <c r="ET16" i="3"/>
  <c r="CY18" i="3"/>
  <c r="EQ18" i="3"/>
  <c r="DB18" i="3"/>
  <c r="ET18" i="3"/>
  <c r="EQ8" i="3"/>
  <c r="CY8" i="3"/>
  <c r="CV11" i="3"/>
  <c r="DT11" i="3"/>
  <c r="EN11" i="3"/>
  <c r="DS11" i="3"/>
  <c r="CY19" i="3"/>
  <c r="EQ19" i="3"/>
  <c r="CY6" i="3"/>
  <c r="EQ6" i="3"/>
  <c r="CY11" i="3"/>
  <c r="EQ11" i="3"/>
  <c r="ER23" i="3"/>
  <c r="DY35" i="3"/>
  <c r="EO9" i="3"/>
  <c r="EU26" i="3"/>
  <c r="CY15" i="3"/>
  <c r="CZ14" i="3"/>
  <c r="ER14" i="3"/>
  <c r="ER2" i="3"/>
  <c r="EU7" i="3"/>
  <c r="DC7" i="3"/>
  <c r="CV24" i="3"/>
  <c r="DT13" i="3"/>
  <c r="DS13" i="3"/>
  <c r="EN13" i="3"/>
  <c r="CV13" i="3"/>
  <c r="EU5" i="3"/>
  <c r="ER26" i="3"/>
  <c r="ET5" i="3"/>
  <c r="DB5" i="3"/>
  <c r="DA10" i="3"/>
  <c r="ES10" i="3"/>
  <c r="DM10" i="3"/>
  <c r="DM20" i="3"/>
  <c r="DA20" i="3"/>
  <c r="ES20" i="3"/>
  <c r="ER15" i="3"/>
  <c r="CZ15" i="3"/>
  <c r="EU16" i="3"/>
  <c r="DC16" i="3"/>
  <c r="ER9" i="3"/>
  <c r="CZ9" i="3"/>
  <c r="CV2" i="3"/>
  <c r="EN2" i="3"/>
  <c r="DT2" i="3"/>
  <c r="DS2" i="3"/>
  <c r="DB19" i="3"/>
  <c r="ET19" i="3"/>
  <c r="EU3" i="3"/>
  <c r="ES23" i="3"/>
  <c r="ET11" i="3"/>
  <c r="DB11" i="3"/>
  <c r="DA5" i="3"/>
  <c r="ES5" i="3"/>
  <c r="DM5" i="3"/>
  <c r="EQ4" i="3"/>
  <c r="CY4" i="3"/>
  <c r="DM19" i="3"/>
  <c r="DA19" i="3"/>
  <c r="ES19" i="3"/>
  <c r="CY3" i="3"/>
  <c r="EQ3" i="3"/>
  <c r="DA11" i="3"/>
  <c r="DM11" i="3"/>
  <c r="ES11" i="3"/>
  <c r="DC10" i="3"/>
  <c r="EU10" i="3"/>
  <c r="CV14" i="3"/>
  <c r="EN14" i="3"/>
  <c r="DS14" i="3"/>
  <c r="DT14" i="3"/>
  <c r="DB20" i="3"/>
  <c r="ET20" i="3"/>
  <c r="DB16" i="3"/>
  <c r="DT7" i="3"/>
  <c r="DS7" i="3"/>
  <c r="EN7" i="3"/>
  <c r="CV7" i="3"/>
  <c r="CY27" i="3"/>
  <c r="EQ27" i="3"/>
  <c r="EU25" i="3"/>
  <c r="DM12" i="3"/>
  <c r="DA12" i="3"/>
  <c r="ES12" i="3"/>
  <c r="ER18" i="3"/>
  <c r="CZ18" i="3"/>
  <c r="EO23" i="3"/>
  <c r="EO7" i="3"/>
  <c r="DC13" i="3"/>
  <c r="EU13" i="3"/>
  <c r="DC26" i="3"/>
  <c r="DY31" i="3"/>
  <c r="DY32" i="3"/>
  <c r="EQ15" i="3"/>
  <c r="DB14" i="3"/>
  <c r="CV19" i="3"/>
  <c r="EN19" i="3"/>
  <c r="DT19" i="3"/>
  <c r="DS19" i="3"/>
  <c r="DC20" i="3"/>
  <c r="EU20" i="3"/>
  <c r="DC5" i="3"/>
  <c r="EN23" i="3"/>
  <c r="DY10" i="4" l="1"/>
  <c r="DY3" i="4"/>
  <c r="DY2" i="4"/>
  <c r="DY13" i="4"/>
  <c r="DY18" i="4"/>
  <c r="EW8" i="4"/>
  <c r="EX8" i="4" s="1"/>
  <c r="EW9" i="4"/>
  <c r="EX9" i="4" s="1"/>
  <c r="EW6" i="4"/>
  <c r="EX6" i="4" s="1"/>
  <c r="EW5" i="4"/>
  <c r="EX5" i="4" s="1"/>
  <c r="EW4" i="4"/>
  <c r="EX4" i="4" s="1"/>
  <c r="EW3" i="4"/>
  <c r="EX3" i="4" s="1"/>
  <c r="EW2" i="4"/>
  <c r="EX2" i="4" s="1"/>
  <c r="EW7" i="4"/>
  <c r="EX7" i="4" s="1"/>
  <c r="DY8" i="4"/>
  <c r="DY20" i="4"/>
  <c r="DY19" i="4"/>
  <c r="DY7" i="4"/>
  <c r="DY16" i="4"/>
  <c r="DY9" i="4"/>
  <c r="DY28" i="3"/>
  <c r="DY26" i="3"/>
  <c r="DY10" i="3"/>
  <c r="DY25" i="3"/>
  <c r="DY3" i="3"/>
  <c r="DY27" i="3"/>
  <c r="DY14" i="3"/>
  <c r="DY8" i="3"/>
  <c r="DY20" i="3"/>
  <c r="DY13" i="3"/>
  <c r="DY24" i="3"/>
  <c r="DY17" i="3"/>
  <c r="EW2" i="3"/>
  <c r="EX2" i="3" s="1"/>
  <c r="DY7" i="3"/>
  <c r="DY2" i="3"/>
  <c r="DY22" i="3"/>
  <c r="EW5" i="3"/>
  <c r="EX5" i="3" s="1"/>
  <c r="EW8" i="3"/>
  <c r="EX8" i="3" s="1"/>
  <c r="EW9" i="3"/>
  <c r="EX9" i="3" s="1"/>
  <c r="EW4" i="3"/>
  <c r="EX4" i="3" s="1"/>
  <c r="EW6" i="3"/>
  <c r="EX6" i="3" s="1"/>
  <c r="EW3" i="3"/>
  <c r="EX3" i="3" s="1"/>
  <c r="EW7" i="3"/>
  <c r="EX7" i="3" s="1"/>
  <c r="DY6" i="3"/>
  <c r="DY23" i="3"/>
  <c r="DY5" i="3"/>
  <c r="DY19" i="3"/>
  <c r="DY4" i="3"/>
  <c r="DY12" i="3"/>
  <c r="DY15" i="3"/>
  <c r="DY9" i="3"/>
  <c r="DY11" i="3"/>
  <c r="DY16" i="3"/>
  <c r="DY18" i="3"/>
  <c r="DY21" i="3"/>
</calcChain>
</file>

<file path=xl/sharedStrings.xml><?xml version="1.0" encoding="utf-8"?>
<sst xmlns="http://schemas.openxmlformats.org/spreadsheetml/2006/main" count="353" uniqueCount="53">
  <si>
    <t>Time</t>
  </si>
  <si>
    <t>AUDUSD</t>
  </si>
  <si>
    <t>AUDNZD</t>
  </si>
  <si>
    <t>AUDJPY</t>
  </si>
  <si>
    <t>AUDCHF</t>
  </si>
  <si>
    <t>AUDCAD</t>
  </si>
  <si>
    <t>EURUSD</t>
  </si>
  <si>
    <t>EURCAD</t>
  </si>
  <si>
    <t>EURGBP</t>
  </si>
  <si>
    <t>EURCHF</t>
  </si>
  <si>
    <t>EURJPY</t>
  </si>
  <si>
    <t>EURAUD</t>
  </si>
  <si>
    <t>EURNZD</t>
  </si>
  <si>
    <t>GBPUSD</t>
  </si>
  <si>
    <t>GBPAUD</t>
  </si>
  <si>
    <t>GBPNZD</t>
  </si>
  <si>
    <t>GBPCAD</t>
  </si>
  <si>
    <t>GBPCHF</t>
  </si>
  <si>
    <t>GBPJPY</t>
  </si>
  <si>
    <t>NZDJPY</t>
  </si>
  <si>
    <t>NZDCHF</t>
  </si>
  <si>
    <t>NZDUSD</t>
  </si>
  <si>
    <t>NZDCAD</t>
  </si>
  <si>
    <t>CADJPY</t>
  </si>
  <si>
    <t>CADCHF</t>
  </si>
  <si>
    <t>CHFJPY</t>
  </si>
  <si>
    <t>USDCAD</t>
  </si>
  <si>
    <t>USDCHF</t>
  </si>
  <si>
    <t>USDJPY</t>
  </si>
  <si>
    <t>ID</t>
  </si>
  <si>
    <t>EUR</t>
  </si>
  <si>
    <t>USD</t>
  </si>
  <si>
    <t>CAD</t>
  </si>
  <si>
    <t>CHF</t>
  </si>
  <si>
    <t>GBP</t>
  </si>
  <si>
    <t>AUD</t>
  </si>
  <si>
    <t>NZD</t>
  </si>
  <si>
    <t>JPY</t>
  </si>
  <si>
    <t>USDGBP</t>
  </si>
  <si>
    <t>USDAUD</t>
  </si>
  <si>
    <t>USDNZD</t>
  </si>
  <si>
    <t>UE</t>
  </si>
  <si>
    <t>EU</t>
  </si>
  <si>
    <t>Portfolio Performance</t>
  </si>
  <si>
    <t>Portfolio</t>
  </si>
  <si>
    <t xml:space="preserve">GBP </t>
  </si>
  <si>
    <t>DD</t>
  </si>
  <si>
    <t>Buy</t>
  </si>
  <si>
    <t>Sell</t>
  </si>
  <si>
    <t>LAST PRICE</t>
  </si>
  <si>
    <t>previous</t>
  </si>
  <si>
    <t>Market performance H1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</si>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</sst>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00"/>
    <numFmt numFmtId="166" formatCode="0.000000"/>
    <numFmt numFmtId="167" formatCode="0.0"/>
  </numFmts>
  <fonts count="15" x14ac:knownFonts="1"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/>
        <bgColor theme="9"/>
      </patternFill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</fills>
  <borders count="11">
    <border>
      <left/>
      <right/>
      <top/>
      <bottom/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4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22" fontId="0" fillId="5" borderId="0" xfId="0" applyNumberFormat="1" applyFill="1"/>
    <xf numFmtId="0" fontId="8" fillId="0" borderId="1" xfId="0" applyFont="1" applyBorder="1"/>
    <xf numFmtId="164" fontId="6" fillId="8" borderId="1" xfId="0" applyNumberFormat="1" applyFont="1" applyFill="1" applyBorder="1"/>
    <xf numFmtId="164" fontId="0" fillId="10" borderId="0" xfId="0" applyNumberFormat="1" applyFill="1"/>
    <xf numFmtId="166" fontId="0" fillId="0" borderId="0" xfId="0" applyNumberFormat="1"/>
    <xf numFmtId="0" fontId="8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9" fillId="4" borderId="0" xfId="0" applyFont="1" applyFill="1"/>
    <xf numFmtId="2" fontId="10" fillId="0" borderId="0" xfId="0" applyNumberFormat="1" applyFont="1"/>
    <xf numFmtId="0" fontId="10" fillId="0" borderId="0" xfId="0" applyFont="1"/>
    <xf numFmtId="0" fontId="4" fillId="3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/>
    </xf>
    <xf numFmtId="164" fontId="6" fillId="9" borderId="2" xfId="0" applyNumberFormat="1" applyFont="1" applyFill="1" applyBorder="1" applyAlignment="1">
      <alignment horizontal="center"/>
    </xf>
    <xf numFmtId="0" fontId="6" fillId="14" borderId="2" xfId="0" applyFont="1" applyFill="1" applyBorder="1" applyAlignment="1">
      <alignment horizontal="center"/>
    </xf>
    <xf numFmtId="164" fontId="6" fillId="14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64" fontId="6" fillId="8" borderId="2" xfId="0" applyNumberFormat="1" applyFont="1" applyFill="1" applyBorder="1" applyAlignment="1">
      <alignment horizontal="center"/>
    </xf>
    <xf numFmtId="164" fontId="6" fillId="13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164" fontId="6" fillId="6" borderId="2" xfId="0" applyNumberFormat="1" applyFont="1" applyFill="1" applyBorder="1" applyAlignment="1">
      <alignment horizontal="center"/>
    </xf>
    <xf numFmtId="164" fontId="6" fillId="11" borderId="2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/>
    </xf>
    <xf numFmtId="164" fontId="6" fillId="12" borderId="2" xfId="0" applyNumberFormat="1" applyFont="1" applyFill="1" applyBorder="1" applyAlignment="1">
      <alignment horizontal="center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 applyAlignment="1">
      <alignment vertical="center"/>
    </xf>
    <xf numFmtId="2" fontId="11" fillId="0" borderId="0" xfId="0" applyNumberFormat="1" applyFont="1" applyFill="1"/>
    <xf numFmtId="0" fontId="14" fillId="0" borderId="0" xfId="0" applyFont="1" applyFill="1"/>
  </cellXfs>
  <cellStyles count="1">
    <cellStyle name="Normal" xfId="0" builtinId="0"/>
  </cellStyles>
  <dxfs count="1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8EA9DB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8EA9DB"/>
        </top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146.351</v>
        <stp/>
        <stp>21422436</stp>
        <stp>@bh,USDJPY,h1,close,27</stp>
        <tr r="AD29" s="3"/>
      </tp>
      <tp>
        <v>146.041</v>
        <stp/>
        <stp>21422436</stp>
        <stp>@bh,USDJPY,h1,close,26</stp>
        <tr r="AD28" s="3"/>
      </tp>
      <tp>
        <v>146.21799999999999</v>
        <stp/>
        <stp>21422436</stp>
        <stp>@bh,USDJPY,h1,close,25</stp>
        <tr r="AD27" s="3"/>
      </tp>
      <tp>
        <v>146.39699999999999</v>
        <stp/>
        <stp>21422436</stp>
        <stp>@bh,USDJPY,h1,close,24</stp>
        <tr r="AD26" s="3"/>
      </tp>
      <tp>
        <v>146.36500000000001</v>
        <stp/>
        <stp>21422436</stp>
        <stp>@bh,USDJPY,h1,close,23</stp>
        <tr r="AD25" s="3"/>
      </tp>
      <tp>
        <v>146.42400000000001</v>
        <stp/>
        <stp>21422436</stp>
        <stp>@bh,USDJPY,h1,close,22</stp>
        <tr r="AD24" s="3"/>
      </tp>
      <tp>
        <v>146.5</v>
        <stp/>
        <stp>21422436</stp>
        <stp>@bh,USDJPY,h1,close,21</stp>
        <tr r="AD23" s="3"/>
      </tp>
      <tp>
        <v>146.54</v>
        <stp/>
        <stp>21422436</stp>
        <stp>@bh,USDJPY,h1,close,20</stp>
        <tr r="AD22" s="3"/>
      </tp>
      <tp>
        <v>146.602</v>
        <stp/>
        <stp>21422436</stp>
        <stp>@bh,USDJPY,h1,close,17</stp>
        <tr r="AD19" s="3"/>
      </tp>
      <tp>
        <v>146.55699999999999</v>
        <stp/>
        <stp>21422436</stp>
        <stp>@bh,USDJPY,h1,close,16</stp>
        <tr r="AD18" s="3"/>
      </tp>
      <tp>
        <v>146.63200000000001</v>
        <stp/>
        <stp>21422436</stp>
        <stp>@bh,USDJPY,h1,close,15</stp>
        <tr r="AD17" s="3"/>
      </tp>
      <tp>
        <v>146.71199999999999</v>
        <stp/>
        <stp>21422436</stp>
        <stp>@bh,USDJPY,h1,close,14</stp>
        <tr r="AD16" s="3"/>
      </tp>
      <tp>
        <v>146.25700000000001</v>
        <stp/>
        <stp>21422436</stp>
        <stp>@bh,USDJPY,h1,close,13</stp>
        <tr r="AD15" s="3"/>
      </tp>
      <tp>
        <v>146.34200000000001</v>
        <stp/>
        <stp>21422436</stp>
        <stp>@bh,USDJPY,h1,close,12</stp>
        <tr r="AD14" s="3"/>
      </tp>
      <tp>
        <v>147.005</v>
        <stp/>
        <stp>21422436</stp>
        <stp>@bh,USDJPY,h1,close,11</stp>
        <tr r="AD13" s="3"/>
      </tp>
      <tp>
        <v>147.072</v>
        <stp/>
        <stp>21422436</stp>
        <stp>@bh,USDJPY,h1,close,10</stp>
        <tr r="AD12" s="3"/>
      </tp>
      <tp>
        <v>146.65600000000001</v>
        <stp/>
        <stp>21422436</stp>
        <stp>@bh,USDJPY,h1,close,19</stp>
        <tr r="AD21" s="3"/>
      </tp>
      <tp>
        <v>146.63800000000001</v>
        <stp/>
        <stp>21422436</stp>
        <stp>@bh,USDJPY,h1,close,18</stp>
        <tr r="AD20" s="3"/>
      </tp>
      <tp>
        <v>89.582999999999998</v>
        <stp/>
        <stp>21422436</stp>
        <stp>@bh,NZDJPY,h1,close,18</stp>
        <tr r="U20" s="3"/>
      </tp>
      <tp>
        <v>89.594999999999999</v>
        <stp/>
        <stp>21422436</stp>
        <stp>@bh,NZDJPY,h1,close,19</stp>
        <tr r="U21" s="3"/>
      </tp>
      <tp>
        <v>89.542000000000002</v>
        <stp/>
        <stp>21422436</stp>
        <stp>@bh,NZDJPY,h1,close,16</stp>
        <tr r="U18" s="3"/>
      </tp>
      <tp>
        <v>89.62</v>
        <stp/>
        <stp>21422436</stp>
        <stp>@bh,NZDJPY,h1,close,17</stp>
        <tr r="U19" s="3"/>
      </tp>
      <tp>
        <v>89.748000000000005</v>
        <stp/>
        <stp>21422436</stp>
        <stp>@bh,NZDJPY,h1,close,14</stp>
        <tr r="U16" s="3"/>
      </tp>
      <tp>
        <v>89.673000000000002</v>
        <stp/>
        <stp>21422436</stp>
        <stp>@bh,NZDJPY,h1,close,15</stp>
        <tr r="U17" s="3"/>
      </tp>
      <tp>
        <v>89.59</v>
        <stp/>
        <stp>21422436</stp>
        <stp>@bh,NZDJPY,h1,close,12</stp>
        <tr r="U14" s="3"/>
      </tp>
      <tp>
        <v>89.462000000000003</v>
        <stp/>
        <stp>21422436</stp>
        <stp>@bh,NZDJPY,h1,close,13</stp>
        <tr r="U15" s="3"/>
      </tp>
      <tp>
        <v>89.926000000000002</v>
        <stp/>
        <stp>21422436</stp>
        <stp>@bh,NZDJPY,h1,close,10</stp>
        <tr r="U12" s="3"/>
      </tp>
      <tp>
        <v>89.884</v>
        <stp/>
        <stp>21422436</stp>
        <stp>@bh,NZDJPY,h1,close,11</stp>
        <tr r="U13" s="3"/>
      </tp>
      <tp>
        <v>88.748999999999995</v>
        <stp/>
        <stp>21422436</stp>
        <stp>@bh,NZDJPY,h1,close,26</stp>
        <tr r="U28" s="3"/>
      </tp>
      <tp>
        <v>88.822000000000003</v>
        <stp/>
        <stp>21422436</stp>
        <stp>@bh,NZDJPY,h1,close,27</stp>
        <tr r="U29" s="3"/>
      </tp>
      <tp>
        <v>89.001999999999995</v>
        <stp/>
        <stp>21422436</stp>
        <stp>@bh,NZDJPY,h1,close,24</stp>
        <tr r="U26" s="3"/>
      </tp>
      <tp>
        <v>88.804000000000002</v>
        <stp/>
        <stp>21422436</stp>
        <stp>@bh,NZDJPY,h1,close,25</stp>
        <tr r="U27" s="3"/>
      </tp>
      <tp>
        <v>89.212000000000003</v>
        <stp/>
        <stp>21422436</stp>
        <stp>@bh,NZDJPY,h1,close,22</stp>
        <tr r="U24" s="3"/>
      </tp>
      <tp>
        <v>89.173000000000002</v>
        <stp/>
        <stp>21422436</stp>
        <stp>@bh,NZDJPY,h1,close,23</stp>
        <tr r="U25" s="3"/>
      </tp>
      <tp>
        <v>89.481999999999999</v>
        <stp/>
        <stp>21422436</stp>
        <stp>@bh,NZDJPY,h1,close,20</stp>
        <tr r="U22" s="3"/>
      </tp>
      <tp>
        <v>89.274000000000001</v>
        <stp/>
        <stp>21422436</stp>
        <stp>@bh,NZDJPY,h1,close,21</stp>
        <tr r="U23" s="3"/>
      </tp>
      <tp>
        <v>107.55500000000001</v>
        <stp/>
        <stp>21422436</stp>
        <stp>@bh,CADJPY,h1,close,15</stp>
        <tr r="Y17" s="3"/>
      </tp>
      <tp>
        <v>107.627</v>
        <stp/>
        <stp>21422436</stp>
        <stp>@bh,CADJPY,h1,close,14</stp>
        <tr r="Y16" s="3"/>
      </tp>
      <tp>
        <v>107.524</v>
        <stp/>
        <stp>21422436</stp>
        <stp>@bh,CADJPY,h1,close,17</stp>
        <tr r="Y19" s="3"/>
      </tp>
      <tp>
        <v>107.474</v>
        <stp/>
        <stp>21422436</stp>
        <stp>@bh,CADJPY,h1,close,16</stp>
        <tr r="Y18" s="3"/>
      </tp>
      <tp>
        <v>107.79300000000001</v>
        <stp/>
        <stp>21422436</stp>
        <stp>@bh,CADJPY,h1,close,11</stp>
        <tr r="Y13" s="3"/>
      </tp>
      <tp>
        <v>169.98500000000001</v>
        <stp/>
        <stp>21422436</stp>
        <stp>@bh,CHFJPY,h1,close,18</stp>
        <tr r="AA20" s="3"/>
      </tp>
      <tp>
        <v>107.82299999999999</v>
        <stp/>
        <stp>21422436</stp>
        <stp>@bh,CADJPY,h1,close,10</stp>
        <tr r="Y12" s="3"/>
      </tp>
      <tp>
        <v>169.99299999999999</v>
        <stp/>
        <stp>21422436</stp>
        <stp>@bh,CHFJPY,h1,close,19</stp>
        <tr r="AA21" s="3"/>
      </tp>
      <tp>
        <v>107.26900000000001</v>
        <stp/>
        <stp>21422436</stp>
        <stp>@bh,CADJPY,h1,close,13</stp>
        <tr r="Y15" s="3"/>
      </tp>
      <tp>
        <v>107.363</v>
        <stp/>
        <stp>21422436</stp>
        <stp>@bh,CADJPY,h1,close,12</stp>
        <tr r="Y14" s="3"/>
      </tp>
      <tp>
        <v>170.078</v>
        <stp/>
        <stp>21422436</stp>
        <stp>@bh,CHFJPY,h1,close,14</stp>
        <tr r="AA16" s="3"/>
      </tp>
      <tp>
        <v>169.995</v>
        <stp/>
        <stp>21422436</stp>
        <stp>@bh,CHFJPY,h1,close,15</stp>
        <tr r="AA17" s="3"/>
      </tp>
      <tp>
        <v>169.77199999999999</v>
        <stp/>
        <stp>21422436</stp>
        <stp>@bh,CHFJPY,h1,close,16</stp>
        <tr r="AA18" s="3"/>
      </tp>
      <tp>
        <v>169.88800000000001</v>
        <stp/>
        <stp>21422436</stp>
        <stp>@bh,CHFJPY,h1,close,17</stp>
        <tr r="AA19" s="3"/>
      </tp>
      <tp>
        <v>107.569</v>
        <stp/>
        <stp>21422436</stp>
        <stp>@bh,CADJPY,h1,close,19</stp>
        <tr r="Y21" s="3"/>
      </tp>
      <tp>
        <v>170.58799999999999</v>
        <stp/>
        <stp>21422436</stp>
        <stp>@bh,CHFJPY,h1,close,10</stp>
        <tr r="AA12" s="3"/>
      </tp>
      <tp>
        <v>107.536</v>
        <stp/>
        <stp>21422436</stp>
        <stp>@bh,CADJPY,h1,close,18</stp>
        <tr r="Y20" s="3"/>
      </tp>
      <tp>
        <v>170.53200000000001</v>
        <stp/>
        <stp>21422436</stp>
        <stp>@bh,CHFJPY,h1,close,11</stp>
        <tr r="AA13" s="3"/>
      </tp>
      <tp>
        <v>169.90899999999999</v>
        <stp/>
        <stp>21422436</stp>
        <stp>@bh,CHFJPY,h1,close,12</stp>
        <tr r="AA14" s="3"/>
      </tp>
      <tp>
        <v>169.68700000000001</v>
        <stp/>
        <stp>21422436</stp>
        <stp>@bh,CHFJPY,h1,close,13</stp>
        <tr r="AA15" s="3"/>
      </tp>
      <tp>
        <v>98.448999999999998</v>
        <stp/>
        <stp>21422436</stp>
        <stp>@bh,AUDJPY,h1,close,21</stp>
        <tr r="E23" s="3"/>
      </tp>
      <tp>
        <v>98.585999999999999</v>
        <stp/>
        <stp>21422436</stp>
        <stp>@bh,AUDJPY,h1,close,20</stp>
        <tr r="E22" s="3"/>
      </tp>
      <tp>
        <v>98.3</v>
        <stp/>
        <stp>21422436</stp>
        <stp>@bh,AUDJPY,h1,close,23</stp>
        <tr r="E25" s="3"/>
      </tp>
      <tp>
        <v>98.313000000000002</v>
        <stp/>
        <stp>21422436</stp>
        <stp>@bh,AUDJPY,h1,close,22</stp>
        <tr r="E24" s="3"/>
      </tp>
      <tp>
        <v>97.918000000000006</v>
        <stp/>
        <stp>21422436</stp>
        <stp>@bh,AUDJPY,h1,close,25</stp>
        <tr r="E27" s="3"/>
      </tp>
      <tp>
        <v>98.097999999999999</v>
        <stp/>
        <stp>21422436</stp>
        <stp>@bh,AUDJPY,h1,close,24</stp>
        <tr r="E26" s="3"/>
      </tp>
      <tp>
        <v>97.906000000000006</v>
        <stp/>
        <stp>21422436</stp>
        <stp>@bh,AUDJPY,h1,close,27</stp>
        <tr r="E29" s="3"/>
      </tp>
      <tp>
        <v>97.826999999999998</v>
        <stp/>
        <stp>21422436</stp>
        <stp>@bh,AUDJPY,h1,close,26</stp>
        <tr r="E28" s="3"/>
      </tp>
      <tp>
        <v>98.798000000000002</v>
        <stp/>
        <stp>21422436</stp>
        <stp>@bh,AUDJPY,h1,close,11</stp>
        <tr r="E13" s="3"/>
      </tp>
      <tp>
        <v>98.8</v>
        <stp/>
        <stp>21422436</stp>
        <stp>@bh,AUDJPY,h1,close,10</stp>
        <tr r="E12" s="3"/>
      </tp>
      <tp>
        <v>98.376999999999995</v>
        <stp/>
        <stp>21422436</stp>
        <stp>@bh,AUDJPY,h1,close,13</stp>
        <tr r="E15" s="3"/>
      </tp>
      <tp>
        <v>98.447000000000003</v>
        <stp/>
        <stp>21422436</stp>
        <stp>@bh,AUDJPY,h1,close,12</stp>
        <tr r="E14" s="3"/>
      </tp>
      <tp>
        <v>98.728999999999999</v>
        <stp/>
        <stp>21422436</stp>
        <stp>@bh,AUDJPY,h1,close,15</stp>
        <tr r="E17" s="3"/>
      </tp>
      <tp>
        <v>98.793000000000006</v>
        <stp/>
        <stp>21422436</stp>
        <stp>@bh,AUDJPY,h1,close,14</stp>
        <tr r="E16" s="3"/>
      </tp>
      <tp>
        <v>98.691000000000003</v>
        <stp/>
        <stp>21422436</stp>
        <stp>@bh,AUDJPY,h1,close,17</stp>
        <tr r="E19" s="3"/>
      </tp>
      <tp>
        <v>98.632000000000005</v>
        <stp/>
        <stp>21422436</stp>
        <stp>@bh,AUDJPY,h1,close,16</stp>
        <tr r="E18" s="3"/>
      </tp>
      <tp>
        <v>98.701999999999998</v>
        <stp/>
        <stp>21422436</stp>
        <stp>@bh,AUDJPY,h1,close,19</stp>
        <tr r="E21" s="3"/>
      </tp>
      <tp>
        <v>98.713999999999999</v>
        <stp/>
        <stp>21422436</stp>
        <stp>@bh,AUDJPY,h1,close,18</stp>
        <tr r="E20" s="3"/>
      </tp>
      <tp>
        <v>106.94499999999999</v>
        <stp/>
        <stp>21422436</stp>
        <stp>@bh,CADJPY,h1,close,25</stp>
        <tr r="Y27" s="3"/>
      </tp>
      <tp>
        <v>107.15600000000001</v>
        <stp/>
        <stp>21422436</stp>
        <stp>@bh,CADJPY,h1,close,24</stp>
        <tr r="Y26" s="3"/>
      </tp>
      <tp>
        <v>106.958</v>
        <stp/>
        <stp>21422436</stp>
        <stp>@bh,CADJPY,h1,close,27</stp>
        <tr r="Y29" s="3"/>
      </tp>
      <tp>
        <v>106.795</v>
        <stp/>
        <stp>21422436</stp>
        <stp>@bh,CADJPY,h1,close,26</stp>
        <tr r="Y28" s="3"/>
      </tp>
      <tp>
        <v>107.333</v>
        <stp/>
        <stp>21422436</stp>
        <stp>@bh,CADJPY,h1,close,21</stp>
        <tr r="Y23" s="3"/>
      </tp>
      <tp>
        <v>107.425</v>
        <stp/>
        <stp>21422436</stp>
        <stp>@bh,CADJPY,h1,close,20</stp>
        <tr r="Y22" s="3"/>
      </tp>
      <tp>
        <v>107.27</v>
        <stp/>
        <stp>21422436</stp>
        <stp>@bh,CADJPY,h1,close,23</stp>
        <tr r="Y25" s="3"/>
      </tp>
      <tp>
        <v>107.2</v>
        <stp/>
        <stp>21422436</stp>
        <stp>@bh,CADJPY,h1,close,22</stp>
        <tr r="Y24" s="3"/>
      </tp>
      <tp>
        <v>169.27799999999999</v>
        <stp/>
        <stp>21422436</stp>
        <stp>@bh,CHFJPY,h1,close,24</stp>
        <tr r="AA26" s="3"/>
      </tp>
      <tp>
        <v>168.96299999999999</v>
        <stp/>
        <stp>21422436</stp>
        <stp>@bh,CHFJPY,h1,close,25</stp>
        <tr r="AA27" s="3"/>
      </tp>
      <tp>
        <v>169.02</v>
        <stp/>
        <stp>21422436</stp>
        <stp>@bh,CHFJPY,h1,close,26</stp>
        <tr r="AA28" s="3"/>
      </tp>
      <tp>
        <v>169.13800000000001</v>
        <stp/>
        <stp>21422436</stp>
        <stp>@bh,CHFJPY,h1,close,27</stp>
        <tr r="AA29" s="3"/>
      </tp>
      <tp>
        <v>169.86799999999999</v>
        <stp/>
        <stp>21422436</stp>
        <stp>@bh,CHFJPY,h1,close,20</stp>
        <tr r="AA22" s="3"/>
      </tp>
      <tp>
        <v>169.751</v>
        <stp/>
        <stp>21422436</stp>
        <stp>@bh,CHFJPY,h1,close,21</stp>
        <tr r="AA23" s="3"/>
      </tp>
      <tp>
        <v>169.67500000000001</v>
        <stp/>
        <stp>21422436</stp>
        <stp>@bh,CHFJPY,h1,close,22</stp>
        <tr r="AA24" s="3"/>
      </tp>
      <tp>
        <v>169.517</v>
        <stp/>
        <stp>21422436</stp>
        <stp>@bh,CHFJPY,h1,close,23</stp>
        <tr r="AA25" s="3"/>
      </tp>
      <tp>
        <v>190.339</v>
        <stp/>
        <stp>21422436</stp>
        <stp>@bh,GBPJPY,h1,close,16</stp>
        <tr r="T18" s="3"/>
      </tp>
      <tp>
        <v>190.44499999999999</v>
        <stp/>
        <stp>21422436</stp>
        <stp>@bh,GBPJPY,h1,close,17</stp>
        <tr r="T19" s="3"/>
      </tp>
      <tp>
        <v>190.56800000000001</v>
        <stp/>
        <stp>21422436</stp>
        <stp>@bh,GBPJPY,h1,close,14</stp>
        <tr r="T16" s="3"/>
      </tp>
      <tp>
        <v>190.465</v>
        <stp/>
        <stp>21422436</stp>
        <stp>@bh,GBPJPY,h1,close,15</stp>
        <tr r="T17" s="3"/>
      </tp>
      <tp>
        <v>190.03100000000001</v>
        <stp/>
        <stp>21422436</stp>
        <stp>@bh,GBPJPY,h1,close,12</stp>
        <tr r="T14" s="3"/>
      </tp>
      <tp>
        <v>189.91800000000001</v>
        <stp/>
        <stp>21422436</stp>
        <stp>@bh,GBPJPY,h1,close,13</stp>
        <tr r="T15" s="3"/>
      </tp>
      <tp>
        <v>190.88</v>
        <stp/>
        <stp>21422436</stp>
        <stp>@bh,GBPJPY,h1,close,10</stp>
        <tr r="T12" s="3"/>
      </tp>
      <tp>
        <v>190.79499999999999</v>
        <stp/>
        <stp>21422436</stp>
        <stp>@bh,GBPJPY,h1,close,11</stp>
        <tr r="T13" s="3"/>
      </tp>
      <tp>
        <v>190.47800000000001</v>
        <stp/>
        <stp>21422436</stp>
        <stp>@bh,GBPJPY,h1,close,18</stp>
        <tr r="T20" s="3"/>
      </tp>
      <tp>
        <v>190.53399999999999</v>
        <stp/>
        <stp>21422436</stp>
        <stp>@bh,GBPJPY,h1,close,19</stp>
        <tr r="T21" s="3"/>
      </tp>
      <tp>
        <v>162.22499999999999</v>
        <stp/>
        <stp>21422436</stp>
        <stp>@bh,EURJPY,h1,close,21</stp>
        <tr r="L23" s="3"/>
      </tp>
      <tp>
        <v>162.31800000000001</v>
        <stp/>
        <stp>21422436</stp>
        <stp>@bh,EURJPY,h1,close,20</stp>
        <tr r="L22" s="3"/>
      </tp>
      <tp>
        <v>161.964</v>
        <stp/>
        <stp>21422436</stp>
        <stp>@bh,EURJPY,h1,close,23</stp>
        <tr r="L25" s="3"/>
      </tp>
      <tp>
        <v>162.077</v>
        <stp/>
        <stp>21422436</stp>
        <stp>@bh,EURJPY,h1,close,22</stp>
        <tr r="L24" s="3"/>
      </tp>
      <tp>
        <v>161.40799999999999</v>
        <stp/>
        <stp>21422436</stp>
        <stp>@bh,EURJPY,h1,close,25</stp>
        <tr r="L27" s="3"/>
      </tp>
      <tp>
        <v>161.684</v>
        <stp/>
        <stp>21422436</stp>
        <stp>@bh,EURJPY,h1,close,24</stp>
        <tr r="L26" s="3"/>
      </tp>
      <tp>
        <v>161.52199999999999</v>
        <stp/>
        <stp>21422436</stp>
        <stp>@bh,EURJPY,h1,close,27</stp>
        <tr r="L29" s="3"/>
      </tp>
      <tp>
        <v>161.26300000000001</v>
        <stp/>
        <stp>21422436</stp>
        <stp>@bh,EURJPY,h1,close,26</stp>
        <tr r="L28" s="3"/>
      </tp>
      <tp>
        <v>162.81899999999999</v>
        <stp/>
        <stp>21422436</stp>
        <stp>@bh,EURJPY,h1,close,11</stp>
        <tr r="L13" s="3"/>
      </tp>
      <tp>
        <v>162.88999999999999</v>
        <stp/>
        <stp>21422436</stp>
        <stp>@bh,EURJPY,h1,close,10</stp>
        <tr r="L12" s="3"/>
      </tp>
      <tp>
        <v>162.09800000000001</v>
        <stp/>
        <stp>21422436</stp>
        <stp>@bh,EURJPY,h1,close,13</stp>
        <tr r="L15" s="3"/>
      </tp>
      <tp>
        <v>162.227</v>
        <stp/>
        <stp>21422436</stp>
        <stp>@bh,EURJPY,h1,close,12</stp>
        <tr r="L14" s="3"/>
      </tp>
      <tp>
        <v>162.54400000000001</v>
        <stp/>
        <stp>21422436</stp>
        <stp>@bh,EURJPY,h1,close,15</stp>
        <tr r="L17" s="3"/>
      </tp>
      <tp>
        <v>162.63999999999999</v>
        <stp/>
        <stp>21422436</stp>
        <stp>@bh,EURJPY,h1,close,14</stp>
        <tr r="L16" s="3"/>
      </tp>
      <tp>
        <v>162.50800000000001</v>
        <stp/>
        <stp>21422436</stp>
        <stp>@bh,EURJPY,h1,close,17</stp>
        <tr r="L19" s="3"/>
      </tp>
      <tp>
        <v>162.453</v>
        <stp/>
        <stp>21422436</stp>
        <stp>@bh,EURJPY,h1,close,16</stp>
        <tr r="L18" s="3"/>
      </tp>
      <tp>
        <v>162.512</v>
        <stp/>
        <stp>21422436</stp>
        <stp>@bh,EURJPY,h1,close,19</stp>
        <tr r="L21" s="3"/>
      </tp>
      <tp>
        <v>162.52099999999999</v>
        <stp/>
        <stp>21422436</stp>
        <stp>@bh,EURJPY,h1,close,18</stp>
        <tr r="L20" s="3"/>
      </tp>
      <tp>
        <v>189.22499999999999</v>
        <stp/>
        <stp>21422436</stp>
        <stp>@bh,GBPJPY,h1,close,26</stp>
        <tr r="T28" s="3"/>
      </tp>
      <tp>
        <v>189.517</v>
        <stp/>
        <stp>21422436</stp>
        <stp>@bh,GBPJPY,h1,close,27</stp>
        <tr r="T29" s="3"/>
      </tp>
      <tp>
        <v>189.76400000000001</v>
        <stp/>
        <stp>21422436</stp>
        <stp>@bh,GBPJPY,h1,close,24</stp>
        <tr r="T26" s="3"/>
      </tp>
      <tp>
        <v>189.36199999999999</v>
        <stp/>
        <stp>21422436</stp>
        <stp>@bh,GBPJPY,h1,close,25</stp>
        <tr r="T27" s="3"/>
      </tp>
      <tp>
        <v>190.06100000000001</v>
        <stp/>
        <stp>21422436</stp>
        <stp>@bh,GBPJPY,h1,close,22</stp>
        <tr r="T24" s="3"/>
      </tp>
      <tp>
        <v>190.078</v>
        <stp/>
        <stp>21422436</stp>
        <stp>@bh,GBPJPY,h1,close,23</stp>
        <tr r="T25" s="3"/>
      </tp>
      <tp>
        <v>190.35900000000001</v>
        <stp/>
        <stp>21422436</stp>
        <stp>@bh,GBPJPY,h1,close,20</stp>
        <tr r="T22" s="3"/>
      </tp>
      <tp>
        <v>190.18299999999999</v>
        <stp/>
        <stp>21422436</stp>
        <stp>@bh,GBPJPY,h1,close,21</stp>
        <tr r="T23" s="3"/>
      </tp>
      <tp>
        <v>1.1017699999999999</v>
        <stp/>
        <stp>21422436</stp>
        <stp>@bh,AUDNZD,h1,close,18</stp>
        <tr r="D20" s="3"/>
      </tp>
      <tp>
        <v>1.10154</v>
        <stp/>
        <stp>21422436</stp>
        <stp>@bh,AUDNZD,h1,close,19</stp>
        <tr r="D21" s="3"/>
      </tp>
      <tp>
        <v>1.10076</v>
        <stp/>
        <stp>21422436</stp>
        <stp>@bh,AUDNZD,h1,close,14</stp>
        <tr r="D16" s="3"/>
      </tp>
      <tp>
        <v>1.1009599999999999</v>
        <stp/>
        <stp>21422436</stp>
        <stp>@bh,AUDNZD,h1,close,15</stp>
        <tr r="D17" s="3"/>
      </tp>
      <tp>
        <v>1.1008199999999999</v>
        <stp/>
        <stp>21422436</stp>
        <stp>@bh,AUDNZD,h1,close,16</stp>
        <tr r="D18" s="3"/>
      </tp>
      <tp>
        <v>1.1009</v>
        <stp/>
        <stp>21422436</stp>
        <stp>@bh,AUDNZD,h1,close,17</stp>
        <tr r="D19" s="3"/>
      </tp>
      <tp>
        <v>1.0986499999999999</v>
        <stp/>
        <stp>21422436</stp>
        <stp>@bh,AUDNZD,h1,close,10</stp>
        <tr r="D12" s="3"/>
      </tp>
      <tp>
        <v>1.09914</v>
        <stp/>
        <stp>21422436</stp>
        <stp>@bh,AUDNZD,h1,close,11</stp>
        <tr r="D13" s="3"/>
      </tp>
      <tp>
        <v>1.09877</v>
        <stp/>
        <stp>21422436</stp>
        <stp>@bh,AUDNZD,h1,close,12</stp>
        <tr r="D14" s="3"/>
      </tp>
      <tp>
        <v>1.09958</v>
        <stp/>
        <stp>21422436</stp>
        <stp>@bh,AUDNZD,h1,close,13</stp>
        <tr r="D15" s="3"/>
      </tp>
      <tp>
        <v>1.10212</v>
        <stp/>
        <stp>21422436</stp>
        <stp>@bh,AUDNZD,h1,close,24</stp>
        <tr r="D26" s="3"/>
      </tp>
      <tp>
        <v>1.10259</v>
        <stp/>
        <stp>21422436</stp>
        <stp>@bh,AUDNZD,h1,close,25</stp>
        <tr r="D27" s="3"/>
      </tp>
      <tp>
        <v>1.10226</v>
        <stp/>
        <stp>21422436</stp>
        <stp>@bh,AUDNZD,h1,close,26</stp>
        <tr r="D28" s="3"/>
      </tp>
      <tp>
        <v>1.10225</v>
        <stp/>
        <stp>21422436</stp>
        <stp>@bh,AUDNZD,h1,close,27</stp>
        <tr r="D29" s="3"/>
      </tp>
      <tp>
        <v>1.10172</v>
        <stp/>
        <stp>21422436</stp>
        <stp>@bh,AUDNZD,h1,close,20</stp>
        <tr r="D22" s="3"/>
      </tp>
      <tp>
        <v>1.10267</v>
        <stp/>
        <stp>21422436</stp>
        <stp>@bh,AUDNZD,h1,close,21</stp>
        <tr r="D23" s="3"/>
      </tp>
      <tp>
        <v>1.1019099999999999</v>
        <stp/>
        <stp>21422436</stp>
        <stp>@bh,AUDNZD,h1,close,22</stp>
        <tr r="D24" s="3"/>
      </tp>
      <tp>
        <v>1.1023099999999999</v>
        <stp/>
        <stp>21422436</stp>
        <stp>@bh,AUDNZD,h1,close,23</stp>
        <tr r="D25" s="3"/>
      </tp>
      <tp>
        <v>1.8140400000000001</v>
        <stp/>
        <stp>21422436</stp>
        <stp>@bh,EURNZD,h1,close,18</stp>
        <tr r="N20" s="3"/>
      </tp>
      <tp>
        <v>1.8137099999999999</v>
        <stp/>
        <stp>21422436</stp>
        <stp>@bh,EURNZD,h1,close,19</stp>
        <tr r="N21" s="3"/>
      </tp>
      <tp>
        <v>1.81213</v>
        <stp/>
        <stp>21422436</stp>
        <stp>@bh,EURNZD,h1,close,14</stp>
        <tr r="N16" s="3"/>
      </tp>
      <tp>
        <v>1.8126100000000001</v>
        <stp/>
        <stp>21422436</stp>
        <stp>@bh,EURNZD,h1,close,15</stp>
        <tr r="N17" s="3"/>
      </tp>
      <tp>
        <v>1.81298</v>
        <stp/>
        <stp>21422436</stp>
        <stp>@bh,EURNZD,h1,close,16</stp>
        <tr r="N18" s="3"/>
      </tp>
      <tp>
        <v>1.8128200000000001</v>
        <stp/>
        <stp>21422436</stp>
        <stp>@bh,EURNZD,h1,close,17</stp>
        <tr r="N19" s="3"/>
      </tp>
      <tp>
        <v>1.81134</v>
        <stp/>
        <stp>21422436</stp>
        <stp>@bh,EURNZD,h1,close,10</stp>
        <tr r="N12" s="3"/>
      </tp>
      <tp>
        <v>1.8114600000000001</v>
        <stp/>
        <stp>21422436</stp>
        <stp>@bh,EURNZD,h1,close,11</stp>
        <tr r="N13" s="3"/>
      </tp>
      <tp>
        <v>1.8106</v>
        <stp/>
        <stp>21422436</stp>
        <stp>@bh,EURNZD,h1,close,12</stp>
        <tr r="N14" s="3"/>
      </tp>
      <tp>
        <v>1.8118000000000001</v>
        <stp/>
        <stp>21422436</stp>
        <stp>@bh,EURNZD,h1,close,13</stp>
        <tr r="N15" s="3"/>
      </tp>
      <tp>
        <v>2.13151</v>
        <stp/>
        <stp>21422436</stp>
        <stp>@bh,GBPNZD,h1,close,23</stp>
        <tr r="Q25" s="3"/>
      </tp>
      <tp>
        <v>2.1302300000000001</v>
        <stp/>
        <stp>21422436</stp>
        <stp>@bh,GBPNZD,h1,close,22</stp>
        <tr r="Q24" s="3"/>
      </tp>
      <tp>
        <v>2.1301299999999999</v>
        <stp/>
        <stp>21422436</stp>
        <stp>@bh,GBPNZD,h1,close,21</stp>
        <tr r="Q23" s="3"/>
      </tp>
      <tp>
        <v>2.1272899999999999</v>
        <stp/>
        <stp>21422436</stp>
        <stp>@bh,GBPNZD,h1,close,20</stp>
        <tr r="Q22" s="3"/>
      </tp>
      <tp>
        <v>2.13361</v>
        <stp/>
        <stp>21422436</stp>
        <stp>@bh,GBPNZD,h1,close,27</stp>
        <tr r="Q29" s="3"/>
      </tp>
      <tp>
        <v>2.1320800000000002</v>
        <stp/>
        <stp>21422436</stp>
        <stp>@bh,GBPNZD,h1,close,26</stp>
        <tr r="Q28" s="3"/>
      </tp>
      <tp>
        <v>2.1322700000000001</v>
        <stp/>
        <stp>21422436</stp>
        <stp>@bh,GBPNZD,h1,close,25</stp>
        <tr r="Q27" s="3"/>
      </tp>
      <tp>
        <v>2.13191</v>
        <stp/>
        <stp>21422436</stp>
        <stp>@bh,GBPNZD,h1,close,24</stp>
        <tr r="Q26" s="3"/>
      </tp>
      <tp>
        <v>2.1263999999999998</v>
        <stp/>
        <stp>21422436</stp>
        <stp>@bh,GBPNZD,h1,close,19</stp>
        <tr r="Q21" s="3"/>
      </tp>
      <tp>
        <v>2.1259399999999999</v>
        <stp/>
        <stp>21422436</stp>
        <stp>@bh,GBPNZD,h1,close,18</stp>
        <tr r="Q20" s="3"/>
      </tp>
      <tp>
        <v>2.1227299999999998</v>
        <stp/>
        <stp>21422436</stp>
        <stp>@bh,GBPNZD,h1,close,13</stp>
        <tr r="Q15" s="3"/>
      </tp>
      <tp>
        <v>2.12093</v>
        <stp/>
        <stp>21422436</stp>
        <stp>@bh,GBPNZD,h1,close,12</stp>
        <tr r="Q14" s="3"/>
      </tp>
      <tp>
        <v>2.1226099999999999</v>
        <stp/>
        <stp>21422436</stp>
        <stp>@bh,GBPNZD,h1,close,11</stp>
        <tr r="Q13" s="3"/>
      </tp>
      <tp>
        <v>2.1225800000000001</v>
        <stp/>
        <stp>21422436</stp>
        <stp>@bh,GBPNZD,h1,close,10</stp>
        <tr r="Q12" s="3"/>
      </tp>
      <tp>
        <v>2.1243799999999999</v>
        <stp/>
        <stp>21422436</stp>
        <stp>@bh,GBPNZD,h1,close,17</stp>
        <tr r="Q19" s="3"/>
      </tp>
      <tp>
        <v>2.1243599999999998</v>
        <stp/>
        <stp>21422436</stp>
        <stp>@bh,GBPNZD,h1,close,16</stp>
        <tr r="Q18" s="3"/>
      </tp>
      <tp>
        <v>2.1239300000000001</v>
        <stp/>
        <stp>21422436</stp>
        <stp>@bh,GBPNZD,h1,close,15</stp>
        <tr r="Q17" s="3"/>
      </tp>
      <tp>
        <v>2.12331</v>
        <stp/>
        <stp>21422436</stp>
        <stp>@bh,GBPNZD,h1,close,14</stp>
        <tr r="Q16" s="3"/>
      </tp>
      <tp>
        <v>1.8165</v>
        <stp/>
        <stp>21422436</stp>
        <stp>@bh,EURNZD,h1,close,24</stp>
        <tr r="N26" s="3"/>
      </tp>
      <tp>
        <v>1.8174999999999999</v>
        <stp/>
        <stp>21422436</stp>
        <stp>@bh,EURNZD,h1,close,25</stp>
        <tr r="N27" s="3"/>
      </tp>
      <tp>
        <v>1.81701</v>
        <stp/>
        <stp>21422436</stp>
        <stp>@bh,EURNZD,h1,close,26</stp>
        <tr r="N28" s="3"/>
      </tp>
      <tp>
        <v>1.8184800000000001</v>
        <stp/>
        <stp>21422436</stp>
        <stp>@bh,EURNZD,h1,close,27</stp>
        <tr r="N29" s="3"/>
      </tp>
      <tp>
        <v>1.81396</v>
        <stp/>
        <stp>21422436</stp>
        <stp>@bh,EURNZD,h1,close,20</stp>
        <tr r="N22" s="3"/>
      </tp>
      <tp>
        <v>1.8170200000000001</v>
        <stp/>
        <stp>21422436</stp>
        <stp>@bh,EURNZD,h1,close,21</stp>
        <tr r="N23" s="3"/>
      </tp>
      <tp>
        <v>1.8166199999999999</v>
        <stp/>
        <stp>21422436</stp>
        <stp>@bh,EURNZD,h1,close,22</stp>
        <tr r="N24" s="3"/>
      </tp>
      <tp>
        <v>1.8162199999999999</v>
        <stp/>
        <stp>21422436</stp>
        <stp>@bh,EURNZD,h1,close,23</stp>
        <tr r="N25" s="3"/>
      </tp>
      <tp>
        <v>0.63261999999999996</v>
        <stp/>
        <stp>21422436</stp>
        <stp>@bh,CADCHF,h1,close,18</stp>
        <tr r="Z20" s="3"/>
      </tp>
      <tp>
        <v>0.63275000000000003</v>
        <stp/>
        <stp>21422436</stp>
        <stp>@bh,CADCHF,h1,close,19</stp>
        <tr r="Z21" s="3"/>
      </tp>
      <tp>
        <v>0.63188</v>
        <stp/>
        <stp>21422436</stp>
        <stp>@bh,CADCHF,h1,close,12</stp>
        <tr r="Z14" s="3"/>
      </tp>
      <tp>
        <v>0.63214999999999999</v>
        <stp/>
        <stp>21422436</stp>
        <stp>@bh,CADCHF,h1,close,13</stp>
        <tr r="Z15" s="3"/>
      </tp>
      <tp>
        <v>0.63205999999999996</v>
        <stp/>
        <stp>21422436</stp>
        <stp>@bh,CADCHF,h1,close,10</stp>
        <tr r="Z12" s="3"/>
      </tp>
      <tp>
        <v>0.63205</v>
        <stp/>
        <stp>21422436</stp>
        <stp>@bh,CADCHF,h1,close,11</stp>
        <tr r="Z13" s="3"/>
      </tp>
      <tp>
        <v>0.63236999999999999</v>
        <stp/>
        <stp>21422436</stp>
        <stp>@bh,CADCHF,h1,close,16</stp>
        <tr r="Z18" s="3"/>
      </tp>
      <tp>
        <v>0.63285999999999998</v>
        <stp/>
        <stp>21422436</stp>
        <stp>@bh,CADCHF,h1,close,17</stp>
        <tr r="Z19" s="3"/>
      </tp>
      <tp>
        <v>0.63278999999999996</v>
        <stp/>
        <stp>21422436</stp>
        <stp>@bh,CADCHF,h1,close,14</stp>
        <tr r="Z16" s="3"/>
      </tp>
      <tp>
        <v>0.63268999999999997</v>
        <stp/>
        <stp>21422436</stp>
        <stp>@bh,CADCHF,h1,close,15</stp>
        <tr r="Z17" s="3"/>
      </tp>
      <tp>
        <v>0.57874999999999999</v>
        <stp/>
        <stp>21422436</stp>
        <stp>@bh,AUDCHF,h1,close,26</stp>
        <tr r="F28" s="3"/>
      </tp>
      <tp>
        <v>0.57884999999999998</v>
        <stp/>
        <stp>21422436</stp>
        <stp>@bh,AUDCHF,h1,close,27</stp>
        <tr r="F29" s="3"/>
      </tp>
      <tp>
        <v>0.57950000000000002</v>
        <stp/>
        <stp>21422436</stp>
        <stp>@bh,AUDCHF,h1,close,24</stp>
        <tr r="F26" s="3"/>
      </tp>
      <tp>
        <v>0.57952000000000004</v>
        <stp/>
        <stp>21422436</stp>
        <stp>@bh,AUDCHF,h1,close,25</stp>
        <tr r="F27" s="3"/>
      </tp>
      <tp>
        <v>0.57940000000000003</v>
        <stp/>
        <stp>21422436</stp>
        <stp>@bh,AUDCHF,h1,close,22</stp>
        <tr r="F24" s="3"/>
      </tp>
      <tp>
        <v>0.57987999999999995</v>
        <stp/>
        <stp>21422436</stp>
        <stp>@bh,AUDCHF,h1,close,23</stp>
        <tr r="F25" s="3"/>
      </tp>
      <tp>
        <v>0.58033999999999997</v>
        <stp/>
        <stp>21422436</stp>
        <stp>@bh,AUDCHF,h1,close,20</stp>
        <tr r="F22" s="3"/>
      </tp>
      <tp>
        <v>0.57996000000000003</v>
        <stp/>
        <stp>21422436</stp>
        <stp>@bh,AUDCHF,h1,close,21</stp>
        <tr r="F23" s="3"/>
      </tp>
      <tp>
        <v>0.58072000000000001</v>
        <stp/>
        <stp>21422436</stp>
        <stp>@bh,AUDCHF,h1,close,18</stp>
        <tr r="F20" s="3"/>
      </tp>
      <tp>
        <v>0.58059000000000005</v>
        <stp/>
        <stp>21422436</stp>
        <stp>@bh,AUDCHF,h1,close,19</stp>
        <tr r="F21" s="3"/>
      </tp>
      <tp>
        <v>0.58033999999999997</v>
        <stp/>
        <stp>21422436</stp>
        <stp>@bh,AUDCHF,h1,close,16</stp>
        <tr r="F18" s="3"/>
      </tp>
      <tp>
        <v>0.58087</v>
        <stp/>
        <stp>21422436</stp>
        <stp>@bh,AUDCHF,h1,close,17</stp>
        <tr r="F19" s="3"/>
      </tp>
      <tp>
        <v>0.58084999999999998</v>
        <stp/>
        <stp>21422436</stp>
        <stp>@bh,AUDCHF,h1,close,14</stp>
        <tr r="F16" s="3"/>
      </tp>
      <tp>
        <v>0.58077000000000001</v>
        <stp/>
        <stp>21422436</stp>
        <stp>@bh,AUDCHF,h1,close,15</stp>
        <tr r="F17" s="3"/>
      </tp>
      <tp>
        <v>0.57940999999999998</v>
        <stp/>
        <stp>21422436</stp>
        <stp>@bh,AUDCHF,h1,close,12</stp>
        <tr r="F14" s="3"/>
      </tp>
      <tp>
        <v>0.57974999999999999</v>
        <stp/>
        <stp>21422436</stp>
        <stp>@bh,AUDCHF,h1,close,13</stp>
        <tr r="F15" s="3"/>
      </tp>
      <tp>
        <v>0.57916999999999996</v>
        <stp/>
        <stp>21422436</stp>
        <stp>@bh,AUDCHF,h1,close,10</stp>
        <tr r="F12" s="3"/>
      </tp>
      <tp>
        <v>0.57930999999999999</v>
        <stp/>
        <stp>21422436</stp>
        <stp>@bh,AUDCHF,h1,close,11</stp>
        <tr r="F13" s="3"/>
      </tp>
      <tp>
        <v>0.63177000000000005</v>
        <stp/>
        <stp>21422436</stp>
        <stp>@bh,CADCHF,h1,close,22</stp>
        <tr r="Z24" s="3"/>
      </tp>
      <tp>
        <v>0.63280000000000003</v>
        <stp/>
        <stp>21422436</stp>
        <stp>@bh,CADCHF,h1,close,23</stp>
        <tr r="Z25" s="3"/>
      </tp>
      <tp>
        <v>0.63236999999999999</v>
        <stp/>
        <stp>21422436</stp>
        <stp>@bh,CADCHF,h1,close,20</stp>
        <tr r="Z22" s="3"/>
      </tp>
      <tp>
        <v>0.63229000000000002</v>
        <stp/>
        <stp>21422436</stp>
        <stp>@bh,CADCHF,h1,close,21</stp>
        <tr r="Z23" s="3"/>
      </tp>
      <tp>
        <v>0.63180000000000003</v>
        <stp/>
        <stp>21422436</stp>
        <stp>@bh,CADCHF,h1,close,26</stp>
        <tr r="Z28" s="3"/>
      </tp>
      <tp>
        <v>0.63236000000000003</v>
        <stp/>
        <stp>21422436</stp>
        <stp>@bh,CADCHF,h1,close,27</stp>
        <tr r="Z29" s="3"/>
      </tp>
      <tp>
        <v>0.63302000000000003</v>
        <stp/>
        <stp>21422436</stp>
        <stp>@bh,CADCHF,h1,close,24</stp>
        <tr r="Z26" s="3"/>
      </tp>
      <tp>
        <v>0.63295000000000001</v>
        <stp/>
        <stp>21422436</stp>
        <stp>@bh,CADCHF,h1,close,25</stp>
        <tr r="Z27" s="3"/>
      </tp>
      <tp>
        <v>0.83396999999999999</v>
        <stp/>
        <stp>21422436</stp>
        <stp>@bh,NZDCAD,h1,close,13</stp>
        <tr r="X15" s="3"/>
      </tp>
      <tp>
        <v>0.83443999999999996</v>
        <stp/>
        <stp>21422436</stp>
        <stp>@bh,NZDCAD,h1,close,12</stp>
        <tr r="X14" s="3"/>
      </tp>
      <tp>
        <v>0.83382000000000001</v>
        <stp/>
        <stp>21422436</stp>
        <stp>@bh,NZDCAD,h1,close,11</stp>
        <tr r="X13" s="3"/>
      </tp>
      <tp>
        <v>0.83399999999999996</v>
        <stp/>
        <stp>21422436</stp>
        <stp>@bh,NZDCAD,h1,close,10</stp>
        <tr r="X12" s="3"/>
      </tp>
      <tp>
        <v>0.83350999999999997</v>
        <stp/>
        <stp>21422436</stp>
        <stp>@bh,NZDCAD,h1,close,17</stp>
        <tr r="X19" s="3"/>
      </tp>
      <tp>
        <v>0.83296999999999999</v>
        <stp/>
        <stp>21422436</stp>
        <stp>@bh,NZDCAD,h1,close,16</stp>
        <tr r="X18" s="3"/>
      </tp>
      <tp>
        <v>0.8337</v>
        <stp/>
        <stp>21422436</stp>
        <stp>@bh,NZDCAD,h1,close,15</stp>
        <tr r="X17" s="3"/>
      </tp>
      <tp>
        <v>0.83386000000000005</v>
        <stp/>
        <stp>21422436</stp>
        <stp>@bh,NZDCAD,h1,close,14</stp>
        <tr r="X16" s="3"/>
      </tp>
      <tp>
        <v>0.83289000000000002</v>
        <stp/>
        <stp>21422436</stp>
        <stp>@bh,NZDCAD,h1,close,19</stp>
        <tr r="X21" s="3"/>
      </tp>
      <tp>
        <v>0.83311999999999997</v>
        <stp/>
        <stp>21422436</stp>
        <stp>@bh,NZDCAD,h1,close,18</stp>
        <tr r="X20" s="3"/>
      </tp>
      <tp>
        <v>1.12077</v>
        <stp/>
        <stp>21422436</stp>
        <stp>@bh,GBPCHF,h1,close,19</stp>
        <tr r="S21" s="3"/>
      </tp>
      <tp>
        <v>1.12056</v>
        <stp/>
        <stp>21422436</stp>
        <stp>@bh,GBPCHF,h1,close,18</stp>
        <tr r="S20" s="3"/>
      </tp>
      <tp>
        <v>1.1187400000000001</v>
        <stp/>
        <stp>21422436</stp>
        <stp>@bh,GBPCHF,h1,close,11</stp>
        <tr r="S13" s="3"/>
      </tp>
      <tp>
        <v>1.1189499999999999</v>
        <stp/>
        <stp>21422436</stp>
        <stp>@bh,GBPCHF,h1,close,10</stp>
        <tr r="S12" s="3"/>
      </tp>
      <tp>
        <v>1.1192</v>
        <stp/>
        <stp>21422436</stp>
        <stp>@bh,GBPCHF,h1,close,13</stp>
        <tr r="S15" s="3"/>
      </tp>
      <tp>
        <v>1.11842</v>
        <stp/>
        <stp>21422436</stp>
        <stp>@bh,GBPCHF,h1,close,12</stp>
        <tr r="S14" s="3"/>
      </tp>
      <tp>
        <v>1.1204099999999999</v>
        <stp/>
        <stp>21422436</stp>
        <stp>@bh,GBPCHF,h1,close,15</stp>
        <tr r="S17" s="3"/>
      </tp>
      <tp>
        <v>1.1204400000000001</v>
        <stp/>
        <stp>21422436</stp>
        <stp>@bh,GBPCHF,h1,close,14</stp>
        <tr r="S16" s="3"/>
      </tp>
      <tp>
        <v>1.1209100000000001</v>
        <stp/>
        <stp>21422436</stp>
        <stp>@bh,GBPCHF,h1,close,17</stp>
        <tr r="S19" s="3"/>
      </tp>
      <tp>
        <v>1.1199600000000001</v>
        <stp/>
        <stp>21422436</stp>
        <stp>@bh,GBPCHF,h1,close,16</stp>
        <tr r="S18" s="3"/>
      </tp>
      <tp>
        <v>0.95406000000000002</v>
        <stp/>
        <stp>21422436</stp>
        <stp>@bh,EURCHF,h1,close,26</stp>
        <tr r="K28" s="3"/>
      </tp>
      <tp>
        <v>0.95496999999999999</v>
        <stp/>
        <stp>21422436</stp>
        <stp>@bh,EURCHF,h1,close,27</stp>
        <tr r="K29" s="3"/>
      </tp>
      <tp>
        <v>0.95513999999999999</v>
        <stp/>
        <stp>21422436</stp>
        <stp>@bh,EURCHF,h1,close,24</stp>
        <tr r="K26" s="3"/>
      </tp>
      <tp>
        <v>0.95526</v>
        <stp/>
        <stp>21422436</stp>
        <stp>@bh,EURCHF,h1,close,25</stp>
        <tr r="K27" s="3"/>
      </tp>
      <tp>
        <v>0.95521</v>
        <stp/>
        <stp>21422436</stp>
        <stp>@bh,EURCHF,h1,close,22</stp>
        <tr r="K24" s="3"/>
      </tp>
      <tp>
        <v>0.95540999999999998</v>
        <stp/>
        <stp>21422436</stp>
        <stp>@bh,EURCHF,h1,close,23</stp>
        <tr r="K25" s="3"/>
      </tp>
      <tp>
        <v>0.95552999999999999</v>
        <stp/>
        <stp>21422436</stp>
        <stp>@bh,EURCHF,h1,close,20</stp>
        <tr r="K22" s="3"/>
      </tp>
      <tp>
        <v>0.95565</v>
        <stp/>
        <stp>21422436</stp>
        <stp>@bh,EURCHF,h1,close,21</stp>
        <tr r="K23" s="3"/>
      </tp>
      <tp>
        <v>0.95611000000000002</v>
        <stp/>
        <stp>21422436</stp>
        <stp>@bh,EURCHF,h1,close,18</stp>
        <tr r="K20" s="3"/>
      </tp>
      <tp>
        <v>0.95599999999999996</v>
        <stp/>
        <stp>21422436</stp>
        <stp>@bh,EURCHF,h1,close,19</stp>
        <tr r="K21" s="3"/>
      </tp>
      <tp>
        <v>0.95591999999999999</v>
        <stp/>
        <stp>21422436</stp>
        <stp>@bh,EURCHF,h1,close,16</stp>
        <tr r="K18" s="3"/>
      </tp>
      <tp>
        <v>0.95650000000000002</v>
        <stp/>
        <stp>21422436</stp>
        <stp>@bh,EURCHF,h1,close,17</stp>
        <tr r="K19" s="3"/>
      </tp>
      <tp>
        <v>0.95623000000000002</v>
        <stp/>
        <stp>21422436</stp>
        <stp>@bh,EURCHF,h1,close,14</stp>
        <tr r="K16" s="3"/>
      </tp>
      <tp>
        <v>0.95616999999999996</v>
        <stp/>
        <stp>21422436</stp>
        <stp>@bh,EURCHF,h1,close,15</stp>
        <tr r="K17" s="3"/>
      </tp>
      <tp>
        <v>0.95476000000000005</v>
        <stp/>
        <stp>21422436</stp>
        <stp>@bh,EURCHF,h1,close,12</stp>
        <tr r="K14" s="3"/>
      </tp>
      <tp>
        <v>0.95523999999999998</v>
        <stp/>
        <stp>21422436</stp>
        <stp>@bh,EURCHF,h1,close,13</stp>
        <tr r="K15" s="3"/>
      </tp>
      <tp>
        <v>0.95484999999999998</v>
        <stp/>
        <stp>21422436</stp>
        <stp>@bh,EURCHF,h1,close,10</stp>
        <tr r="K12" s="3"/>
      </tp>
      <tp>
        <v>0.95474999999999999</v>
        <stp/>
        <stp>21422436</stp>
        <stp>@bh,EURCHF,h1,close,11</stp>
        <tr r="K13" s="3"/>
      </tp>
      <tp>
        <v>0.83128000000000002</v>
        <stp/>
        <stp>21422436</stp>
        <stp>@bh,NZDCAD,h1,close,23</stp>
        <tr r="X25" s="3"/>
      </tp>
      <tp>
        <v>0.83218000000000003</v>
        <stp/>
        <stp>21422436</stp>
        <stp>@bh,NZDCAD,h1,close,22</stp>
        <tr r="X24" s="3"/>
      </tp>
      <tp>
        <v>0.83172999999999997</v>
        <stp/>
        <stp>21422436</stp>
        <stp>@bh,NZDCAD,h1,close,21</stp>
        <tr r="X23" s="3"/>
      </tp>
      <tp>
        <v>0.83294999999999997</v>
        <stp/>
        <stp>21422436</stp>
        <stp>@bh,NZDCAD,h1,close,20</stp>
        <tr r="X22" s="3"/>
      </tp>
      <tp>
        <v>0.83042000000000005</v>
        <stp/>
        <stp>21422436</stp>
        <stp>@bh,NZDCAD,h1,close,27</stp>
        <tr r="X29" s="3"/>
      </tp>
      <tp>
        <v>0.83099999999999996</v>
        <stp/>
        <stp>21422436</stp>
        <stp>@bh,NZDCAD,h1,close,26</stp>
        <tr r="X28" s="3"/>
      </tp>
      <tp>
        <v>0.83035000000000003</v>
        <stp/>
        <stp>21422436</stp>
        <stp>@bh,NZDCAD,h1,close,25</stp>
        <tr r="X27" s="3"/>
      </tp>
      <tp>
        <v>0.83057000000000003</v>
        <stp/>
        <stp>21422436</stp>
        <stp>@bh,NZDCAD,h1,close,24</stp>
        <tr r="X26" s="3"/>
      </tp>
      <tp>
        <v>1.12036</v>
        <stp/>
        <stp>21422436</stp>
        <stp>@bh,GBPCHF,h1,close,21</stp>
        <tr r="S23" s="3"/>
      </tp>
      <tp>
        <v>1.1205700000000001</v>
        <stp/>
        <stp>21422436</stp>
        <stp>@bh,GBPCHF,h1,close,20</stp>
        <tr r="S22" s="3"/>
      </tp>
      <tp>
        <v>1.1213</v>
        <stp/>
        <stp>21422436</stp>
        <stp>@bh,GBPCHF,h1,close,23</stp>
        <tr r="S25" s="3"/>
      </tp>
      <tp>
        <v>1.12012</v>
        <stp/>
        <stp>21422436</stp>
        <stp>@bh,GBPCHF,h1,close,22</stp>
        <tr r="S24" s="3"/>
      </tp>
      <tp>
        <v>1.1207199999999999</v>
        <stp/>
        <stp>21422436</stp>
        <stp>@bh,GBPCHF,h1,close,25</stp>
        <tr r="S27" s="3"/>
      </tp>
      <tp>
        <v>1.1210100000000001</v>
        <stp/>
        <stp>21422436</stp>
        <stp>@bh,GBPCHF,h1,close,24</stp>
        <tr r="S26" s="3"/>
      </tp>
      <tp>
        <v>1.1204799999999999</v>
        <stp/>
        <stp>21422436</stp>
        <stp>@bh,GBPCHF,h1,close,27</stp>
        <tr r="S29" s="3"/>
      </tp>
      <tp>
        <v>1.11947</v>
        <stp/>
        <stp>21422436</stp>
        <stp>@bh,GBPCHF,h1,close,26</stp>
        <tr r="S28" s="3"/>
      </tp>
      <tp>
        <v>0.91544000000000003</v>
        <stp/>
        <stp>21422436</stp>
        <stp>@bh,AUDCAD,h1,close,24</stp>
        <tr r="G26" s="3"/>
      </tp>
      <tp>
        <v>0.91559000000000001</v>
        <stp/>
        <stp>21422436</stp>
        <stp>@bh,AUDCAD,h1,close,25</stp>
        <tr r="G27" s="3"/>
      </tp>
      <tp>
        <v>0.91601999999999995</v>
        <stp/>
        <stp>21422436</stp>
        <stp>@bh,AUDCAD,h1,close,26</stp>
        <tr r="G28" s="3"/>
      </tp>
      <tp>
        <v>0.91537000000000002</v>
        <stp/>
        <stp>21422436</stp>
        <stp>@bh,AUDCAD,h1,close,27</stp>
        <tr r="G29" s="3"/>
      </tp>
      <tp>
        <v>0.91771999999999998</v>
        <stp/>
        <stp>21422436</stp>
        <stp>@bh,AUDCAD,h1,close,20</stp>
        <tr r="G22" s="3"/>
      </tp>
      <tp>
        <v>0.91722000000000004</v>
        <stp/>
        <stp>21422436</stp>
        <stp>@bh,AUDCAD,h1,close,21</stp>
        <tr r="G23" s="3"/>
      </tp>
      <tp>
        <v>0.91710000000000003</v>
        <stp/>
        <stp>21422436</stp>
        <stp>@bh,AUDCAD,h1,close,22</stp>
        <tr r="G24" s="3"/>
      </tp>
      <tp>
        <v>0.91637000000000002</v>
        <stp/>
        <stp>21422436</stp>
        <stp>@bh,AUDCAD,h1,close,23</stp>
        <tr r="G25" s="3"/>
      </tp>
      <tp>
        <v>0.91796</v>
        <stp/>
        <stp>21422436</stp>
        <stp>@bh,AUDCAD,h1,close,18</stp>
        <tr r="G20" s="3"/>
      </tp>
      <tp>
        <v>0.91756000000000004</v>
        <stp/>
        <stp>21422436</stp>
        <stp>@bh,AUDCAD,h1,close,19</stp>
        <tr r="G21" s="3"/>
      </tp>
      <tp>
        <v>0.91791999999999996</v>
        <stp/>
        <stp>21422436</stp>
        <stp>@bh,AUDCAD,h1,close,14</stp>
        <tr r="G16" s="3"/>
      </tp>
      <tp>
        <v>0.91791999999999996</v>
        <stp/>
        <stp>21422436</stp>
        <stp>@bh,AUDCAD,h1,close,15</stp>
        <tr r="G17" s="3"/>
      </tp>
      <tp>
        <v>0.91752999999999996</v>
        <stp/>
        <stp>21422436</stp>
        <stp>@bh,AUDCAD,h1,close,16</stp>
        <tr r="G18" s="3"/>
      </tp>
      <tp>
        <v>0.91774999999999995</v>
        <stp/>
        <stp>21422436</stp>
        <stp>@bh,AUDCAD,h1,close,17</stp>
        <tr r="G19" s="3"/>
      </tp>
      <tp>
        <v>0.91632000000000002</v>
        <stp/>
        <stp>21422436</stp>
        <stp>@bh,AUDCAD,h1,close,10</stp>
        <tr r="G12" s="3"/>
      </tp>
      <tp>
        <v>0.91652999999999996</v>
        <stp/>
        <stp>21422436</stp>
        <stp>@bh,AUDCAD,h1,close,11</stp>
        <tr r="G13" s="3"/>
      </tp>
      <tp>
        <v>0.91695000000000004</v>
        <stp/>
        <stp>21422436</stp>
        <stp>@bh,AUDCAD,h1,close,12</stp>
        <tr r="G14" s="3"/>
      </tp>
      <tp>
        <v>0.91710000000000003</v>
        <stp/>
        <stp>21422436</stp>
        <stp>@bh,AUDCAD,h1,close,13</stp>
        <tr r="G15" s="3"/>
      </tp>
      <tp>
        <v>1.5088699999999999</v>
        <stp/>
        <stp>21422436</stp>
        <stp>@bh,EURCAD,h1,close,24</stp>
        <tr r="I26" s="3"/>
      </tp>
      <tp>
        <v>1.5092399999999999</v>
        <stp/>
        <stp>21422436</stp>
        <stp>@bh,EURCAD,h1,close,25</stp>
        <tr r="I27" s="3"/>
      </tp>
      <tp>
        <v>1.5099899999999999</v>
        <stp/>
        <stp>21422436</stp>
        <stp>@bh,EURCAD,h1,close,26</stp>
        <tr r="I28" s="3"/>
      </tp>
      <tp>
        <v>1.5101599999999999</v>
        <stp/>
        <stp>21422436</stp>
        <stp>@bh,EURCAD,h1,close,27</stp>
        <tr r="I29" s="3"/>
      </tp>
      <tp>
        <v>1.5109900000000001</v>
        <stp/>
        <stp>21422436</stp>
        <stp>@bh,EURCAD,h1,close,20</stp>
        <tr r="I22" s="3"/>
      </tp>
      <tp>
        <v>1.5114300000000001</v>
        <stp/>
        <stp>21422436</stp>
        <stp>@bh,EURCAD,h1,close,21</stp>
        <tr r="I23" s="3"/>
      </tp>
      <tp>
        <v>1.5119100000000001</v>
        <stp/>
        <stp>21422436</stp>
        <stp>@bh,EURCAD,h1,close,22</stp>
        <tr r="I24" s="3"/>
      </tp>
      <tp>
        <v>1.5098199999999999</v>
        <stp/>
        <stp>21422436</stp>
        <stp>@bh,EURCAD,h1,close,23</stp>
        <tr r="I25" s="3"/>
      </tp>
      <tp>
        <v>0.52703999999999995</v>
        <stp/>
        <stp>21422436</stp>
        <stp>@bh,NZDCHF,h1,close,11</stp>
        <tr r="V13" s="3"/>
      </tp>
      <tp>
        <v>0.52715000000000001</v>
        <stp/>
        <stp>21422436</stp>
        <stp>@bh,NZDCHF,h1,close,10</stp>
        <tr r="V12" s="3"/>
      </tp>
      <tp>
        <v>0.5272</v>
        <stp/>
        <stp>21422436</stp>
        <stp>@bh,NZDCHF,h1,close,13</stp>
        <tr r="V15" s="3"/>
      </tp>
      <tp>
        <v>0.52727999999999997</v>
        <stp/>
        <stp>21422436</stp>
        <stp>@bh,NZDCHF,h1,close,12</stp>
        <tr r="V14" s="3"/>
      </tp>
      <tp>
        <v>0.52749999999999997</v>
        <stp/>
        <stp>21422436</stp>
        <stp>@bh,NZDCHF,h1,close,15</stp>
        <tr r="V17" s="3"/>
      </tp>
      <tp>
        <v>0.52766999999999997</v>
        <stp/>
        <stp>21422436</stp>
        <stp>@bh,NZDCHF,h1,close,14</stp>
        <tr r="V16" s="3"/>
      </tp>
      <tp>
        <v>0.52749999999999997</v>
        <stp/>
        <stp>21422436</stp>
        <stp>@bh,NZDCHF,h1,close,17</stp>
        <tr r="V19" s="3"/>
      </tp>
      <tp>
        <v>0.52685999999999999</v>
        <stp/>
        <stp>21422436</stp>
        <stp>@bh,NZDCHF,h1,close,16</stp>
        <tr r="V18" s="3"/>
      </tp>
      <tp>
        <v>0.52700999999999998</v>
        <stp/>
        <stp>21422436</stp>
        <stp>@bh,NZDCHF,h1,close,19</stp>
        <tr r="V21" s="3"/>
      </tp>
      <tp>
        <v>0.52700999999999998</v>
        <stp/>
        <stp>21422436</stp>
        <stp>@bh,NZDCHF,h1,close,18</stp>
        <tr r="V20" s="3"/>
      </tp>
      <tp>
        <v>1.7712600000000001</v>
        <stp/>
        <stp>21422436</stp>
        <stp>@bh,GBPCAD,h1,close,19</stp>
        <tr r="R21" s="3"/>
      </tp>
      <tp>
        <v>1.7712699999999999</v>
        <stp/>
        <stp>21422436</stp>
        <stp>@bh,GBPCAD,h1,close,18</stp>
        <tr r="R20" s="3"/>
      </tp>
      <tp>
        <v>1.7704599999999999</v>
        <stp/>
        <stp>21422436</stp>
        <stp>@bh,GBPCAD,h1,close,13</stp>
        <tr r="R15" s="3"/>
      </tp>
      <tp>
        <v>1.76997</v>
        <stp/>
        <stp>21422436</stp>
        <stp>@bh,GBPCAD,h1,close,12</stp>
        <tr r="R14" s="3"/>
      </tp>
      <tp>
        <v>1.76996</v>
        <stp/>
        <stp>21422436</stp>
        <stp>@bh,GBPCAD,h1,close,11</stp>
        <tr r="R13" s="3"/>
      </tp>
      <tp>
        <v>1.7703100000000001</v>
        <stp/>
        <stp>21422436</stp>
        <stp>@bh,GBPCAD,h1,close,10</stp>
        <tr r="R12" s="3"/>
      </tp>
      <tp>
        <v>1.77101</v>
        <stp/>
        <stp>21422436</stp>
        <stp>@bh,GBPCAD,h1,close,17</stp>
        <tr r="R19" s="3"/>
      </tp>
      <tp>
        <v>1.7706599999999999</v>
        <stp/>
        <stp>21422436</stp>
        <stp>@bh,GBPCAD,h1,close,16</stp>
        <tr r="R18" s="3"/>
      </tp>
      <tp>
        <v>1.7707999999999999</v>
        <stp/>
        <stp>21422436</stp>
        <stp>@bh,GBPCAD,h1,close,15</stp>
        <tr r="R17" s="3"/>
      </tp>
      <tp>
        <v>1.77061</v>
        <stp/>
        <stp>21422436</stp>
        <stp>@bh,GBPCAD,h1,close,14</stp>
        <tr r="R16" s="3"/>
      </tp>
      <tp>
        <v>0.52590999999999999</v>
        <stp/>
        <stp>21422436</stp>
        <stp>@bh,NZDCHF,h1,close,21</stp>
        <tr r="V23" s="3"/>
      </tp>
      <tp>
        <v>0.52673999999999999</v>
        <stp/>
        <stp>21422436</stp>
        <stp>@bh,NZDCHF,h1,close,20</stp>
        <tr r="V22" s="3"/>
      </tp>
      <tp>
        <v>0.52603999999999995</v>
        <stp/>
        <stp>21422436</stp>
        <stp>@bh,NZDCHF,h1,close,23</stp>
        <tr r="V25" s="3"/>
      </tp>
      <tp>
        <v>0.52576999999999996</v>
        <stp/>
        <stp>21422436</stp>
        <stp>@bh,NZDCHF,h1,close,22</stp>
        <tr r="V24" s="3"/>
      </tp>
      <tp>
        <v>0.52558000000000005</v>
        <stp/>
        <stp>21422436</stp>
        <stp>@bh,NZDCHF,h1,close,25</stp>
        <tr r="V27" s="3"/>
      </tp>
      <tp>
        <v>0.52576999999999996</v>
        <stp/>
        <stp>21422436</stp>
        <stp>@bh,NZDCHF,h1,close,24</stp>
        <tr r="V26" s="3"/>
      </tp>
      <tp>
        <v>0.52514000000000005</v>
        <stp/>
        <stp>21422436</stp>
        <stp>@bh,NZDCHF,h1,close,27</stp>
        <tr r="V29" s="3"/>
      </tp>
      <tp>
        <v>0.52503999999999995</v>
        <stp/>
        <stp>21422436</stp>
        <stp>@bh,NZDCHF,h1,close,26</stp>
        <tr r="V28" s="3"/>
      </tp>
      <tp>
        <v>1.7719400000000001</v>
        <stp/>
        <stp>21422436</stp>
        <stp>@bh,GBPCAD,h1,close,23</stp>
        <tr r="R25" s="3"/>
      </tp>
      <tp>
        <v>1.7729299999999999</v>
        <stp/>
        <stp>21422436</stp>
        <stp>@bh,GBPCAD,h1,close,22</stp>
        <tr r="R24" s="3"/>
      </tp>
      <tp>
        <v>1.7718799999999999</v>
        <stp/>
        <stp>21422436</stp>
        <stp>@bh,GBPCAD,h1,close,21</stp>
        <tr r="R23" s="3"/>
      </tp>
      <tp>
        <v>1.772</v>
        <stp/>
        <stp>21422436</stp>
        <stp>@bh,GBPCAD,h1,close,20</stp>
        <tr r="R22" s="3"/>
      </tp>
      <tp>
        <v>1.77186</v>
        <stp/>
        <stp>21422436</stp>
        <stp>@bh,GBPCAD,h1,close,27</stp>
        <tr r="R29" s="3"/>
      </tp>
      <tp>
        <v>1.7718400000000001</v>
        <stp/>
        <stp>21422436</stp>
        <stp>@bh,GBPCAD,h1,close,26</stp>
        <tr r="R28" s="3"/>
      </tp>
      <tp>
        <v>1.7706299999999999</v>
        <stp/>
        <stp>21422436</stp>
        <stp>@bh,GBPCAD,h1,close,25</stp>
        <tr r="R27" s="3"/>
      </tp>
      <tp>
        <v>1.7708699999999999</v>
        <stp/>
        <stp>21422436</stp>
        <stp>@bh,GBPCAD,h1,close,24</stp>
        <tr r="R26" s="3"/>
      </tp>
      <tp>
        <v>1.51135</v>
        <stp/>
        <stp>21422436</stp>
        <stp>@bh,EURCAD,h1,close,18</stp>
        <tr r="I20" s="3"/>
      </tp>
      <tp>
        <v>1.5107900000000001</v>
        <stp/>
        <stp>21422436</stp>
        <stp>@bh,EURCAD,h1,close,19</stp>
        <tr r="I21" s="3"/>
      </tp>
      <tp>
        <v>1.51112</v>
        <stp/>
        <stp>21422436</stp>
        <stp>@bh,EURCAD,h1,close,14</stp>
        <tr r="I16" s="3"/>
      </tp>
      <tp>
        <v>1.5112300000000001</v>
        <stp/>
        <stp>21422436</stp>
        <stp>@bh,EURCAD,h1,close,15</stp>
        <tr r="I17" s="3"/>
      </tp>
      <tp>
        <v>1.51111</v>
        <stp/>
        <stp>21422436</stp>
        <stp>@bh,EURCAD,h1,close,16</stp>
        <tr r="I18" s="3"/>
      </tp>
      <tp>
        <v>1.51122</v>
        <stp/>
        <stp>21422436</stp>
        <stp>@bh,EURCAD,h1,close,17</stp>
        <tr r="I19" s="3"/>
      </tp>
      <tp>
        <v>1.5107200000000001</v>
        <stp/>
        <stp>21422436</stp>
        <stp>@bh,EURCAD,h1,close,10</stp>
        <tr r="I12" s="3"/>
      </tp>
      <tp>
        <v>1.5104900000000001</v>
        <stp/>
        <stp>21422436</stp>
        <stp>@bh,EURCAD,h1,close,11</stp>
        <tr r="I13" s="3"/>
      </tp>
      <tp>
        <v>1.5109900000000001</v>
        <stp/>
        <stp>21422436</stp>
        <stp>@bh,EURCAD,h1,close,12</stp>
        <tr r="I14" s="3"/>
      </tp>
      <tp>
        <v>1.51112</v>
        <stp/>
        <stp>21422436</stp>
        <stp>@bh,EURCAD,h1,close,13</stp>
        <tr r="I15" s="3"/>
      </tp>
      <tp>
        <v>0.86267000000000005</v>
        <stp/>
        <stp>21422436</stp>
        <stp>@bh,USDCHF,h1,close,20</stp>
        <tr r="AC22" s="3"/>
      </tp>
      <tp>
        <v>0.86304000000000003</v>
        <stp/>
        <stp>21422436</stp>
        <stp>@bh,USDCHF,h1,close,21</stp>
        <tr r="AC23" s="3"/>
      </tp>
      <tp>
        <v>0.86295999999999995</v>
        <stp/>
        <stp>21422436</stp>
        <stp>@bh,USDCHF,h1,close,22</stp>
        <tr r="AC24" s="3"/>
      </tp>
      <tp>
        <v>0.86341999999999997</v>
        <stp/>
        <stp>21422436</stp>
        <stp>@bh,USDCHF,h1,close,23</stp>
        <tr r="AC25" s="3"/>
      </tp>
      <tp>
        <v>0.86484000000000005</v>
        <stp/>
        <stp>21422436</stp>
        <stp>@bh,USDCHF,h1,close,24</stp>
        <tr r="AC26" s="3"/>
      </tp>
      <tp>
        <v>0.86536999999999997</v>
        <stp/>
        <stp>21422436</stp>
        <stp>@bh,USDCHF,h1,close,25</stp>
        <tr r="AC27" s="3"/>
      </tp>
      <tp>
        <v>0.86402000000000001</v>
        <stp/>
        <stp>21422436</stp>
        <stp>@bh,USDCHF,h1,close,26</stp>
        <tr r="AC28" s="3"/>
      </tp>
      <tp>
        <v>0.86526999999999998</v>
        <stp/>
        <stp>21422436</stp>
        <stp>@bh,USDCHF,h1,close,27</stp>
        <tr r="AC29" s="3"/>
      </tp>
      <tp>
        <v>0.86265999999999998</v>
        <stp/>
        <stp>21422436</stp>
        <stp>@bh,USDCHF,h1,close,18</stp>
        <tr r="AC20" s="3"/>
      </tp>
      <tp>
        <v>0.86267000000000005</v>
        <stp/>
        <stp>21422436</stp>
        <stp>@bh,USDCHF,h1,close,19</stp>
        <tr r="AC21" s="3"/>
      </tp>
      <tp>
        <v>0.86214000000000002</v>
        <stp/>
        <stp>21422436</stp>
        <stp>@bh,USDCHF,h1,close,10</stp>
        <tr r="AC12" s="3"/>
      </tp>
      <tp>
        <v>0.86199999999999999</v>
        <stp/>
        <stp>21422436</stp>
        <stp>@bh,USDCHF,h1,close,11</stp>
        <tr r="AC13" s="3"/>
      </tp>
      <tp>
        <v>0.86129</v>
        <stp/>
        <stp>21422436</stp>
        <stp>@bh,USDCHF,h1,close,12</stp>
        <tr r="AC14" s="3"/>
      </tp>
      <tp>
        <v>0.86190999999999995</v>
        <stp/>
        <stp>21422436</stp>
        <stp>@bh,USDCHF,h1,close,13</stp>
        <tr r="AC15" s="3"/>
      </tp>
      <tp>
        <v>0.86258999999999997</v>
        <stp/>
        <stp>21422436</stp>
        <stp>@bh,USDCHF,h1,close,14</stp>
        <tr r="AC16" s="3"/>
      </tp>
      <tp>
        <v>0.86256999999999995</v>
        <stp/>
        <stp>21422436</stp>
        <stp>@bh,USDCHF,h1,close,15</stp>
        <tr r="AC17" s="3"/>
      </tp>
      <tp>
        <v>0.86234999999999995</v>
        <stp/>
        <stp>21422436</stp>
        <stp>@bh,USDCHF,h1,close,16</stp>
        <tr r="AC18" s="3"/>
      </tp>
      <tp>
        <v>0.86287999999999998</v>
        <stp/>
        <stp>21422436</stp>
        <stp>@bh,USDCHF,h1,close,17</stp>
        <tr r="AC19" s="3"/>
      </tp>
      <tp>
        <v>1.3659399999999999</v>
        <stp/>
        <stp>21422436</stp>
        <stp>@bh,USDCAD,h1,close,22</stp>
        <tr r="AB24" s="3"/>
      </tp>
      <tp>
        <v>1.3644799999999999</v>
        <stp/>
        <stp>21422436</stp>
        <stp>@bh,USDCAD,h1,close,23</stp>
        <tr r="AB25" s="3"/>
      </tp>
      <tp>
        <v>1.3641399999999999</v>
        <stp/>
        <stp>21422436</stp>
        <stp>@bh,USDCAD,h1,close,20</stp>
        <tr r="AB22" s="3"/>
      </tp>
      <tp>
        <v>1.36494</v>
        <stp/>
        <stp>21422436</stp>
        <stp>@bh,USDCAD,h1,close,21</stp>
        <tr r="AB23" s="3"/>
      </tp>
      <tp>
        <v>1.36754</v>
        <stp/>
        <stp>21422436</stp>
        <stp>@bh,USDCAD,h1,close,26</stp>
        <tr r="AB28" s="3"/>
      </tp>
      <tp>
        <v>1.36833</v>
        <stp/>
        <stp>21422436</stp>
        <stp>@bh,USDCAD,h1,close,27</stp>
        <tr r="AB29" s="3"/>
      </tp>
      <tp>
        <v>1.3662399999999999</v>
        <stp/>
        <stp>21422436</stp>
        <stp>@bh,USDCAD,h1,close,24</stp>
        <tr r="AB26" s="3"/>
      </tp>
      <tp>
        <v>1.3672500000000001</v>
        <stp/>
        <stp>21422436</stp>
        <stp>@bh,USDCAD,h1,close,25</stp>
        <tr r="AB27" s="3"/>
      </tp>
      <tp>
        <v>1.3636299999999999</v>
        <stp/>
        <stp>21422436</stp>
        <stp>@bh,USDCAD,h1,close,18</stp>
        <tr r="AB20" s="3"/>
      </tp>
      <tp>
        <v>1.3633999999999999</v>
        <stp/>
        <stp>21422436</stp>
        <stp>@bh,USDCAD,h1,close,19</stp>
        <tr r="AB21" s="3"/>
      </tp>
      <tp>
        <v>1.3630899999999999</v>
        <stp/>
        <stp>21422436</stp>
        <stp>@bh,USDCAD,h1,close,12</stp>
        <tr r="AB14" s="3"/>
      </tp>
      <tp>
        <v>1.3634900000000001</v>
        <stp/>
        <stp>21422436</stp>
        <stp>@bh,USDCAD,h1,close,13</stp>
        <tr r="AB15" s="3"/>
      </tp>
      <tp>
        <v>1.36405</v>
        <stp/>
        <stp>21422436</stp>
        <stp>@bh,USDCAD,h1,close,10</stp>
        <tr r="AB12" s="3"/>
      </tp>
      <tp>
        <v>1.36378</v>
        <stp/>
        <stp>21422436</stp>
        <stp>@bh,USDCAD,h1,close,11</stp>
        <tr r="AB13" s="3"/>
      </tp>
      <tp>
        <v>1.3633999999999999</v>
        <stp/>
        <stp>21422436</stp>
        <stp>@bh,USDCAD,h1,close,16</stp>
        <tr r="AB18" s="3"/>
      </tp>
      <tp>
        <v>1.36334</v>
        <stp/>
        <stp>21422436</stp>
        <stp>@bh,USDCAD,h1,close,17</stp>
        <tr r="AB19" s="3"/>
      </tp>
      <tp>
        <v>1.3632</v>
        <stp/>
        <stp>21422436</stp>
        <stp>@bh,USDCAD,h1,close,14</stp>
        <tr r="AB16" s="3"/>
      </tp>
      <tp>
        <v>1.3633299999999999</v>
        <stp/>
        <stp>21422436</stp>
        <stp>@bh,USDCAD,h1,close,15</stp>
        <tr r="AB17" s="3"/>
      </tp>
      <tp>
        <v>1.64822</v>
        <stp/>
        <stp>21422436</stp>
        <stp>@bh,EURAUD,h1,close,24</stp>
        <tr r="M26" s="3"/>
      </tp>
      <tp>
        <v>1.64838</v>
        <stp/>
        <stp>21422436</stp>
        <stp>@bh,EURAUD,h1,close,25</stp>
        <tr r="M27" s="3"/>
      </tp>
      <tp>
        <v>1.6484300000000001</v>
        <stp/>
        <stp>21422436</stp>
        <stp>@bh,EURAUD,h1,close,26</stp>
        <tr r="M28" s="3"/>
      </tp>
      <tp>
        <v>1.64978</v>
        <stp/>
        <stp>21422436</stp>
        <stp>@bh,EURAUD,h1,close,27</stp>
        <tr r="M29" s="3"/>
      </tp>
      <tp>
        <v>1.6464700000000001</v>
        <stp/>
        <stp>21422436</stp>
        <stp>@bh,EURAUD,h1,close,20</stp>
        <tr r="M22" s="3"/>
      </tp>
      <tp>
        <v>1.6478299999999999</v>
        <stp/>
        <stp>21422436</stp>
        <stp>@bh,EURAUD,h1,close,21</stp>
        <tr r="M23" s="3"/>
      </tp>
      <tp>
        <v>1.64859</v>
        <stp/>
        <stp>21422436</stp>
        <stp>@bh,EURAUD,h1,close,22</stp>
        <tr r="M24" s="3"/>
      </tp>
      <tp>
        <v>1.6476200000000001</v>
        <stp/>
        <stp>21422436</stp>
        <stp>@bh,EURAUD,h1,close,23</stp>
        <tr r="M25" s="3"/>
      </tp>
      <tp>
        <v>1.9303900000000001</v>
        <stp/>
        <stp>21422436</stp>
        <stp>@bh,GBPAUD,h1,close,19</stp>
        <tr r="P21" s="3"/>
      </tp>
      <tp>
        <v>1.9295899999999999</v>
        <stp/>
        <stp>21422436</stp>
        <stp>@bh,GBPAUD,h1,close,18</stp>
        <tr r="P20" s="3"/>
      </tp>
      <tp>
        <v>1.93049</v>
        <stp/>
        <stp>21422436</stp>
        <stp>@bh,GBPAUD,h1,close,13</stp>
        <tr r="P15" s="3"/>
      </tp>
      <tp>
        <v>1.9302699999999999</v>
        <stp/>
        <stp>21422436</stp>
        <stp>@bh,GBPAUD,h1,close,12</stp>
        <tr r="P14" s="3"/>
      </tp>
      <tp>
        <v>1.9311499999999999</v>
        <stp/>
        <stp>21422436</stp>
        <stp>@bh,GBPAUD,h1,close,11</stp>
        <tr r="P13" s="3"/>
      </tp>
      <tp>
        <v>1.9319500000000001</v>
        <stp/>
        <stp>21422436</stp>
        <stp>@bh,GBPAUD,h1,close,10</stp>
        <tr r="P12" s="3"/>
      </tp>
      <tp>
        <v>1.9295500000000001</v>
        <stp/>
        <stp>21422436</stp>
        <stp>@bh,GBPAUD,h1,close,17</stp>
        <tr r="P19" s="3"/>
      </tp>
      <tp>
        <v>1.92909</v>
        <stp/>
        <stp>21422436</stp>
        <stp>@bh,GBPAUD,h1,close,16</stp>
        <tr r="P18" s="3"/>
      </tp>
      <tp>
        <v>1.9291499999999999</v>
        <stp/>
        <stp>21422436</stp>
        <stp>@bh,GBPAUD,h1,close,15</stp>
        <tr r="P17" s="3"/>
      </tp>
      <tp>
        <v>1.9289400000000001</v>
        <stp/>
        <stp>21422436</stp>
        <stp>@bh,GBPAUD,h1,close,14</stp>
        <tr r="P16" s="3"/>
      </tp>
      <tp>
        <v>1.9336599999999999</v>
        <stp/>
        <stp>21422436</stp>
        <stp>@bh,GBPAUD,h1,close,23</stp>
        <tr r="P25" s="3"/>
      </tp>
      <tp>
        <v>1.9332</v>
        <stp/>
        <stp>21422436</stp>
        <stp>@bh,GBPAUD,h1,close,22</stp>
        <tr r="P24" s="3"/>
      </tp>
      <tp>
        <v>1.9317800000000001</v>
        <stp/>
        <stp>21422436</stp>
        <stp>@bh,GBPAUD,h1,close,21</stp>
        <tr r="P23" s="3"/>
      </tp>
      <tp>
        <v>1.9308700000000001</v>
        <stp/>
        <stp>21422436</stp>
        <stp>@bh,GBPAUD,h1,close,20</stp>
        <tr r="P22" s="3"/>
      </tp>
      <tp>
        <v>1.9356800000000001</v>
        <stp/>
        <stp>21422436</stp>
        <stp>@bh,GBPAUD,h1,close,27</stp>
        <tr r="P29" s="3"/>
      </tp>
      <tp>
        <v>1.93428</v>
        <stp/>
        <stp>21422436</stp>
        <stp>@bh,GBPAUD,h1,close,26</stp>
        <tr r="P28" s="3"/>
      </tp>
      <tp>
        <v>1.93387</v>
        <stp/>
        <stp>21422436</stp>
        <stp>@bh,GBPAUD,h1,close,25</stp>
        <tr r="P27" s="3"/>
      </tp>
      <tp>
        <v>1.9343600000000001</v>
        <stp/>
        <stp>21422436</stp>
        <stp>@bh,GBPAUD,h1,close,24</stp>
        <tr r="P26" s="3"/>
      </tp>
      <tp>
        <v>1.6464399999999999</v>
        <stp/>
        <stp>21422436</stp>
        <stp>@bh,EURAUD,h1,close,18</stp>
        <tr r="M20" s="3"/>
      </tp>
      <tp>
        <v>1.64652</v>
        <stp/>
        <stp>21422436</stp>
        <stp>@bh,EURAUD,h1,close,19</stp>
        <tr r="M21" s="3"/>
      </tp>
      <tp>
        <v>1.6462399999999999</v>
        <stp/>
        <stp>21422436</stp>
        <stp>@bh,EURAUD,h1,close,14</stp>
        <tr r="M16" s="3"/>
      </tp>
      <tp>
        <v>1.6463699999999999</v>
        <stp/>
        <stp>21422436</stp>
        <stp>@bh,EURAUD,h1,close,15</stp>
        <tr r="M17" s="3"/>
      </tp>
      <tp>
        <v>1.6463300000000001</v>
        <stp/>
        <stp>21422436</stp>
        <stp>@bh,EURAUD,h1,close,16</stp>
        <tr r="M18" s="3"/>
      </tp>
      <tp>
        <v>1.6465099999999999</v>
        <stp/>
        <stp>21422436</stp>
        <stp>@bh,EURAUD,h1,close,17</stp>
        <tr r="M19" s="3"/>
      </tp>
      <tp>
        <v>1.64866</v>
        <stp/>
        <stp>21422436</stp>
        <stp>@bh,EURAUD,h1,close,10</stp>
        <tr r="M12" s="3"/>
      </tp>
      <tp>
        <v>1.6480600000000001</v>
        <stp/>
        <stp>21422436</stp>
        <stp>@bh,EURAUD,h1,close,11</stp>
        <tr r="M13" s="3"/>
      </tp>
      <tp>
        <v>1.64784</v>
        <stp/>
        <stp>21422436</stp>
        <stp>@bh,EURAUD,h1,close,12</stp>
        <tr r="M14" s="3"/>
      </tp>
      <tp>
        <v>1.64771</v>
        <stp/>
        <stp>21422436</stp>
        <stp>@bh,EURAUD,h1,close,13</stp>
        <tr r="M15" s="3"/>
      </tp>
      <tp>
        <v>0.85319999999999996</v>
        <stp/>
        <stp>21422436</stp>
        <stp>@bh,EURGBP,h1,close,18</stp>
        <tr r="J20" s="3"/>
      </tp>
      <tp>
        <v>0.85292999999999997</v>
        <stp/>
        <stp>21422436</stp>
        <stp>@bh,EURGBP,h1,close,19</stp>
        <tr r="J21" s="3"/>
      </tp>
      <tp>
        <v>0.85336999999999996</v>
        <stp/>
        <stp>21422436</stp>
        <stp>@bh,EURGBP,h1,close,10</stp>
        <tr r="J12" s="3"/>
      </tp>
      <tp>
        <v>0.85338000000000003</v>
        <stp/>
        <stp>21422436</stp>
        <stp>@bh,EURGBP,h1,close,11</stp>
        <tr r="J13" s="3"/>
      </tp>
      <tp>
        <v>0.85367999999999999</v>
        <stp/>
        <stp>21422436</stp>
        <stp>@bh,EURGBP,h1,close,12</stp>
        <tr r="J14" s="3"/>
      </tp>
      <tp>
        <v>0.85348999999999997</v>
        <stp/>
        <stp>21422436</stp>
        <stp>@bh,EURGBP,h1,close,13</stp>
        <tr r="J15" s="3"/>
      </tp>
      <tp>
        <v>0.85343000000000002</v>
        <stp/>
        <stp>21422436</stp>
        <stp>@bh,EURGBP,h1,close,14</stp>
        <tr r="J16" s="3"/>
      </tp>
      <tp>
        <v>0.85338000000000003</v>
        <stp/>
        <stp>21422436</stp>
        <stp>@bh,EURGBP,h1,close,15</stp>
        <tr r="J17" s="3"/>
      </tp>
      <tp>
        <v>0.85323000000000004</v>
        <stp/>
        <stp>21422436</stp>
        <stp>@bh,EURGBP,h1,close,16</stp>
        <tr r="J18" s="3"/>
      </tp>
      <tp>
        <v>0.85323000000000004</v>
        <stp/>
        <stp>21422436</stp>
        <stp>@bh,EURGBP,h1,close,17</stp>
        <tr r="J19" s="3"/>
      </tp>
      <tp>
        <v>0.85267000000000004</v>
        <stp/>
        <stp>21422436</stp>
        <stp>@bh,EURGBP,h1,close,20</stp>
        <tr r="J22" s="3"/>
      </tp>
      <tp>
        <v>0.85299000000000003</v>
        <stp/>
        <stp>21422436</stp>
        <stp>@bh,EURGBP,h1,close,21</stp>
        <tr r="J23" s="3"/>
      </tp>
      <tp>
        <v>0.85277000000000003</v>
        <stp/>
        <stp>21422436</stp>
        <stp>@bh,EURGBP,h1,close,22</stp>
        <tr r="J24" s="3"/>
      </tp>
      <tp>
        <v>0.85206999999999999</v>
        <stp/>
        <stp>21422436</stp>
        <stp>@bh,EURGBP,h1,close,23</stp>
        <tr r="J25" s="3"/>
      </tp>
      <tp>
        <v>0.85202</v>
        <stp/>
        <stp>21422436</stp>
        <stp>@bh,EURGBP,h1,close,24</stp>
        <tr r="J26" s="3"/>
      </tp>
      <tp>
        <v>0.85236000000000001</v>
        <stp/>
        <stp>21422436</stp>
        <stp>@bh,EURGBP,h1,close,25</stp>
        <tr r="J27" s="3"/>
      </tp>
      <tp>
        <v>0.85221000000000002</v>
        <stp/>
        <stp>21422436</stp>
        <stp>@bh,EURGBP,h1,close,26</stp>
        <tr r="J28" s="3"/>
      </tp>
      <tp>
        <v>0.85226000000000002</v>
        <stp/>
        <stp>21422436</stp>
        <stp>@bh,EURGBP,h1,close,27</stp>
        <tr r="J29" s="3"/>
      </tp>
      <tp>
        <v>0.60924999999999996</v>
        <stp/>
        <stp>21422436</stp>
        <stp>@bh,NZDUSD,h1,close,23</stp>
        <tr r="W25" s="3"/>
      </tp>
      <tp>
        <v>0.60928000000000004</v>
        <stp/>
        <stp>21422436</stp>
        <stp>@bh,NZDUSD,h1,close,22</stp>
        <tr r="W24" s="3"/>
      </tp>
      <tp>
        <v>0.60938000000000003</v>
        <stp/>
        <stp>21422436</stp>
        <stp>@bh,NZDUSD,h1,close,21</stp>
        <tr r="W23" s="3"/>
      </tp>
      <tp>
        <v>0.61063000000000001</v>
        <stp/>
        <stp>21422436</stp>
        <stp>@bh,NZDUSD,h1,close,20</stp>
        <tr r="W22" s="3"/>
      </tp>
      <tp>
        <v>0.60690999999999995</v>
        <stp/>
        <stp>21422436</stp>
        <stp>@bh,NZDUSD,h1,close,27</stp>
        <tr r="W29" s="3"/>
      </tp>
      <tp>
        <v>0.60770000000000002</v>
        <stp/>
        <stp>21422436</stp>
        <stp>@bh,NZDUSD,h1,close,26</stp>
        <tr r="W28" s="3"/>
      </tp>
      <tp>
        <v>0.60733999999999999</v>
        <stp/>
        <stp>21422436</stp>
        <stp>@bh,NZDUSD,h1,close,25</stp>
        <tr r="W27" s="3"/>
      </tp>
      <tp>
        <v>0.60794999999999999</v>
        <stp/>
        <stp>21422436</stp>
        <stp>@bh,NZDUSD,h1,close,24</stp>
        <tr r="W26" s="3"/>
      </tp>
      <tp>
        <v>0.61167000000000005</v>
        <stp/>
        <stp>21422436</stp>
        <stp>@bh,NZDUSD,h1,close,13</stp>
        <tr r="W15" s="3"/>
      </tp>
      <tp>
        <v>0.61219000000000001</v>
        <stp/>
        <stp>21422436</stp>
        <stp>@bh,NZDUSD,h1,close,12</stp>
        <tr r="W14" s="3"/>
      </tp>
      <tp>
        <v>0.61143999999999998</v>
        <stp/>
        <stp>21422436</stp>
        <stp>@bh,NZDUSD,h1,close,11</stp>
        <tr r="W13" s="3"/>
      </tp>
      <tp>
        <v>0.61143999999999998</v>
        <stp/>
        <stp>21422436</stp>
        <stp>@bh,NZDUSD,h1,close,10</stp>
        <tr r="W12" s="3"/>
      </tp>
      <tp>
        <v>0.61141000000000001</v>
        <stp/>
        <stp>21422436</stp>
        <stp>@bh,NZDUSD,h1,close,17</stp>
        <tr r="W19" s="3"/>
      </tp>
      <tp>
        <v>0.61095999999999995</v>
        <stp/>
        <stp>21422436</stp>
        <stp>@bh,NZDUSD,h1,close,16</stp>
        <tr r="W18" s="3"/>
      </tp>
      <tp>
        <v>0.61155000000000004</v>
        <stp/>
        <stp>21422436</stp>
        <stp>@bh,NZDUSD,h1,close,15</stp>
        <tr r="W17" s="3"/>
      </tp>
      <tp>
        <v>0.61173</v>
        <stp/>
        <stp>21422436</stp>
        <stp>@bh,NZDUSD,h1,close,14</stp>
        <tr r="W16" s="3"/>
      </tp>
      <tp>
        <v>0.61092000000000002</v>
        <stp/>
        <stp>21422436</stp>
        <stp>@bh,NZDUSD,h1,close,19</stp>
        <tr r="W21" s="3"/>
      </tp>
      <tp>
        <v>0.61099999999999999</v>
        <stp/>
        <stp>21422436</stp>
        <stp>@bh,NZDUSD,h1,close,18</stp>
        <tr r="W20" s="3"/>
      </tp>
      <tp>
        <v>0.67318999999999996</v>
        <stp/>
        <stp>21422436</stp>
        <stp>@bh,AUDUSD,h1,close,18</stp>
        <tr r="C20" s="3"/>
      </tp>
      <tp>
        <v>0.67301999999999995</v>
        <stp/>
        <stp>21422436</stp>
        <stp>@bh,AUDUSD,h1,close,19</stp>
        <tr r="C21" s="3"/>
      </tp>
      <tp>
        <v>0.67337999999999998</v>
        <stp/>
        <stp>21422436</stp>
        <stp>@bh,AUDUSD,h1,close,14</stp>
        <tr r="C16" s="3"/>
      </tp>
      <tp>
        <v>0.67330999999999996</v>
        <stp/>
        <stp>21422436</stp>
        <stp>@bh,AUDUSD,h1,close,15</stp>
        <tr r="C17" s="3"/>
      </tp>
      <tp>
        <v>0.67298999999999998</v>
        <stp/>
        <stp>21422436</stp>
        <stp>@bh,AUDUSD,h1,close,16</stp>
        <tr r="C18" s="3"/>
      </tp>
      <tp>
        <v>0.67320000000000002</v>
        <stp/>
        <stp>21422436</stp>
        <stp>@bh,AUDUSD,h1,close,17</stp>
        <tr r="C19" s="3"/>
      </tp>
      <tp>
        <v>0.67178000000000004</v>
        <stp/>
        <stp>21422436</stp>
        <stp>@bh,AUDUSD,h1,close,10</stp>
        <tr r="C12" s="3"/>
      </tp>
      <tp>
        <v>0.67206999999999995</v>
        <stp/>
        <stp>21422436</stp>
        <stp>@bh,AUDUSD,h1,close,11</stp>
        <tr r="C13" s="3"/>
      </tp>
      <tp>
        <v>0.67273000000000005</v>
        <stp/>
        <stp>21422436</stp>
        <stp>@bh,AUDUSD,h1,close,12</stp>
        <tr r="C14" s="3"/>
      </tp>
      <tp>
        <v>0.67264000000000002</v>
        <stp/>
        <stp>21422436</stp>
        <stp>@bh,AUDUSD,h1,close,13</stp>
        <tr r="C15" s="3"/>
      </tp>
      <tp>
        <v>0.67008999999999996</v>
        <stp/>
        <stp>21422436</stp>
        <stp>@bh,AUDUSD,h1,close,24</stp>
        <tr r="C26" s="3"/>
      </tp>
      <tp>
        <v>0.66968000000000005</v>
        <stp/>
        <stp>21422436</stp>
        <stp>@bh,AUDUSD,h1,close,25</stp>
        <tr r="C27" s="3"/>
      </tp>
      <tp>
        <v>0.66986000000000001</v>
        <stp/>
        <stp>21422436</stp>
        <stp>@bh,AUDUSD,h1,close,26</stp>
        <tr r="C28" s="3"/>
      </tp>
      <tp>
        <v>0.66898000000000002</v>
        <stp/>
        <stp>21422436</stp>
        <stp>@bh,AUDUSD,h1,close,27</stp>
        <tr r="C29" s="3"/>
      </tp>
      <tp>
        <v>0.67276000000000002</v>
        <stp/>
        <stp>21422436</stp>
        <stp>@bh,AUDUSD,h1,close,20</stp>
        <tr r="C22" s="3"/>
      </tp>
      <tp>
        <v>0.67200000000000004</v>
        <stp/>
        <stp>21422436</stp>
        <stp>@bh,AUDUSD,h1,close,21</stp>
        <tr r="C23" s="3"/>
      </tp>
      <tp>
        <v>0.67142999999999997</v>
        <stp/>
        <stp>21422436</stp>
        <stp>@bh,AUDUSD,h1,close,22</stp>
        <tr r="C24" s="3"/>
      </tp>
      <tp>
        <v>0.67161000000000004</v>
        <stp/>
        <stp>21422436</stp>
        <stp>@bh,AUDUSD,h1,close,23</stp>
        <tr r="C25" s="3"/>
      </tp>
      <tp>
        <v>1.29867</v>
        <stp/>
        <stp>21422436</stp>
        <stp>@bh,GBPUSD,h1,close,23</stp>
        <tr r="O25" s="3"/>
      </tp>
      <tp>
        <v>1.29802</v>
        <stp/>
        <stp>21422436</stp>
        <stp>@bh,GBPUSD,h1,close,22</stp>
        <tr r="O24" s="3"/>
      </tp>
      <tp>
        <v>1.2981799999999999</v>
        <stp/>
        <stp>21422436</stp>
        <stp>@bh,GBPUSD,h1,close,21</stp>
        <tr r="O23" s="3"/>
      </tp>
      <tp>
        <v>1.2990299999999999</v>
        <stp/>
        <stp>21422436</stp>
        <stp>@bh,GBPUSD,h1,close,20</stp>
        <tr r="O22" s="3"/>
      </tp>
      <tp>
        <v>1.2949600000000001</v>
        <stp/>
        <stp>21422436</stp>
        <stp>@bh,GBPUSD,h1,close,27</stp>
        <tr r="O29" s="3"/>
      </tp>
      <tp>
        <v>1.29572</v>
        <stp/>
        <stp>21422436</stp>
        <stp>@bh,GBPUSD,h1,close,26</stp>
        <tr r="O28" s="3"/>
      </tp>
      <tp>
        <v>1.29508</v>
        <stp/>
        <stp>21422436</stp>
        <stp>@bh,GBPUSD,h1,close,25</stp>
        <tr r="O27" s="3"/>
      </tp>
      <tp>
        <v>1.2962499999999999</v>
        <stp/>
        <stp>21422436</stp>
        <stp>@bh,GBPUSD,h1,close,24</stp>
        <tr r="O26" s="3"/>
      </tp>
      <tp>
        <v>1.1083700000000001</v>
        <stp/>
        <stp>21422436</stp>
        <stp>@bh,EURUSD,h1,close,18</stp>
        <tr r="H20" s="3"/>
      </tp>
      <tp>
        <v>1.1081700000000001</v>
        <stp/>
        <stp>21422436</stp>
        <stp>@bh,EURUSD,h1,close,19</stp>
        <tr r="H21" s="3"/>
      </tp>
      <tp>
        <v>1.1085700000000001</v>
        <stp/>
        <stp>21422436</stp>
        <stp>@bh,EURUSD,h1,close,14</stp>
        <tr r="H16" s="3"/>
      </tp>
      <tp>
        <v>1.1085400000000001</v>
        <stp/>
        <stp>21422436</stp>
        <stp>@bh,EURUSD,h1,close,15</stp>
        <tr r="H17" s="3"/>
      </tp>
      <tp>
        <v>1.10836</v>
        <stp/>
        <stp>21422436</stp>
        <stp>@bh,EURUSD,h1,close,16</stp>
        <tr r="H18" s="3"/>
      </tp>
      <tp>
        <v>1.1085100000000001</v>
        <stp/>
        <stp>21422436</stp>
        <stp>@bh,EURUSD,h1,close,17</stp>
        <tr r="H19" s="3"/>
      </tp>
      <tp>
        <v>1.1075699999999999</v>
        <stp/>
        <stp>21422436</stp>
        <stp>@bh,EURUSD,h1,close,10</stp>
        <tr r="H12" s="3"/>
      </tp>
      <tp>
        <v>1.1076299999999999</v>
        <stp/>
        <stp>21422436</stp>
        <stp>@bh,EURUSD,h1,close,11</stp>
        <tr r="H13" s="3"/>
      </tp>
      <tp>
        <v>1.1085499999999999</v>
        <stp/>
        <stp>21422436</stp>
        <stp>@bh,EURUSD,h1,close,12</stp>
        <tr r="H14" s="3"/>
      </tp>
      <tp>
        <v>1.1083099999999999</v>
        <stp/>
        <stp>21422436</stp>
        <stp>@bh,EURUSD,h1,close,13</stp>
        <tr r="H15" s="3"/>
      </tp>
      <tp>
        <v>1.10446</v>
        <stp/>
        <stp>21422436</stp>
        <stp>@bh,EURUSD,h1,close,24</stp>
        <tr r="H26" s="3"/>
      </tp>
      <tp>
        <v>1.1039000000000001</v>
        <stp/>
        <stp>21422436</stp>
        <stp>@bh,EURUSD,h1,close,25</stp>
        <tr r="H27" s="3"/>
      </tp>
      <tp>
        <v>1.1042400000000001</v>
        <stp/>
        <stp>21422436</stp>
        <stp>@bh,EURUSD,h1,close,26</stp>
        <tr r="H28" s="3"/>
      </tp>
      <tp>
        <v>1.1036999999999999</v>
        <stp/>
        <stp>21422436</stp>
        <stp>@bh,EURUSD,h1,close,27</stp>
        <tr r="H29" s="3"/>
      </tp>
      <tp>
        <v>1.1076999999999999</v>
        <stp/>
        <stp>21422436</stp>
        <stp>@bh,EURUSD,h1,close,20</stp>
        <tr r="H22" s="3"/>
      </tp>
      <tp>
        <v>1.10737</v>
        <stp/>
        <stp>21422436</stp>
        <stp>@bh,EURUSD,h1,close,21</stp>
        <tr r="H23" s="3"/>
      </tp>
      <tp>
        <v>1.10693</v>
        <stp/>
        <stp>21422436</stp>
        <stp>@bh,EURUSD,h1,close,22</stp>
        <tr r="H24" s="3"/>
      </tp>
      <tp>
        <v>1.1065700000000001</v>
        <stp/>
        <stp>21422436</stp>
        <stp>@bh,EURUSD,h1,close,23</stp>
        <tr r="H25" s="3"/>
      </tp>
      <tp>
        <v>1.29921</v>
        <stp/>
        <stp>21422436</stp>
        <stp>@bh,GBPUSD,h1,close,19</stp>
        <tr r="O21" s="3"/>
      </tp>
      <tp>
        <v>1.2989999999999999</v>
        <stp/>
        <stp>21422436</stp>
        <stp>@bh,GBPUSD,h1,close,18</stp>
        <tr r="O20" s="3"/>
      </tp>
      <tp>
        <v>1.2985199999999999</v>
        <stp/>
        <stp>21422436</stp>
        <stp>@bh,GBPUSD,h1,close,13</stp>
        <tr r="O15" s="3"/>
      </tp>
      <tp>
        <v>1.2985500000000001</v>
        <stp/>
        <stp>21422436</stp>
        <stp>@bh,GBPUSD,h1,close,12</stp>
        <tr r="O14" s="3"/>
      </tp>
      <tp>
        <v>1.2979000000000001</v>
        <stp/>
        <stp>21422436</stp>
        <stp>@bh,GBPUSD,h1,close,11</stp>
        <tr r="O13" s="3"/>
      </tp>
      <tp>
        <v>1.2978799999999999</v>
        <stp/>
        <stp>21422436</stp>
        <stp>@bh,GBPUSD,h1,close,10</stp>
        <tr r="O12" s="3"/>
      </tp>
      <tp>
        <v>1.2990699999999999</v>
        <stp/>
        <stp>21422436</stp>
        <stp>@bh,GBPUSD,h1,close,17</stp>
        <tr r="O19" s="3"/>
      </tp>
      <tp>
        <v>1.2987299999999999</v>
        <stp/>
        <stp>21422436</stp>
        <stp>@bh,GBPUSD,h1,close,16</stp>
        <tr r="O18" s="3"/>
      </tp>
      <tp>
        <v>1.2989299999999999</v>
        <stp/>
        <stp>21422436</stp>
        <stp>@bh,GBPUSD,h1,close,15</stp>
        <tr r="O17" s="3"/>
      </tp>
      <tp>
        <v>1.29894</v>
        <stp/>
        <stp>21422436</stp>
        <stp>@bh,GBPUSD,h1,close,14</stp>
        <tr r="O16" s="3"/>
      </tp>
      <tp>
        <v>190.71100000000001</v>
        <stp/>
        <stp>21422436</stp>
        <stp>@bh,GBPJPY,h1,close,9</stp>
        <tr r="T11" s="3"/>
      </tp>
      <tp>
        <v>191.17599999999999</v>
        <stp/>
        <stp>21422436</stp>
        <stp>@bh,GBPJPY,h1,close,8</stp>
        <tr r="T10" s="3"/>
      </tp>
      <tp>
        <v>190.489</v>
        <stp/>
        <stp>21422436</stp>
        <stp>@bh,GBPJPY,h1,close,5</stp>
        <tr r="T7" s="3"/>
      </tp>
      <tp>
        <v>190.48599999999999</v>
        <stp/>
        <stp>21422436</stp>
        <stp>@bh,GBPJPY,h1,close,4</stp>
        <tr r="T6" s="3"/>
      </tp>
      <tp>
        <v>191.08600000000001</v>
        <stp/>
        <stp>21422436</stp>
        <stp>@bh,GBPJPY,h1,close,7</stp>
        <tr r="T9" s="3"/>
      </tp>
      <tp>
        <v>190.56700000000001</v>
        <stp/>
        <stp>21422436</stp>
        <stp>@bh,GBPJPY,h1,close,6</stp>
        <tr r="T8" s="3"/>
      </tp>
      <tp>
        <v>190.41499999999999</v>
        <stp/>
        <stp>21422436</stp>
        <stp>@bh,GBPJPY,h1,close,1</stp>
        <tr r="T3" s="3"/>
      </tp>
      <tp>
        <v>190.435</v>
        <stp/>
        <stp>21422436</stp>
        <stp>@bh,GBPJPY,h1,close,0</stp>
        <tr r="T2" s="3"/>
      </tp>
      <tp>
        <v>190.43799999999999</v>
        <stp/>
        <stp>21422436</stp>
        <stp>@bh,GBPJPY,h1,close,3</stp>
        <tr r="T5" s="3"/>
      </tp>
      <tp>
        <v>190.39599999999999</v>
        <stp/>
        <stp>21422436</stp>
        <stp>@bh,GBPJPY,h1,close,2</stp>
        <tr r="T4" s="3"/>
      </tp>
      <tp>
        <v>2.12052</v>
        <stp/>
        <stp>21422436</stp>
        <stp>@bh,GBPNZD,h1,close,7</stp>
        <tr r="Q9" s="3"/>
      </tp>
      <tp>
        <v>2.1206399999999999</v>
        <stp/>
        <stp>21422436</stp>
        <stp>@bh,GBPNZD,h1,close,6</stp>
        <tr r="Q8" s="3"/>
      </tp>
      <tp>
        <v>2.1186799999999999</v>
        <stp/>
        <stp>21422436</stp>
        <stp>@bh,GBPNZD,h1,close,5</stp>
        <tr r="Q7" s="3"/>
      </tp>
      <tp>
        <v>2.1197400000000002</v>
        <stp/>
        <stp>21422436</stp>
        <stp>@bh,GBPNZD,h1,close,4</stp>
        <tr r="Q6" s="3"/>
      </tp>
      <tp>
        <v>2.1174499999999998</v>
        <stp/>
        <stp>21422436</stp>
        <stp>@bh,GBPNZD,h1,close,3</stp>
        <tr r="Q5" s="3"/>
      </tp>
      <tp>
        <v>2.1177100000000002</v>
        <stp/>
        <stp>21422436</stp>
        <stp>@bh,GBPNZD,h1,close,2</stp>
        <tr r="Q4" s="3"/>
      </tp>
      <tp>
        <v>2.1200399999999999</v>
        <stp/>
        <stp>21422436</stp>
        <stp>@bh,GBPNZD,h1,close,1</stp>
        <tr r="Q3" s="3"/>
      </tp>
      <tp>
        <v>2.1203099999999999</v>
        <stp/>
        <stp>21422436</stp>
        <stp>@bh,GBPNZD,h1,close,0</stp>
        <tr r="Q2" s="3"/>
      </tp>
      <tp>
        <v>2.1212300000000002</v>
        <stp/>
        <stp>21422436</stp>
        <stp>@bh,GBPNZD,h1,close,9</stp>
        <tr r="Q11" s="3"/>
      </tp>
      <tp>
        <v>2.1208999999999998</v>
        <stp/>
        <stp>21422436</stp>
        <stp>@bh,GBPNZD,h1,close,8</stp>
        <tr r="Q10" s="3"/>
      </tp>
      <tp>
        <v>1.9321999999999999</v>
        <stp/>
        <stp>21422436</stp>
        <stp>@bh,GBPAUD,h1,close,8</stp>
        <tr r="P10" s="3"/>
      </tp>
      <tp>
        <v>1.9320299999999999</v>
        <stp/>
        <stp>21422436</stp>
        <stp>@bh,GBPAUD,h1,close,9</stp>
        <tr r="P11" s="3"/>
      </tp>
      <tp>
        <v>1.9325699999999999</v>
        <stp/>
        <stp>21422436</stp>
        <stp>@bh,GBPAUD,h1,close,0</stp>
        <tr r="P2" s="3"/>
      </tp>
      <tp>
        <v>1.93232</v>
        <stp/>
        <stp>21422436</stp>
        <stp>@bh,GBPAUD,h1,close,1</stp>
        <tr r="P3" s="3"/>
      </tp>
      <tp>
        <v>1.93164</v>
        <stp/>
        <stp>21422436</stp>
        <stp>@bh,GBPAUD,h1,close,2</stp>
        <tr r="P4" s="3"/>
      </tp>
      <tp>
        <v>1.9315899999999999</v>
        <stp/>
        <stp>21422436</stp>
        <stp>@bh,GBPAUD,h1,close,3</stp>
        <tr r="P5" s="3"/>
      </tp>
      <tp>
        <v>1.93242</v>
        <stp/>
        <stp>21422436</stp>
        <stp>@bh,GBPAUD,h1,close,4</stp>
        <tr r="P6" s="3"/>
      </tp>
      <tp>
        <v>1.93225</v>
        <stp/>
        <stp>21422436</stp>
        <stp>@bh,GBPAUD,h1,close,5</stp>
        <tr r="P7" s="3"/>
      </tp>
      <tp>
        <v>1.9331400000000001</v>
        <stp/>
        <stp>21422436</stp>
        <stp>@bh,GBPAUD,h1,close,6</stp>
        <tr r="P8" s="3"/>
      </tp>
      <tp>
        <v>1.9310799999999999</v>
        <stp/>
        <stp>21422436</stp>
        <stp>@bh,GBPAUD,h1,close,7</stp>
        <tr r="P9" s="3"/>
      </tp>
      <tp>
        <v>1.1181700000000001</v>
        <stp/>
        <stp>21422436</stp>
        <stp>@bh,GBPCHF,h1,close,5</stp>
        <tr r="S7" s="3"/>
      </tp>
      <tp>
        <v>1.11843</v>
        <stp/>
        <stp>21422436</stp>
        <stp>@bh,GBPCHF,h1,close,4</stp>
        <tr r="S6" s="3"/>
      </tp>
      <tp>
        <v>1.11954</v>
        <stp/>
        <stp>21422436</stp>
        <stp>@bh,GBPCHF,h1,close,7</stp>
        <tr r="S9" s="3"/>
      </tp>
      <tp>
        <v>1.1172500000000001</v>
        <stp/>
        <stp>21422436</stp>
        <stp>@bh,GBPCHF,h1,close,6</stp>
        <tr r="S8" s="3"/>
      </tp>
      <tp>
        <v>1.1191599999999999</v>
        <stp/>
        <stp>21422436</stp>
        <stp>@bh,GBPCHF,h1,close,1</stp>
        <tr r="S3" s="3"/>
      </tp>
      <tp>
        <v>1.7700499999999999</v>
        <stp/>
        <stp>21422436</stp>
        <stp>@bh,GBPCAD,h1,close,8</stp>
        <tr r="R10" s="3"/>
      </tp>
      <tp>
        <v>1.1184799999999999</v>
        <stp/>
        <stp>21422436</stp>
        <stp>@bh,GBPCHF,h1,close,0</stp>
        <tr r="S2" s="3"/>
      </tp>
      <tp>
        <v>1.76997</v>
        <stp/>
        <stp>21422436</stp>
        <stp>@bh,GBPCAD,h1,close,9</stp>
        <tr r="R11" s="3"/>
      </tp>
      <tp>
        <v>1.1177299999999999</v>
        <stp/>
        <stp>21422436</stp>
        <stp>@bh,GBPCHF,h1,close,3</stp>
        <tr r="S5" s="3"/>
      </tp>
      <tp>
        <v>1.11802</v>
        <stp/>
        <stp>21422436</stp>
        <stp>@bh,GBPCHF,h1,close,2</stp>
        <tr r="S4" s="3"/>
      </tp>
      <tp>
        <v>1.7705200000000001</v>
        <stp/>
        <stp>21422436</stp>
        <stp>@bh,GBPCAD,h1,close,4</stp>
        <tr r="R6" s="3"/>
      </tp>
      <tp>
        <v>1.7702199999999999</v>
        <stp/>
        <stp>21422436</stp>
        <stp>@bh,GBPCAD,h1,close,5</stp>
        <tr r="R7" s="3"/>
      </tp>
      <tp>
        <v>1.7708299999999999</v>
        <stp/>
        <stp>21422436</stp>
        <stp>@bh,GBPCAD,h1,close,6</stp>
        <tr r="R8" s="3"/>
      </tp>
      <tp>
        <v>1.7706999999999999</v>
        <stp/>
        <stp>21422436</stp>
        <stp>@bh,GBPCAD,h1,close,7</stp>
        <tr r="R9" s="3"/>
      </tp>
      <tp>
        <v>1.1189100000000001</v>
        <stp/>
        <stp>21422436</stp>
        <stp>@bh,GBPCHF,h1,close,9</stp>
        <tr r="S11" s="3"/>
      </tp>
      <tp>
        <v>1.77559</v>
        <stp/>
        <stp>21422436</stp>
        <stp>@bh,GBPCAD,h1,close,0</stp>
        <tr r="R2" s="3"/>
      </tp>
      <tp>
        <v>1.1188199999999999</v>
        <stp/>
        <stp>21422436</stp>
        <stp>@bh,GBPCHF,h1,close,8</stp>
        <tr r="S10" s="3"/>
      </tp>
      <tp>
        <v>1.7743</v>
        <stp/>
        <stp>21422436</stp>
        <stp>@bh,GBPCAD,h1,close,1</stp>
        <tr r="R3" s="3"/>
      </tp>
      <tp>
        <v>1.77085</v>
        <stp/>
        <stp>21422436</stp>
        <stp>@bh,GBPCAD,h1,close,2</stp>
        <tr r="R4" s="3"/>
      </tp>
      <tp>
        <v>1.7698199999999999</v>
        <stp/>
        <stp>21422436</stp>
        <stp>@bh,GBPCAD,h1,close,3</stp>
        <tr r="R5" s="3"/>
      </tp>
      <tp>
        <v>1.29799</v>
        <stp/>
        <stp>21422436</stp>
        <stp>@bh,GBPUSD,h1,close,8</stp>
        <tr r="O10" s="3"/>
      </tp>
      <tp>
        <v>1.2979799999999999</v>
        <stp/>
        <stp>21422436</stp>
        <stp>@bh,GBPUSD,h1,close,9</stp>
        <tr r="O11" s="3"/>
      </tp>
      <tp>
        <v>1.3002899999999999</v>
        <stp/>
        <stp>21422436</stp>
        <stp>@bh,GBPUSD,h1,close,6</stp>
        <tr r="O8" s="3"/>
      </tp>
      <tp>
        <v>1.29949</v>
        <stp/>
        <stp>21422436</stp>
        <stp>@bh,GBPUSD,h1,close,7</stp>
        <tr r="O9" s="3"/>
      </tp>
      <tp>
        <v>1.3004500000000001</v>
        <stp/>
        <stp>21422436</stp>
        <stp>@bh,GBPUSD,h1,close,4</stp>
        <tr r="O6" s="3"/>
      </tp>
      <tp>
        <v>1.30009</v>
        <stp/>
        <stp>21422436</stp>
        <stp>@bh,GBPUSD,h1,close,5</stp>
        <tr r="O7" s="3"/>
      </tp>
      <tp>
        <v>1.3007899999999999</v>
        <stp/>
        <stp>21422436</stp>
        <stp>@bh,GBPUSD,h1,close,2</stp>
        <tr r="O4" s="3"/>
      </tp>
      <tp>
        <v>1.3003899999999999</v>
        <stp/>
        <stp>21422436</stp>
        <stp>@bh,GBPUSD,h1,close,3</stp>
        <tr r="O5" s="3"/>
      </tp>
      <tp>
        <v>1.3028299999999999</v>
        <stp/>
        <stp>21422436</stp>
        <stp>@bh,GBPUSD,h1,close,0</stp>
        <tr r="O2" s="3"/>
      </tp>
      <tp>
        <v>1.3027200000000001</v>
        <stp/>
        <stp>21422436</stp>
        <stp>@bh,GBPUSD,h1,close,1</stp>
        <tr r="O3" s="3"/>
      </tp>
      <tp>
        <v>162.75399999999999</v>
        <stp/>
        <stp>21422436</stp>
        <stp>@bh,EURJPY,h1,close,9</stp>
        <tr r="L11" s="3"/>
      </tp>
      <tp>
        <v>163.137</v>
        <stp/>
        <stp>21422436</stp>
        <stp>@bh,EURJPY,h1,close,8</stp>
        <tr r="L10" s="3"/>
      </tp>
      <tp>
        <v>162.94399999999999</v>
        <stp/>
        <stp>21422436</stp>
        <stp>@bh,EURJPY,h1,close,7</stp>
        <tr r="L9" s="3"/>
      </tp>
      <tp>
        <v>162.48599999999999</v>
        <stp/>
        <stp>21422436</stp>
        <stp>@bh,EURJPY,h1,close,6</stp>
        <tr r="L8" s="3"/>
      </tp>
      <tp>
        <v>162.33500000000001</v>
        <stp/>
        <stp>21422436</stp>
        <stp>@bh,EURJPY,h1,close,5</stp>
        <tr r="L7" s="3"/>
      </tp>
      <tp>
        <v>162.23400000000001</v>
        <stp/>
        <stp>21422436</stp>
        <stp>@bh,EURJPY,h1,close,4</stp>
        <tr r="L6" s="3"/>
      </tp>
      <tp>
        <v>162.292</v>
        <stp/>
        <stp>21422436</stp>
        <stp>@bh,EURJPY,h1,close,3</stp>
        <tr r="L5" s="3"/>
      </tp>
      <tp>
        <v>162.19399999999999</v>
        <stp/>
        <stp>21422436</stp>
        <stp>@bh,EURJPY,h1,close,2</stp>
        <tr r="L4" s="3"/>
      </tp>
      <tp>
        <v>162.221</v>
        <stp/>
        <stp>21422436</stp>
        <stp>@bh,EURJPY,h1,close,1</stp>
        <tr r="L3" s="3"/>
      </tp>
      <tp>
        <v>162.29599999999999</v>
        <stp/>
        <stp>21422436</stp>
        <stp>@bh,EURJPY,h1,close,0</stp>
        <tr r="L2" s="3"/>
      </tp>
      <tp>
        <v>1.80562</v>
        <stp/>
        <stp>21422436</stp>
        <stp>@bh,EURNZD,h1,close,5</stp>
        <tr r="N7" s="3"/>
      </tp>
      <tp>
        <v>1.80535</v>
        <stp/>
        <stp>21422436</stp>
        <stp>@bh,EURNZD,h1,close,4</stp>
        <tr r="N6" s="3"/>
      </tp>
      <tp>
        <v>1.8082400000000001</v>
        <stp/>
        <stp>21422436</stp>
        <stp>@bh,EURNZD,h1,close,7</stp>
        <tr r="N9" s="3"/>
      </tp>
      <tp>
        <v>1.8081700000000001</v>
        <stp/>
        <stp>21422436</stp>
        <stp>@bh,EURNZD,h1,close,6</stp>
        <tr r="N8" s="3"/>
      </tp>
      <tp>
        <v>1.80616</v>
        <stp/>
        <stp>21422436</stp>
        <stp>@bh,EURNZD,h1,close,1</stp>
        <tr r="N3" s="3"/>
      </tp>
      <tp>
        <v>1.80698</v>
        <stp/>
        <stp>21422436</stp>
        <stp>@bh,EURNZD,h1,close,0</stp>
        <tr r="N2" s="3"/>
      </tp>
      <tp>
        <v>1.8045199999999999</v>
        <stp/>
        <stp>21422436</stp>
        <stp>@bh,EURNZD,h1,close,3</stp>
        <tr r="N5" s="3"/>
      </tp>
      <tp>
        <v>1.80406</v>
        <stp/>
        <stp>21422436</stp>
        <stp>@bh,EURNZD,h1,close,2</stp>
        <tr r="N4" s="3"/>
      </tp>
      <tp>
        <v>1.81029</v>
        <stp/>
        <stp>21422436</stp>
        <stp>@bh,EURNZD,h1,close,9</stp>
        <tr r="N11" s="3"/>
      </tp>
      <tp>
        <v>1.8099099999999999</v>
        <stp/>
        <stp>21422436</stp>
        <stp>@bh,EURNZD,h1,close,8</stp>
        <tr r="N10" s="3"/>
      </tp>
      <tp>
        <v>1.6488700000000001</v>
        <stp/>
        <stp>21422436</stp>
        <stp>@bh,EURAUD,h1,close,8</stp>
        <tr r="M10" s="3"/>
      </tp>
      <tp>
        <v>1.64882</v>
        <stp/>
        <stp>21422436</stp>
        <stp>@bh,EURAUD,h1,close,9</stp>
        <tr r="M11" s="3"/>
      </tp>
      <tp>
        <v>1.64554</v>
        <stp/>
        <stp>21422436</stp>
        <stp>@bh,EURAUD,h1,close,2</stp>
        <tr r="M4" s="3"/>
      </tp>
      <tp>
        <v>1.64612</v>
        <stp/>
        <stp>21422436</stp>
        <stp>@bh,EURAUD,h1,close,3</stp>
        <tr r="M5" s="3"/>
      </tp>
      <tp>
        <v>1.6469800000000001</v>
        <stp/>
        <stp>21422436</stp>
        <stp>@bh,EURAUD,h1,close,0</stp>
        <tr r="M2" s="3"/>
      </tp>
      <tp>
        <v>1.6462300000000001</v>
        <stp/>
        <stp>21422436</stp>
        <stp>@bh,EURAUD,h1,close,1</stp>
        <tr r="M3" s="3"/>
      </tp>
      <tp>
        <v>1.64829</v>
        <stp/>
        <stp>21422436</stp>
        <stp>@bh,EURAUD,h1,close,6</stp>
        <tr r="M8" s="3"/>
      </tp>
      <tp>
        <v>1.64669</v>
        <stp/>
        <stp>21422436</stp>
        <stp>@bh,EURAUD,h1,close,7</stp>
        <tr r="M9" s="3"/>
      </tp>
      <tp>
        <v>1.64581</v>
        <stp/>
        <stp>21422436</stp>
        <stp>@bh,EURAUD,h1,close,4</stp>
        <tr r="M6" s="3"/>
      </tp>
      <tp>
        <v>1.64673</v>
        <stp/>
        <stp>21422436</stp>
        <stp>@bh,EURAUD,h1,close,5</stp>
        <tr r="M7" s="3"/>
      </tp>
      <tp>
        <v>0.95465999999999995</v>
        <stp/>
        <stp>21422436</stp>
        <stp>@bh,EURCHF,h1,close,7</stp>
        <tr r="K9" s="3"/>
      </tp>
      <tp>
        <v>0.95260999999999996</v>
        <stp/>
        <stp>21422436</stp>
        <stp>@bh,EURCHF,h1,close,6</stp>
        <tr r="K8" s="3"/>
      </tp>
      <tp>
        <v>0.95289999999999997</v>
        <stp/>
        <stp>21422436</stp>
        <stp>@bh,EURCHF,h1,close,5</stp>
        <tr r="K7" s="3"/>
      </tp>
      <tp>
        <v>0.95252000000000003</v>
        <stp/>
        <stp>21422436</stp>
        <stp>@bh,EURCHF,h1,close,4</stp>
        <tr r="K6" s="3"/>
      </tp>
      <tp>
        <v>0.95252999999999999</v>
        <stp/>
        <stp>21422436</stp>
        <stp>@bh,EURCHF,h1,close,3</stp>
        <tr r="K5" s="3"/>
      </tp>
      <tp>
        <v>0.95243999999999995</v>
        <stp/>
        <stp>21422436</stp>
        <stp>@bh,EURCHF,h1,close,2</stp>
        <tr r="K4" s="3"/>
      </tp>
      <tp>
        <v>1.5105</v>
        <stp/>
        <stp>21422436</stp>
        <stp>@bh,EURCAD,h1,close,8</stp>
        <tr r="I10" s="3"/>
      </tp>
      <tp>
        <v>0.95345999999999997</v>
        <stp/>
        <stp>21422436</stp>
        <stp>@bh,EURCHF,h1,close,1</stp>
        <tr r="K3" s="3"/>
      </tp>
      <tp>
        <v>1.51051</v>
        <stp/>
        <stp>21422436</stp>
        <stp>@bh,EURCAD,h1,close,9</stp>
        <tr r="I11" s="3"/>
      </tp>
      <tp>
        <v>0.95323000000000002</v>
        <stp/>
        <stp>21422436</stp>
        <stp>@bh,EURCHF,h1,close,0</stp>
        <tr r="K2" s="3"/>
      </tp>
      <tp>
        <v>1.5099</v>
        <stp/>
        <stp>21422436</stp>
        <stp>@bh,EURCAD,h1,close,6</stp>
        <tr r="I8" s="3"/>
      </tp>
      <tp>
        <v>1.50993</v>
        <stp/>
        <stp>21422436</stp>
        <stp>@bh,EURCAD,h1,close,7</stp>
        <tr r="I9" s="3"/>
      </tp>
      <tp>
        <v>1.5079199999999999</v>
        <stp/>
        <stp>21422436</stp>
        <stp>@bh,EURCAD,h1,close,4</stp>
        <tr r="I6" s="3"/>
      </tp>
      <tp>
        <v>1.50864</v>
        <stp/>
        <stp>21422436</stp>
        <stp>@bh,EURCAD,h1,close,5</stp>
        <tr r="I7" s="3"/>
      </tp>
      <tp>
        <v>1.5085599999999999</v>
        <stp/>
        <stp>21422436</stp>
        <stp>@bh,EURCAD,h1,close,2</stp>
        <tr r="I4" s="3"/>
      </tp>
      <tp>
        <v>1.5082500000000001</v>
        <stp/>
        <stp>21422436</stp>
        <stp>@bh,EURCAD,h1,close,3</stp>
        <tr r="I5" s="3"/>
      </tp>
      <tp>
        <v>1.51319</v>
        <stp/>
        <stp>21422436</stp>
        <stp>@bh,EURCAD,h1,close,0</stp>
        <tr r="I2" s="3"/>
      </tp>
      <tp>
        <v>0.95484000000000002</v>
        <stp/>
        <stp>21422436</stp>
        <stp>@bh,EURCHF,h1,close,9</stp>
        <tr r="K11" s="3"/>
      </tp>
      <tp>
        <v>1.5116099999999999</v>
        <stp/>
        <stp>21422436</stp>
        <stp>@bh,EURCAD,h1,close,1</stp>
        <tr r="I3" s="3"/>
      </tp>
      <tp>
        <v>0.95472999999999997</v>
        <stp/>
        <stp>21422436</stp>
        <stp>@bh,EURCHF,h1,close,8</stp>
        <tr r="K10" s="3"/>
      </tp>
      <tp>
        <v>0.85338999999999998</v>
        <stp/>
        <stp>21422436</stp>
        <stp>@bh,EURGBP,h1,close,9</stp>
        <tr r="J11" s="3"/>
      </tp>
      <tp>
        <v>0.85336000000000001</v>
        <stp/>
        <stp>21422436</stp>
        <stp>@bh,EURGBP,h1,close,8</stp>
        <tr r="J10" s="3"/>
      </tp>
      <tp>
        <v>0.85221999999999998</v>
        <stp/>
        <stp>21422436</stp>
        <stp>@bh,EURGBP,h1,close,5</stp>
        <tr r="J7" s="3"/>
      </tp>
      <tp>
        <v>0.85167000000000004</v>
        <stp/>
        <stp>21422436</stp>
        <stp>@bh,EURGBP,h1,close,4</stp>
        <tr r="J6" s="3"/>
      </tp>
      <tp>
        <v>0.85272999999999999</v>
        <stp/>
        <stp>21422436</stp>
        <stp>@bh,EURGBP,h1,close,7</stp>
        <tr r="J9" s="3"/>
      </tp>
      <tp>
        <v>0.85262000000000004</v>
        <stp/>
        <stp>21422436</stp>
        <stp>@bh,EURGBP,h1,close,6</stp>
        <tr r="J8" s="3"/>
      </tp>
      <tp>
        <v>0.85192000000000001</v>
        <stp/>
        <stp>21422436</stp>
        <stp>@bh,EURGBP,h1,close,1</stp>
        <tr r="J3" s="3"/>
      </tp>
      <tp>
        <v>0.85221999999999998</v>
        <stp/>
        <stp>21422436</stp>
        <stp>@bh,EURGBP,h1,close,0</stp>
        <tr r="J2" s="3"/>
      </tp>
      <tp>
        <v>0.85221000000000002</v>
        <stp/>
        <stp>21422436</stp>
        <stp>@bh,EURGBP,h1,close,3</stp>
        <tr r="J5" s="3"/>
      </tp>
      <tp>
        <v>0.85185999999999995</v>
        <stp/>
        <stp>21422436</stp>
        <stp>@bh,EURGBP,h1,close,2</stp>
        <tr r="J4" s="3"/>
      </tp>
      <tp>
        <v>1.1076600000000001</v>
        <stp/>
        <stp>21422436</stp>
        <stp>@bh,EURUSD,h1,close,8</stp>
        <tr r="H10" s="3"/>
      </tp>
      <tp>
        <v>1.10772</v>
        <stp/>
        <stp>21422436</stp>
        <stp>@bh,EURUSD,h1,close,9</stp>
        <tr r="H11" s="3"/>
      </tp>
      <tp>
        <v>1.10758</v>
        <stp/>
        <stp>21422436</stp>
        <stp>@bh,EURUSD,h1,close,4</stp>
        <tr r="H6" s="3"/>
      </tp>
      <tp>
        <v>1.10798</v>
        <stp/>
        <stp>21422436</stp>
        <stp>@bh,EURUSD,h1,close,5</stp>
        <tr r="H7" s="3"/>
      </tp>
      <tp>
        <v>1.10869</v>
        <stp/>
        <stp>21422436</stp>
        <stp>@bh,EURUSD,h1,close,6</stp>
        <tr r="H8" s="3"/>
      </tp>
      <tp>
        <v>1.10812</v>
        <stp/>
        <stp>21422436</stp>
        <stp>@bh,EURUSD,h1,close,7</stp>
        <tr r="H9" s="3"/>
      </tp>
      <tp>
        <v>1.1103099999999999</v>
        <stp/>
        <stp>21422436</stp>
        <stp>@bh,EURUSD,h1,close,0</stp>
        <tr r="H2" s="3"/>
      </tp>
      <tp>
        <v>1.1098399999999999</v>
        <stp/>
        <stp>21422436</stp>
        <stp>@bh,EURUSD,h1,close,1</stp>
        <tr r="H3" s="3"/>
      </tp>
      <tp>
        <v>1.1081000000000001</v>
        <stp/>
        <stp>21422436</stp>
        <stp>@bh,EURUSD,h1,close,2</stp>
        <tr r="H4" s="3"/>
      </tp>
      <tp>
        <v>1.1082099999999999</v>
        <stp/>
        <stp>21422436</stp>
        <stp>@bh,EURUSD,h1,close,3</stp>
        <tr r="H5" s="3"/>
      </tp>
      <tp>
        <v>146.93</v>
        <stp/>
        <stp>21422436</stp>
        <stp>@bh,USDJPY,h1,close,9</stp>
        <tr r="AD11" s="3"/>
      </tp>
      <tp>
        <v>147.286</v>
        <stp/>
        <stp>21422436</stp>
        <stp>@bh,USDJPY,h1,close,8</stp>
        <tr r="AD10" s="3"/>
      </tp>
      <tp>
        <v>147.04900000000001</v>
        <stp/>
        <stp>21422436</stp>
        <stp>@bh,USDJPY,h1,close,7</stp>
        <tr r="AD9" s="3"/>
      </tp>
      <tp>
        <v>146.559</v>
        <stp/>
        <stp>21422436</stp>
        <stp>@bh,USDJPY,h1,close,6</stp>
        <tr r="AD8" s="3"/>
      </tp>
      <tp>
        <v>146.52199999999999</v>
        <stp/>
        <stp>21422436</stp>
        <stp>@bh,USDJPY,h1,close,5</stp>
        <tr r="AD7" s="3"/>
      </tp>
      <tp>
        <v>146.477</v>
        <stp/>
        <stp>21422436</stp>
        <stp>@bh,USDJPY,h1,close,4</stp>
        <tr r="AD6" s="3"/>
      </tp>
      <tp>
        <v>146.44800000000001</v>
        <stp/>
        <stp>21422436</stp>
        <stp>@bh,USDJPY,h1,close,3</stp>
        <tr r="AD5" s="3"/>
      </tp>
      <tp>
        <v>146.376</v>
        <stp/>
        <stp>21422436</stp>
        <stp>@bh,USDJPY,h1,close,2</stp>
        <tr r="AD4" s="3"/>
      </tp>
      <tp>
        <v>146.17099999999999</v>
        <stp/>
        <stp>21422436</stp>
        <stp>@bh,USDJPY,h1,close,1</stp>
        <tr r="AD3" s="3"/>
      </tp>
      <tp>
        <v>146.172</v>
        <stp/>
        <stp>21422436</stp>
        <stp>@bh,USDJPY,h1,close,0</stp>
        <tr r="AD2" s="3"/>
      </tp>
      <tp>
        <v>89.861000000000004</v>
        <stp/>
        <stp>21422436</stp>
        <stp>@bh,NZDJPY,h1,close,4</stp>
        <tr r="U6" s="3"/>
      </tp>
      <tp>
        <v>107.748</v>
        <stp/>
        <stp>21422436</stp>
        <stp>@bh,CADJPY,h1,close,9</stp>
        <tr r="Y11" s="3"/>
      </tp>
      <tp>
        <v>89.906000000000006</v>
        <stp/>
        <stp>21422436</stp>
        <stp>@bh,NZDJPY,h1,close,5</stp>
        <tr r="U7" s="3"/>
      </tp>
      <tp>
        <v>108.005</v>
        <stp/>
        <stp>21422436</stp>
        <stp>@bh,CADJPY,h1,close,8</stp>
        <tr r="Y10" s="3"/>
      </tp>
      <tp>
        <v>98.71</v>
        <stp/>
        <stp>21422436</stp>
        <stp>@bh,AUDJPY,h1,close,9</stp>
        <tr r="E11" s="3"/>
      </tp>
      <tp>
        <v>89.86</v>
        <stp/>
        <stp>21422436</stp>
        <stp>@bh,NZDJPY,h1,close,6</stp>
        <tr r="U8" s="3"/>
      </tp>
      <tp>
        <v>98.94</v>
        <stp/>
        <stp>21422436</stp>
        <stp>@bh,AUDJPY,h1,close,8</stp>
        <tr r="E10" s="3"/>
      </tp>
      <tp>
        <v>90.108999999999995</v>
        <stp/>
        <stp>21422436</stp>
        <stp>@bh,NZDJPY,h1,close,7</stp>
        <tr r="U9" s="3"/>
      </tp>
      <tp>
        <v>89.807000000000002</v>
        <stp/>
        <stp>21422436</stp>
        <stp>@bh,NZDJPY,h1,close,0</stp>
        <tr r="U2" s="3"/>
      </tp>
      <tp>
        <v>89.811999999999998</v>
        <stp/>
        <stp>21422436</stp>
        <stp>@bh,NZDJPY,h1,close,1</stp>
        <tr r="U3" s="3"/>
      </tp>
      <tp>
        <v>89.897999999999996</v>
        <stp/>
        <stp>21422436</stp>
        <stp>@bh,NZDJPY,h1,close,2</stp>
        <tr r="U4" s="3"/>
      </tp>
      <tp>
        <v>89.929000000000002</v>
        <stp/>
        <stp>21422436</stp>
        <stp>@bh,NZDJPY,h1,close,3</stp>
        <tr r="U5" s="3"/>
      </tp>
      <tp>
        <v>98.590999999999994</v>
        <stp/>
        <stp>21422436</stp>
        <stp>@bh,AUDJPY,h1,close,3</stp>
        <tr r="E5" s="3"/>
      </tp>
      <tp>
        <v>107.31699999999999</v>
        <stp/>
        <stp>21422436</stp>
        <stp>@bh,CADJPY,h1,close,1</stp>
        <tr r="Y3" s="3"/>
      </tp>
      <tp>
        <v>98.566999999999993</v>
        <stp/>
        <stp>21422436</stp>
        <stp>@bh,AUDJPY,h1,close,2</stp>
        <tr r="E4" s="3"/>
      </tp>
      <tp>
        <v>107.251</v>
        <stp/>
        <stp>21422436</stp>
        <stp>@bh,CADJPY,h1,close,0</stp>
        <tr r="Y2" s="3"/>
      </tp>
      <tp>
        <v>98.542000000000002</v>
        <stp/>
        <stp>21422436</stp>
        <stp>@bh,AUDJPY,h1,close,1</stp>
        <tr r="E3" s="3"/>
      </tp>
      <tp>
        <v>107.60299999999999</v>
        <stp/>
        <stp>21422436</stp>
        <stp>@bh,CADJPY,h1,close,3</stp>
        <tr r="Y5" s="3"/>
      </tp>
      <tp>
        <v>98.54</v>
        <stp/>
        <stp>21422436</stp>
        <stp>@bh,AUDJPY,h1,close,0</stp>
        <tr r="E2" s="3"/>
      </tp>
      <tp>
        <v>107.51600000000001</v>
        <stp/>
        <stp>21422436</stp>
        <stp>@bh,CADJPY,h1,close,2</stp>
        <tr r="Y4" s="3"/>
      </tp>
      <tp>
        <v>98.953000000000003</v>
        <stp/>
        <stp>21422436</stp>
        <stp>@bh,AUDJPY,h1,close,7</stp>
        <tr r="E9" s="3"/>
      </tp>
      <tp>
        <v>90.135999999999996</v>
        <stp/>
        <stp>21422436</stp>
        <stp>@bh,NZDJPY,h1,close,8</stp>
        <tr r="U10" s="3"/>
      </tp>
      <tp>
        <v>107.605</v>
        <stp/>
        <stp>21422436</stp>
        <stp>@bh,CADJPY,h1,close,5</stp>
        <tr r="Y7" s="3"/>
      </tp>
      <tp>
        <v>98.578000000000003</v>
        <stp/>
        <stp>21422436</stp>
        <stp>@bh,AUDJPY,h1,close,6</stp>
        <tr r="E8" s="3"/>
      </tp>
      <tp>
        <v>89.899000000000001</v>
        <stp/>
        <stp>21422436</stp>
        <stp>@bh,NZDJPY,h1,close,9</stp>
        <tr r="U11" s="3"/>
      </tp>
      <tp>
        <v>107.587</v>
        <stp/>
        <stp>21422436</stp>
        <stp>@bh,CADJPY,h1,close,4</stp>
        <tr r="Y6" s="3"/>
      </tp>
      <tp>
        <v>98.581999999999994</v>
        <stp/>
        <stp>21422436</stp>
        <stp>@bh,AUDJPY,h1,close,5</stp>
        <tr r="E7" s="3"/>
      </tp>
      <tp>
        <v>107.913</v>
        <stp/>
        <stp>21422436</stp>
        <stp>@bh,CADJPY,h1,close,7</stp>
        <tr r="Y9" s="3"/>
      </tp>
      <tp>
        <v>98.572999999999993</v>
        <stp/>
        <stp>21422436</stp>
        <stp>@bh,AUDJPY,h1,close,4</stp>
        <tr r="E6" s="3"/>
      </tp>
      <tp>
        <v>107.611</v>
        <stp/>
        <stp>21422436</stp>
        <stp>@bh,CADJPY,h1,close,6</stp>
        <tr r="Y8" s="3"/>
      </tp>
      <tp>
        <v>1.09714</v>
        <stp/>
        <stp>21422436</stp>
        <stp>@bh,AUDNZD,h1,close,1</stp>
        <tr r="D3" s="3"/>
      </tp>
      <tp>
        <v>1.0971500000000001</v>
        <stp/>
        <stp>21422436</stp>
        <stp>@bh,AUDNZD,h1,close,0</stp>
        <tr r="D2" s="3"/>
      </tp>
      <tp>
        <v>1.09622</v>
        <stp/>
        <stp>21422436</stp>
        <stp>@bh,AUDNZD,h1,close,3</stp>
        <tr r="D5" s="3"/>
      </tp>
      <tp>
        <v>1.09633</v>
        <stp/>
        <stp>21422436</stp>
        <stp>@bh,AUDNZD,h1,close,2</stp>
        <tr r="D4" s="3"/>
      </tp>
      <tp>
        <v>1.09646</v>
        <stp/>
        <stp>21422436</stp>
        <stp>@bh,AUDNZD,h1,close,5</stp>
        <tr r="D7" s="3"/>
      </tp>
      <tp>
        <v>1.09693</v>
        <stp/>
        <stp>21422436</stp>
        <stp>@bh,AUDNZD,h1,close,4</stp>
        <tr r="D6" s="3"/>
      </tp>
      <tp>
        <v>1.0981000000000001</v>
        <stp/>
        <stp>21422436</stp>
        <stp>@bh,AUDNZD,h1,close,7</stp>
        <tr r="D9" s="3"/>
      </tp>
      <tp>
        <v>1.0969899999999999</v>
        <stp/>
        <stp>21422436</stp>
        <stp>@bh,AUDNZD,h1,close,6</stp>
        <tr r="D8" s="3"/>
      </tp>
      <tp>
        <v>1.0979300000000001</v>
        <stp/>
        <stp>21422436</stp>
        <stp>@bh,AUDNZD,h1,close,9</stp>
        <tr r="D11" s="3"/>
      </tp>
      <tp>
        <v>1.0976399999999999</v>
        <stp/>
        <stp>21422436</stp>
        <stp>@bh,AUDNZD,h1,close,8</stp>
        <tr r="D10" s="3"/>
      </tp>
      <tp>
        <v>0.63073999999999997</v>
        <stp/>
        <stp>21422436</stp>
        <stp>@bh,CADCHF,h1,close,1</stp>
        <tr r="Z3" s="3"/>
      </tp>
      <tp>
        <v>0.83550000000000002</v>
        <stp/>
        <stp>21422436</stp>
        <stp>@bh,NZDCAD,h1,close,5</stp>
        <tr r="X7" s="3"/>
      </tp>
      <tp>
        <v>0.57865999999999995</v>
        <stp/>
        <stp>21422436</stp>
        <stp>@bh,AUDCHF,h1,close,3</stp>
        <tr r="F5" s="3"/>
      </tp>
      <tp>
        <v>0.62990999999999997</v>
        <stp/>
        <stp>21422436</stp>
        <stp>@bh,CADCHF,h1,close,0</stp>
        <tr r="Z2" s="3"/>
      </tp>
      <tp>
        <v>0.83521999999999996</v>
        <stp/>
        <stp>21422436</stp>
        <stp>@bh,NZDCAD,h1,close,4</stp>
        <tr r="X6" s="3"/>
      </tp>
      <tp>
        <v>0.57879000000000003</v>
        <stp/>
        <stp>21422436</stp>
        <stp>@bh,AUDCHF,h1,close,2</stp>
        <tr r="F4" s="3"/>
      </tp>
      <tp>
        <v>0.63154999999999994</v>
        <stp/>
        <stp>21422436</stp>
        <stp>@bh,CADCHF,h1,close,3</stp>
        <tr r="Z5" s="3"/>
      </tp>
      <tp>
        <v>0.83498000000000006</v>
        <stp/>
        <stp>21422436</stp>
        <stp>@bh,NZDCAD,h1,close,7</stp>
        <tr r="X9" s="3"/>
      </tp>
      <tp>
        <v>0.91605999999999999</v>
        <stp/>
        <stp>21422436</stp>
        <stp>@bh,AUDCAD,h1,close,8</stp>
        <tr r="G10" s="3"/>
      </tp>
      <tp>
        <v>0.57916999999999996</v>
        <stp/>
        <stp>21422436</stp>
        <stp>@bh,AUDCHF,h1,close,1</stp>
        <tr r="F3" s="3"/>
      </tp>
      <tp>
        <v>0.63134000000000001</v>
        <stp/>
        <stp>21422436</stp>
        <stp>@bh,CADCHF,h1,close,2</stp>
        <tr r="Z4" s="3"/>
      </tp>
      <tp>
        <v>0.83501000000000003</v>
        <stp/>
        <stp>21422436</stp>
        <stp>@bh,NZDCAD,h1,close,6</stp>
        <tr r="X8" s="3"/>
      </tp>
      <tp>
        <v>0.91612000000000005</v>
        <stp/>
        <stp>21422436</stp>
        <stp>@bh,AUDCAD,h1,close,9</stp>
        <tr r="G11" s="3"/>
      </tp>
      <tp>
        <v>0.57874999999999999</v>
        <stp/>
        <stp>21422436</stp>
        <stp>@bh,AUDCHF,h1,close,0</stp>
        <tr r="F2" s="3"/>
      </tp>
      <tp>
        <v>0.63163999999999998</v>
        <stp/>
        <stp>21422436</stp>
        <stp>@bh,CADCHF,h1,close,5</stp>
        <tr r="Z7" s="3"/>
      </tp>
      <tp>
        <v>0.52749999999999997</v>
        <stp/>
        <stp>21422436</stp>
        <stp>@bh,NZDCHF,h1,close,8</stp>
        <tr r="V10" s="3"/>
      </tp>
      <tp>
        <v>0.83686000000000005</v>
        <stp/>
        <stp>21422436</stp>
        <stp>@bh,NZDCAD,h1,close,1</stp>
        <tr r="X3" s="3"/>
      </tp>
      <tp>
        <v>0.57974000000000003</v>
        <stp/>
        <stp>21422436</stp>
        <stp>@bh,AUDCHF,h1,close,7</stp>
        <tr r="F9" s="3"/>
      </tp>
      <tp>
        <v>0.63168999999999997</v>
        <stp/>
        <stp>21422436</stp>
        <stp>@bh,CADCHF,h1,close,4</stp>
        <tr r="Z6" s="3"/>
      </tp>
      <tp>
        <v>0.52744000000000002</v>
        <stp/>
        <stp>21422436</stp>
        <stp>@bh,NZDCHF,h1,close,9</stp>
        <tr r="V11" s="3"/>
      </tp>
      <tp>
        <v>0.83733000000000002</v>
        <stp/>
        <stp>21422436</stp>
        <stp>@bh,NZDCAD,h1,close,0</stp>
        <tr r="X2" s="3"/>
      </tp>
      <tp>
        <v>0.57794000000000001</v>
        <stp/>
        <stp>21422436</stp>
        <stp>@bh,AUDCHF,h1,close,6</stp>
        <tr r="F8" s="3"/>
      </tp>
      <tp>
        <v>0.63224000000000002</v>
        <stp/>
        <stp>21422436</stp>
        <stp>@bh,CADCHF,h1,close,7</stp>
        <tr r="Z9" s="3"/>
      </tp>
      <tp>
        <v>0.83574000000000004</v>
        <stp/>
        <stp>21422436</stp>
        <stp>@bh,NZDCAD,h1,close,3</stp>
        <tr r="X5" s="3"/>
      </tp>
      <tp>
        <v>0.57867999999999997</v>
        <stp/>
        <stp>21422436</stp>
        <stp>@bh,AUDCHF,h1,close,5</stp>
        <tr r="F7" s="3"/>
      </tp>
      <tp>
        <v>0.63090000000000002</v>
        <stp/>
        <stp>21422436</stp>
        <stp>@bh,CADCHF,h1,close,6</stp>
        <tr r="Z8" s="3"/>
      </tp>
      <tp>
        <v>0.83611999999999997</v>
        <stp/>
        <stp>21422436</stp>
        <stp>@bh,NZDCAD,h1,close,2</stp>
        <tr r="X4" s="3"/>
      </tp>
      <tp>
        <v>0.57876000000000005</v>
        <stp/>
        <stp>21422436</stp>
        <stp>@bh,AUDCHF,h1,close,4</stp>
        <tr r="F6" s="3"/>
      </tp>
      <tp>
        <v>0.63216000000000006</v>
        <stp/>
        <stp>21422436</stp>
        <stp>@bh,CADCHF,h1,close,9</stp>
        <tr r="Z11" s="3"/>
      </tp>
      <tp>
        <v>0.52761000000000002</v>
        <stp/>
        <stp>21422436</stp>
        <stp>@bh,NZDCHF,h1,close,4</stp>
        <tr r="V6" s="3"/>
      </tp>
      <tp>
        <v>0.91676000000000002</v>
        <stp/>
        <stp>21422436</stp>
        <stp>@bh,AUDCAD,h1,close,2</stp>
        <tr r="G4" s="3"/>
      </tp>
      <tp>
        <v>0.63207999999999998</v>
        <stp/>
        <stp>21422436</stp>
        <stp>@bh,CADCHF,h1,close,8</stp>
        <tr r="Z10" s="3"/>
      </tp>
      <tp>
        <v>0.52775000000000005</v>
        <stp/>
        <stp>21422436</stp>
        <stp>@bh,NZDCHF,h1,close,5</stp>
        <tr r="V7" s="3"/>
      </tp>
      <tp>
        <v>0.91625000000000001</v>
        <stp/>
        <stp>21422436</stp>
        <stp>@bh,AUDCAD,h1,close,3</stp>
        <tr r="G5" s="3"/>
      </tp>
      <tp>
        <v>0.52683000000000002</v>
        <stp/>
        <stp>21422436</stp>
        <stp>@bh,NZDCHF,h1,close,6</stp>
        <tr r="V8" s="3"/>
      </tp>
      <tp>
        <v>0.91876999999999998</v>
        <stp/>
        <stp>21422436</stp>
        <stp>@bh,AUDCAD,h1,close,0</stp>
        <tr r="G2" s="3"/>
      </tp>
      <tp>
        <v>0.57913000000000003</v>
        <stp/>
        <stp>21422436</stp>
        <stp>@bh,AUDCHF,h1,close,9</stp>
        <tr r="F11" s="3"/>
      </tp>
      <tp>
        <v>0.52793000000000001</v>
        <stp/>
        <stp>21422436</stp>
        <stp>@bh,NZDCHF,h1,close,7</stp>
        <tr r="V9" s="3"/>
      </tp>
      <tp>
        <v>0.91822999999999999</v>
        <stp/>
        <stp>21422436</stp>
        <stp>@bh,AUDCAD,h1,close,1</stp>
        <tr r="G3" s="3"/>
      </tp>
      <tp>
        <v>0.57903000000000004</v>
        <stp/>
        <stp>21422436</stp>
        <stp>@bh,AUDCHF,h1,close,8</stp>
        <tr r="F10" s="3"/>
      </tp>
      <tp>
        <v>0.52746000000000004</v>
        <stp/>
        <stp>21422436</stp>
        <stp>@bh,NZDCHF,h1,close,0</stp>
        <tr r="V2" s="3"/>
      </tp>
      <tp>
        <v>0.83433000000000002</v>
        <stp/>
        <stp>21422436</stp>
        <stp>@bh,NZDCAD,h1,close,9</stp>
        <tr r="X11" s="3"/>
      </tp>
      <tp>
        <v>0.91603999999999997</v>
        <stp/>
        <stp>21422436</stp>
        <stp>@bh,AUDCAD,h1,close,6</stp>
        <tr r="G8" s="3"/>
      </tp>
      <tp>
        <v>0.52786</v>
        <stp/>
        <stp>21422436</stp>
        <stp>@bh,NZDCHF,h1,close,1</stp>
        <tr r="V3" s="3"/>
      </tp>
      <tp>
        <v>0.83455000000000001</v>
        <stp/>
        <stp>21422436</stp>
        <stp>@bh,NZDCAD,h1,close,8</stp>
        <tr r="X10" s="3"/>
      </tp>
      <tp>
        <v>0.91695000000000004</v>
        <stp/>
        <stp>21422436</stp>
        <stp>@bh,AUDCAD,h1,close,7</stp>
        <tr r="G9" s="3"/>
      </tp>
      <tp>
        <v>0.52788999999999997</v>
        <stp/>
        <stp>21422436</stp>
        <stp>@bh,NZDCHF,h1,close,2</stp>
        <tr r="V4" s="3"/>
      </tp>
      <tp>
        <v>0.91622000000000003</v>
        <stp/>
        <stp>21422436</stp>
        <stp>@bh,AUDCAD,h1,close,4</stp>
        <tr r="G6" s="3"/>
      </tp>
      <tp>
        <v>0.52781999999999996</v>
        <stp/>
        <stp>21422436</stp>
        <stp>@bh,NZDCHF,h1,close,3</stp>
        <tr r="V5" s="3"/>
      </tp>
      <tp>
        <v>0.91612000000000005</v>
        <stp/>
        <stp>21422436</stp>
        <stp>@bh,AUDCAD,h1,close,5</stp>
        <tr r="G7" s="3"/>
      </tp>
      <tp>
        <v>0.86153000000000002</v>
        <stp/>
        <stp>21422436</stp>
        <stp>@bh,USDCHF,h1,close,7</stp>
        <tr r="AC9" s="3"/>
      </tp>
      <tp>
        <v>0.85924999999999996</v>
        <stp/>
        <stp>21422436</stp>
        <stp>@bh,USDCHF,h1,close,6</stp>
        <tr r="AC8" s="3"/>
      </tp>
      <tp>
        <v>0.86009999999999998</v>
        <stp/>
        <stp>21422436</stp>
        <stp>@bh,USDCHF,h1,close,5</stp>
        <tr r="AC7" s="3"/>
      </tp>
      <tp>
        <v>0.86002999999999996</v>
        <stp/>
        <stp>21422436</stp>
        <stp>@bh,USDCHF,h1,close,4</stp>
        <tr r="AC6" s="3"/>
      </tp>
      <tp>
        <v>0.85955000000000004</v>
        <stp/>
        <stp>21422436</stp>
        <stp>@bh,USDCHF,h1,close,3</stp>
        <tr r="AC5" s="3"/>
      </tp>
      <tp>
        <v>0.85955999999999999</v>
        <stp/>
        <stp>21422436</stp>
        <stp>@bh,USDCHF,h1,close,2</stp>
        <tr r="AC4" s="3"/>
      </tp>
      <tp>
        <v>0.85912999999999995</v>
        <stp/>
        <stp>21422436</stp>
        <stp>@bh,USDCHF,h1,close,1</stp>
        <tr r="AC3" s="3"/>
      </tp>
      <tp>
        <v>1.3637300000000001</v>
        <stp/>
        <stp>21422436</stp>
        <stp>@bh,USDCAD,h1,close,8</stp>
        <tr r="AB10" s="3"/>
      </tp>
      <tp>
        <v>0.85853999999999997</v>
        <stp/>
        <stp>21422436</stp>
        <stp>@bh,USDCHF,h1,close,0</stp>
        <tr r="AC2" s="3"/>
      </tp>
      <tp>
        <v>1.36368</v>
        <stp/>
        <stp>21422436</stp>
        <stp>@bh,USDCAD,h1,close,9</stp>
        <tr r="AB11" s="3"/>
      </tp>
      <tp>
        <v>1.3619600000000001</v>
        <stp/>
        <stp>21422436</stp>
        <stp>@bh,USDCAD,h1,close,6</stp>
        <tr r="AB8" s="3"/>
      </tp>
      <tp>
        <v>1.3626799999999999</v>
        <stp/>
        <stp>21422436</stp>
        <stp>@bh,USDCAD,h1,close,7</stp>
        <tr r="AB9" s="3"/>
      </tp>
      <tp>
        <v>1.36151</v>
        <stp/>
        <stp>21422436</stp>
        <stp>@bh,USDCAD,h1,close,4</stp>
        <tr r="AB6" s="3"/>
      </tp>
      <tp>
        <v>1.3616900000000001</v>
        <stp/>
        <stp>21422436</stp>
        <stp>@bh,USDCAD,h1,close,5</stp>
        <tr r="AB7" s="3"/>
      </tp>
      <tp>
        <v>1.36147</v>
        <stp/>
        <stp>21422436</stp>
        <stp>@bh,USDCAD,h1,close,2</stp>
        <tr r="AB4" s="3"/>
      </tp>
      <tp>
        <v>1.3610500000000001</v>
        <stp/>
        <stp>21422436</stp>
        <stp>@bh,USDCAD,h1,close,3</stp>
        <tr r="AB5" s="3"/>
      </tp>
      <tp>
        <v>0.86204000000000003</v>
        <stp/>
        <stp>21422436</stp>
        <stp>@bh,USDCHF,h1,close,9</stp>
        <tr r="AC11" s="3"/>
      </tp>
      <tp>
        <v>1.36293</v>
        <stp/>
        <stp>21422436</stp>
        <stp>@bh,USDCAD,h1,close,0</stp>
        <tr r="AB2" s="3"/>
      </tp>
      <tp>
        <v>0.86197999999999997</v>
        <stp/>
        <stp>21422436</stp>
        <stp>@bh,USDCHF,h1,close,8</stp>
        <tr r="AC10" s="3"/>
      </tp>
      <tp>
        <v>1.3620699999999999</v>
        <stp/>
        <stp>21422436</stp>
        <stp>@bh,USDCAD,h1,close,1</stp>
        <tr r="AB3" s="3"/>
      </tp>
      <tp>
        <v>0.61278999999999995</v>
        <stp/>
        <stp>21422436</stp>
        <stp>@bh,NZDUSD,h1,close,7</stp>
        <tr r="W9" s="3"/>
      </tp>
      <tp>
        <v>0.67176000000000002</v>
        <stp/>
        <stp>21422436</stp>
        <stp>@bh,AUDUSD,h1,close,8</stp>
        <tr r="C10" s="3"/>
      </tp>
      <tp>
        <v>0.61312999999999995</v>
        <stp/>
        <stp>21422436</stp>
        <stp>@bh,NZDUSD,h1,close,6</stp>
        <tr r="W8" s="3"/>
      </tp>
      <tp>
        <v>0.67181999999999997</v>
        <stp/>
        <stp>21422436</stp>
        <stp>@bh,AUDUSD,h1,close,9</stp>
        <tr r="C11" s="3"/>
      </tp>
      <tp>
        <v>0.61360000000000003</v>
        <stp/>
        <stp>21422436</stp>
        <stp>@bh,NZDUSD,h1,close,5</stp>
        <tr r="W7" s="3"/>
      </tp>
      <tp>
        <v>0.61348000000000003</v>
        <stp/>
        <stp>21422436</stp>
        <stp>@bh,NZDUSD,h1,close,4</stp>
        <tr r="W6" s="3"/>
      </tp>
      <tp>
        <v>0.61407</v>
        <stp/>
        <stp>21422436</stp>
        <stp>@bh,NZDUSD,h1,close,3</stp>
        <tr r="W5" s="3"/>
      </tp>
      <tp>
        <v>0.61416000000000004</v>
        <stp/>
        <stp>21422436</stp>
        <stp>@bh,NZDUSD,h1,close,2</stp>
        <tr r="W4" s="3"/>
      </tp>
      <tp>
        <v>0.61443000000000003</v>
        <stp/>
        <stp>21422436</stp>
        <stp>@bh,NZDUSD,h1,close,1</stp>
        <tr r="W3" s="3"/>
      </tp>
      <tp>
        <v>0.61438999999999999</v>
        <stp/>
        <stp>21422436</stp>
        <stp>@bh,NZDUSD,h1,close,0</stp>
        <tr r="W2" s="3"/>
      </tp>
      <tp>
        <v>0.67413999999999996</v>
        <stp/>
        <stp>21422436</stp>
        <stp>@bh,AUDUSD,h1,close,0</stp>
        <tr r="C2" s="3"/>
      </tp>
      <tp>
        <v>0.67415999999999998</v>
        <stp/>
        <stp>21422436</stp>
        <stp>@bh,AUDUSD,h1,close,1</stp>
        <tr r="C3" s="3"/>
      </tp>
      <tp>
        <v>0.67337999999999998</v>
        <stp/>
        <stp>21422436</stp>
        <stp>@bh,AUDUSD,h1,close,2</stp>
        <tr r="C4" s="3"/>
      </tp>
      <tp>
        <v>0.67320999999999998</v>
        <stp/>
        <stp>21422436</stp>
        <stp>@bh,AUDUSD,h1,close,3</stp>
        <tr r="C5" s="3"/>
      </tp>
      <tp>
        <v>0.67296999999999996</v>
        <stp/>
        <stp>21422436</stp>
        <stp>@bh,AUDUSD,h1,close,4</stp>
        <tr r="C6" s="3"/>
      </tp>
      <tp>
        <v>0.67281999999999997</v>
        <stp/>
        <stp>21422436</stp>
        <stp>@bh,AUDUSD,h1,close,5</stp>
        <tr r="C7" s="3"/>
      </tp>
      <tp>
        <v>0.61185</v>
        <stp/>
        <stp>21422436</stp>
        <stp>@bh,NZDUSD,h1,close,9</stp>
        <tr r="W11" s="3"/>
      </tp>
      <tp>
        <v>0.67262</v>
        <stp/>
        <stp>21422436</stp>
        <stp>@bh,AUDUSD,h1,close,6</stp>
        <tr r="C8" s="3"/>
      </tp>
      <tp>
        <v>0.61197999999999997</v>
        <stp/>
        <stp>21422436</stp>
        <stp>@bh,NZDUSD,h1,close,8</stp>
        <tr r="W10" s="3"/>
      </tp>
      <tp>
        <v>0.67293000000000003</v>
        <stp/>
        <stp>21422436</stp>
        <stp>@bh,AUDUSD,h1,close,7</stp>
        <tr r="C9" s="3"/>
      </tp>
      <tp>
        <v>170.44300000000001</v>
        <stp/>
        <stp>21422436</stp>
        <stp>@bh,CHFJPY,h1,close,9</stp>
        <tr r="AA11" s="3"/>
      </tp>
      <tp>
        <v>170.87100000000001</v>
        <stp/>
        <stp>21422436</stp>
        <stp>@bh,CHFJPY,h1,close,8</stp>
        <tr r="AA10" s="3"/>
      </tp>
      <tp>
        <v>170.136</v>
        <stp/>
        <stp>21422436</stp>
        <stp>@bh,CHFJPY,h1,close,1</stp>
        <tr r="AA3" s="3"/>
      </tp>
      <tp>
        <v>170.255</v>
        <stp/>
        <stp>21422436</stp>
        <stp>@bh,CHFJPY,h1,close,0</stp>
        <tr r="AA2" s="3"/>
      </tp>
      <tp>
        <v>170.37700000000001</v>
        <stp/>
        <stp>21422436</stp>
        <stp>@bh,CHFJPY,h1,close,3</stp>
        <tr r="AA5" s="3"/>
      </tp>
      <tp>
        <v>170.28700000000001</v>
        <stp/>
        <stp>21422436</stp>
        <stp>@bh,CHFJPY,h1,close,2</stp>
        <tr r="AA4" s="3"/>
      </tp>
      <tp>
        <v>170.35599999999999</v>
        <stp/>
        <stp>21422436</stp>
        <stp>@bh,CHFJPY,h1,close,5</stp>
        <tr r="AA7" s="3"/>
      </tp>
      <tp>
        <v>170.315</v>
        <stp/>
        <stp>21422436</stp>
        <stp>@bh,CHFJPY,h1,close,4</stp>
        <tr r="AA6" s="3"/>
      </tp>
      <tp>
        <v>170.68100000000001</v>
        <stp/>
        <stp>21422436</stp>
        <stp>@bh,CHFJPY,h1,close,7</stp>
        <tr r="AA9" s="3"/>
      </tp>
      <tp>
        <v>170.566</v>
        <stp/>
        <stp>21422436</stp>
        <stp>@bh,CHFJPY,h1,close,6</stp>
        <tr r="AA8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H1(RTD UP LOAD DATA)'!$CV$1</c:f>
              <c:strCache>
                <c:ptCount val="1"/>
                <c:pt idx="0">
                  <c:v>EUR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'SATORI H1(RTD UP LOAD DATA)'!$CU$2:$CU$37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H1(RTD UP LOAD DATA)'!$CV$2:$CV$37</c:f>
              <c:numCache>
                <c:formatCode>0.00000</c:formatCode>
                <c:ptCount val="36"/>
                <c:pt idx="0">
                  <c:v>0.28963651415426905</c:v>
                </c:pt>
                <c:pt idx="1">
                  <c:v>-5.5202038443781243E-3</c:v>
                </c:pt>
                <c:pt idx="2">
                  <c:v>-0.65384444254071206</c:v>
                </c:pt>
                <c:pt idx="3">
                  <c:v>-0.49284303916643979</c:v>
                </c:pt>
                <c:pt idx="4">
                  <c:v>-0.6446750173128778</c:v>
                </c:pt>
                <c:pt idx="5">
                  <c:v>-0.3233939574744914</c:v>
                </c:pt>
                <c:pt idx="6">
                  <c:v>0.16916754428391123</c:v>
                </c:pt>
                <c:pt idx="7">
                  <c:v>0.53513651522769923</c:v>
                </c:pt>
                <c:pt idx="8">
                  <c:v>0.95528812084410841</c:v>
                </c:pt>
                <c:pt idx="9">
                  <c:v>0.75903648919468059</c:v>
                </c:pt>
                <c:pt idx="10">
                  <c:v>0.88985282933869658</c:v>
                </c:pt>
                <c:pt idx="11">
                  <c:v>0.79735216350217875</c:v>
                </c:pt>
                <c:pt idx="12">
                  <c:v>0.5238540661967549</c:v>
                </c:pt>
                <c:pt idx="13">
                  <c:v>0.51755123003840731</c:v>
                </c:pt>
                <c:pt idx="14">
                  <c:v>0.89967356669954746</c:v>
                </c:pt>
                <c:pt idx="15">
                  <c:v>0.86742843386710911</c:v>
                </c:pt>
                <c:pt idx="16">
                  <c:v>0.76147651104441949</c:v>
                </c:pt>
                <c:pt idx="17">
                  <c:v>0.87887549162340606</c:v>
                </c:pt>
                <c:pt idx="18">
                  <c:v>0.90154002357534391</c:v>
                </c:pt>
                <c:pt idx="19">
                  <c:v>0.7843896173512469</c:v>
                </c:pt>
                <c:pt idx="20">
                  <c:v>0.56674262210610116</c:v>
                </c:pt>
                <c:pt idx="21">
                  <c:v>0.80973839297736105</c:v>
                </c:pt>
                <c:pt idx="22">
                  <c:v>0.66264175086497423</c:v>
                </c:pt>
                <c:pt idx="23">
                  <c:v>0.27979708533703518</c:v>
                </c:pt>
                <c:pt idx="24">
                  <c:v>-0.12970418278175144</c:v>
                </c:pt>
                <c:pt idx="25">
                  <c:v>-0.2097346009877378</c:v>
                </c:pt>
                <c:pt idx="26">
                  <c:v>-0.38650396135468418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3A1-4B9E-8E09-92F4E1FFFED8}"/>
            </c:ext>
          </c:extLst>
        </c:ser>
        <c:ser>
          <c:idx val="1"/>
          <c:order val="1"/>
          <c:tx>
            <c:strRef>
              <c:f>'SATORI H1(RTD UP LOAD DATA)'!$CW$1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H1(RTD UP LOAD DATA)'!$CU$2:$CU$37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H1(RTD UP LOAD DATA)'!$CW$2:$CW$37</c:f>
              <c:numCache>
                <c:formatCode>0.00000</c:formatCode>
                <c:ptCount val="36"/>
                <c:pt idx="0">
                  <c:v>-4.4933422786060344</c:v>
                </c:pt>
                <c:pt idx="1">
                  <c:v>-4.447175913249839</c:v>
                </c:pt>
                <c:pt idx="2">
                  <c:v>-3.8359770948867054</c:v>
                </c:pt>
                <c:pt idx="3">
                  <c:v>-3.7580922683379052</c:v>
                </c:pt>
                <c:pt idx="4">
                  <c:v>-3.4645934726140375</c:v>
                </c:pt>
                <c:pt idx="5">
                  <c:v>-3.4181977390409184</c:v>
                </c:pt>
                <c:pt idx="6">
                  <c:v>-3.4450814499411582</c:v>
                </c:pt>
                <c:pt idx="7">
                  <c:v>-2.6719588571045496</c:v>
                </c:pt>
                <c:pt idx="8">
                  <c:v>-1.9182284366181905</c:v>
                </c:pt>
                <c:pt idx="9">
                  <c:v>-2.1495570294367403</c:v>
                </c:pt>
                <c:pt idx="10">
                  <c:v>-1.9200243445033673</c:v>
                </c:pt>
                <c:pt idx="11">
                  <c:v>-2.0517484287154435</c:v>
                </c:pt>
                <c:pt idx="12">
                  <c:v>-2.9915173591660076</c:v>
                </c:pt>
                <c:pt idx="13">
                  <c:v>-2.8260063003997677</c:v>
                </c:pt>
                <c:pt idx="14">
                  <c:v>-2.6338053248614512</c:v>
                </c:pt>
                <c:pt idx="15">
                  <c:v>-2.6378409182693949</c:v>
                </c:pt>
                <c:pt idx="16">
                  <c:v>-2.5336348048033468</c:v>
                </c:pt>
                <c:pt idx="17">
                  <c:v>-2.5904171047865567</c:v>
                </c:pt>
                <c:pt idx="18">
                  <c:v>-2.4834941053029884</c:v>
                </c:pt>
                <c:pt idx="19">
                  <c:v>-2.4466924972319024</c:v>
                </c:pt>
                <c:pt idx="20">
                  <c:v>-2.3291796826552988</c:v>
                </c:pt>
                <c:pt idx="21">
                  <c:v>-1.8415027126643091</c:v>
                </c:pt>
                <c:pt idx="22">
                  <c:v>-1.6760852367378831</c:v>
                </c:pt>
                <c:pt idx="23">
                  <c:v>-1.8095148097839351</c:v>
                </c:pt>
                <c:pt idx="24">
                  <c:v>-0.67623896836348774</c:v>
                </c:pt>
                <c:pt idx="25">
                  <c:v>-0.36081014073866646</c:v>
                </c:pt>
                <c:pt idx="26">
                  <c:v>-0.78334424261556224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3A1-4B9E-8E09-92F4E1FFF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'SATORI H1(RTD UP LOAD DATA)'!$CX$1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H1(RTD UP LOAD DATA)'!$CX$2:$CX$37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-1.3274733639075735</c:v>
                      </c:pt>
                      <c:pt idx="1">
                        <c:v>-0.77904250542965392</c:v>
                      </c:pt>
                      <c:pt idx="2">
                        <c:v>0.19100480371582154</c:v>
                      </c:pt>
                      <c:pt idx="3">
                        <c:v>0.51584960182478246</c:v>
                      </c:pt>
                      <c:pt idx="4">
                        <c:v>0.53723608030334791</c:v>
                      </c:pt>
                      <c:pt idx="5">
                        <c:v>0.47945383508377398</c:v>
                      </c:pt>
                      <c:pt idx="6">
                        <c:v>0.29743116245135592</c:v>
                      </c:pt>
                      <c:pt idx="7">
                        <c:v>0.6460997357335071</c:v>
                      </c:pt>
                      <c:pt idx="8">
                        <c:v>0.77663927226716756</c:v>
                      </c:pt>
                      <c:pt idx="9">
                        <c:v>0.57811826270030864</c:v>
                      </c:pt>
                      <c:pt idx="10">
                        <c:v>0.58936589419140606</c:v>
                      </c:pt>
                      <c:pt idx="11">
                        <c:v>0.61342672584519831</c:v>
                      </c:pt>
                      <c:pt idx="12">
                        <c:v>8.2871526468969003E-2</c:v>
                      </c:pt>
                      <c:pt idx="13">
                        <c:v>1.2337987890668312E-2</c:v>
                      </c:pt>
                      <c:pt idx="14">
                        <c:v>0.3827687510576594</c:v>
                      </c:pt>
                      <c:pt idx="15">
                        <c:v>0.29166835499942184</c:v>
                      </c:pt>
                      <c:pt idx="16">
                        <c:v>0.30655525117081284</c:v>
                      </c:pt>
                      <c:pt idx="17">
                        <c:v>0.31908418422112578</c:v>
                      </c:pt>
                      <c:pt idx="18">
                        <c:v>0.27169386096973802</c:v>
                      </c:pt>
                      <c:pt idx="19">
                        <c:v>0.44862651466100639</c:v>
                      </c:pt>
                      <c:pt idx="20">
                        <c:v>0.1206065688964772</c:v>
                      </c:pt>
                      <c:pt idx="21">
                        <c:v>0.14248468929974017</c:v>
                      </c:pt>
                      <c:pt idx="22">
                        <c:v>-0.26906260166045581</c:v>
                      </c:pt>
                      <c:pt idx="23">
                        <c:v>0.44818938907933203</c:v>
                      </c:pt>
                      <c:pt idx="24">
                        <c:v>0.55819302771406198</c:v>
                      </c:pt>
                      <c:pt idx="25">
                        <c:v>0.27511593725853634</c:v>
                      </c:pt>
                      <c:pt idx="26">
                        <c:v>-0.31168667755154122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73A1-4B9E-8E09-92F4E1FFFED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1.374375882024625</c:v>
                      </c:pt>
                      <c:pt idx="1">
                        <c:v>1.0025799522501657</c:v>
                      </c:pt>
                      <c:pt idx="2">
                        <c:v>1.310258728166366</c:v>
                      </c:pt>
                      <c:pt idx="3">
                        <c:v>1.4164708742583263</c:v>
                      </c:pt>
                      <c:pt idx="4">
                        <c:v>1.2852416518693377</c:v>
                      </c:pt>
                      <c:pt idx="5">
                        <c:v>1.2718411769450915</c:v>
                      </c:pt>
                      <c:pt idx="6">
                        <c:v>1.9093422353592988</c:v>
                      </c:pt>
                      <c:pt idx="7">
                        <c:v>0.77394453282595232</c:v>
                      </c:pt>
                      <c:pt idx="8">
                        <c:v>1.0940911900241304</c:v>
                      </c:pt>
                      <c:pt idx="9">
                        <c:v>0.8105652384788985</c:v>
                      </c:pt>
                      <c:pt idx="10">
                        <c:v>0.92745061627390557</c:v>
                      </c:pt>
                      <c:pt idx="11">
                        <c:v>0.93680316765069049</c:v>
                      </c:pt>
                      <c:pt idx="12">
                        <c:v>0.61735965122472458</c:v>
                      </c:pt>
                      <c:pt idx="13">
                        <c:v>0.25118402104383797</c:v>
                      </c:pt>
                      <c:pt idx="14">
                        <c:v>-9.0404655725017047E-2</c:v>
                      </c:pt>
                      <c:pt idx="15">
                        <c:v>-8.1956038408901366E-2</c:v>
                      </c:pt>
                      <c:pt idx="16">
                        <c:v>7.4104721496005943E-2</c:v>
                      </c:pt>
                      <c:pt idx="17">
                        <c:v>-0.27699698348351687</c:v>
                      </c:pt>
                      <c:pt idx="18">
                        <c:v>-3.5985739959872864E-3</c:v>
                      </c:pt>
                      <c:pt idx="19">
                        <c:v>1.5108484279890921E-2</c:v>
                      </c:pt>
                      <c:pt idx="20">
                        <c:v>0.10289423722112773</c:v>
                      </c:pt>
                      <c:pt idx="21">
                        <c:v>0.22062856174811854</c:v>
                      </c:pt>
                      <c:pt idx="22">
                        <c:v>0.37587623326726372</c:v>
                      </c:pt>
                      <c:pt idx="23">
                        <c:v>-3.0877321281556958E-2</c:v>
                      </c:pt>
                      <c:pt idx="24">
                        <c:v>-0.16519275080423099</c:v>
                      </c:pt>
                      <c:pt idx="25">
                        <c:v>-0.36685597458047947</c:v>
                      </c:pt>
                      <c:pt idx="26">
                        <c:v>0.29644712625822583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3A1-4B9E-8E09-92F4E1FFFED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0.34423142939751905</c:v>
                      </c:pt>
                      <c:pt idx="1">
                        <c:v>0.3228804605781016</c:v>
                      </c:pt>
                      <c:pt idx="2">
                        <c:v>-0.27044213004168166</c:v>
                      </c:pt>
                      <c:pt idx="3">
                        <c:v>-0.41922831357349966</c:v>
                      </c:pt>
                      <c:pt idx="4">
                        <c:v>-7.2903399465669094E-2</c:v>
                      </c:pt>
                      <c:pt idx="5">
                        <c:v>-0.26258473134355914</c:v>
                      </c:pt>
                      <c:pt idx="6">
                        <c:v>-0.1626211830870897</c:v>
                      </c:pt>
                      <c:pt idx="7">
                        <c:v>0.11939343463617465</c:v>
                      </c:pt>
                      <c:pt idx="8">
                        <c:v>-4.8112344133594609E-2</c:v>
                      </c:pt>
                      <c:pt idx="9">
                        <c:v>-0.28594092074555144</c:v>
                      </c:pt>
                      <c:pt idx="10">
                        <c:v>-0.12052343819431605</c:v>
                      </c:pt>
                      <c:pt idx="11">
                        <c:v>-0.24326304668960852</c:v>
                      </c:pt>
                      <c:pt idx="12">
                        <c:v>-0.78323567839884578</c:v>
                      </c:pt>
                      <c:pt idx="13">
                        <c:v>-0.62922222984996468</c:v>
                      </c:pt>
                      <c:pt idx="14">
                        <c:v>-0.18266882982729885</c:v>
                      </c:pt>
                      <c:pt idx="15">
                        <c:v>-0.18352900186676005</c:v>
                      </c:pt>
                      <c:pt idx="16">
                        <c:v>-0.27850163370211722</c:v>
                      </c:pt>
                      <c:pt idx="17">
                        <c:v>-6.7373442008846818E-2</c:v>
                      </c:pt>
                      <c:pt idx="18">
                        <c:v>6.9754421403859512E-3</c:v>
                      </c:pt>
                      <c:pt idx="19">
                        <c:v>0.16543353567881375</c:v>
                      </c:pt>
                      <c:pt idx="20">
                        <c:v>0.18074712532680712</c:v>
                      </c:pt>
                      <c:pt idx="21">
                        <c:v>0.14012886993131957</c:v>
                      </c:pt>
                      <c:pt idx="22">
                        <c:v>0.2053561574599771</c:v>
                      </c:pt>
                      <c:pt idx="23">
                        <c:v>0.47970837309580067</c:v>
                      </c:pt>
                      <c:pt idx="24">
                        <c:v>0.10207410172428373</c:v>
                      </c:pt>
                      <c:pt idx="25">
                        <c:v>-0.28833395603627859</c:v>
                      </c:pt>
                      <c:pt idx="26">
                        <c:v>-0.32482421375290776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3A1-4B9E-8E09-92F4E1FFFED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1.639888274349049</c:v>
                      </c:pt>
                      <c:pt idx="1">
                        <c:v>1.7161782886744958</c:v>
                      </c:pt>
                      <c:pt idx="2">
                        <c:v>1.402958578450046</c:v>
                      </c:pt>
                      <c:pt idx="3">
                        <c:v>1.2812417496817123</c:v>
                      </c:pt>
                      <c:pt idx="4">
                        <c:v>1.2819328434812078</c:v>
                      </c:pt>
                      <c:pt idx="5">
                        <c:v>1.1540924240383563</c:v>
                      </c:pt>
                      <c:pt idx="6">
                        <c:v>0.89115743274516734</c:v>
                      </c:pt>
                      <c:pt idx="7">
                        <c:v>2.0308428487420698</c:v>
                      </c:pt>
                      <c:pt idx="8">
                        <c:v>1.3916752906183834</c:v>
                      </c:pt>
                      <c:pt idx="9">
                        <c:v>1.2296619687435006</c:v>
                      </c:pt>
                      <c:pt idx="10">
                        <c:v>1.4229143469857601</c:v>
                      </c:pt>
                      <c:pt idx="11">
                        <c:v>1.6335323126163785</c:v>
                      </c:pt>
                      <c:pt idx="12">
                        <c:v>1.4634322336637684</c:v>
                      </c:pt>
                      <c:pt idx="13">
                        <c:v>1.5240573064833578</c:v>
                      </c:pt>
                      <c:pt idx="14">
                        <c:v>2.6105912539306084</c:v>
                      </c:pt>
                      <c:pt idx="15">
                        <c:v>2.5209803075604857</c:v>
                      </c:pt>
                      <c:pt idx="16">
                        <c:v>2.2513081558695305</c:v>
                      </c:pt>
                      <c:pt idx="17">
                        <c:v>2.4299939340583969</c:v>
                      </c:pt>
                      <c:pt idx="18">
                        <c:v>2.5299973795176625</c:v>
                      </c:pt>
                      <c:pt idx="19">
                        <c:v>2.3594144023464647</c:v>
                      </c:pt>
                      <c:pt idx="20">
                        <c:v>2.1719758133808269</c:v>
                      </c:pt>
                      <c:pt idx="21">
                        <c:v>1.756202837339401</c:v>
                      </c:pt>
                      <c:pt idx="22">
                        <c:v>1.2347147870436619</c:v>
                      </c:pt>
                      <c:pt idx="23">
                        <c:v>1.3227759823472034</c:v>
                      </c:pt>
                      <c:pt idx="24">
                        <c:v>0.63302989708734947</c:v>
                      </c:pt>
                      <c:pt idx="25">
                        <c:v>0.46607155317749438</c:v>
                      </c:pt>
                      <c:pt idx="26">
                        <c:v>0.25965013908814683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3A1-4B9E-8E09-92F4E1FFFED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DATA)'!$DB$1</c15:sqref>
                        </c15:formulaRef>
                      </c:ext>
                    </c:extLst>
                    <c:strCache>
                      <c:ptCount val="1"/>
                      <c:pt idx="0">
                        <c:v>NZD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DATA)'!$DB$2:$DB$37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5.3249696921098773</c:v>
                      </c:pt>
                      <c:pt idx="1">
                        <c:v>5.4157095784495457</c:v>
                      </c:pt>
                      <c:pt idx="2">
                        <c:v>5.6849015095584692</c:v>
                      </c:pt>
                      <c:pt idx="3">
                        <c:v>5.642807914465406</c:v>
                      </c:pt>
                      <c:pt idx="4">
                        <c:v>5.1501689794569483</c:v>
                      </c:pt>
                      <c:pt idx="5">
                        <c:v>5.3577616091207627</c:v>
                      </c:pt>
                      <c:pt idx="6">
                        <c:v>4.7148381870548466</c:v>
                      </c:pt>
                      <c:pt idx="7">
                        <c:v>5.041158439097809</c:v>
                      </c:pt>
                      <c:pt idx="8">
                        <c:v>4.7374359363761984</c:v>
                      </c:pt>
                      <c:pt idx="9">
                        <c:v>4.3518540848972922</c:v>
                      </c:pt>
                      <c:pt idx="10">
                        <c:v>4.0331378485582672</c:v>
                      </c:pt>
                      <c:pt idx="11">
                        <c:v>3.8913341287423644</c:v>
                      </c:pt>
                      <c:pt idx="12">
                        <c:v>3.9658840493637948</c:v>
                      </c:pt>
                      <c:pt idx="13">
                        <c:v>3.4415684997817291</c:v>
                      </c:pt>
                      <c:pt idx="14">
                        <c:v>3.6932008418105147</c:v>
                      </c:pt>
                      <c:pt idx="15">
                        <c:v>3.4548728908726209</c:v>
                      </c:pt>
                      <c:pt idx="16">
                        <c:v>2.9749589047669716</c:v>
                      </c:pt>
                      <c:pt idx="17">
                        <c:v>3.3223244899068347</c:v>
                      </c:pt>
                      <c:pt idx="18">
                        <c:v>2.8545331972296282</c:v>
                      </c:pt>
                      <c:pt idx="19">
                        <c:v>2.8446589089843948</c:v>
                      </c:pt>
                      <c:pt idx="20">
                        <c:v>2.5548718631614697</c:v>
                      </c:pt>
                      <c:pt idx="21">
                        <c:v>1.4243635512236041</c:v>
                      </c:pt>
                      <c:pt idx="22">
                        <c:v>1.4521963213664226</c:v>
                      </c:pt>
                      <c:pt idx="23">
                        <c:v>1.272282154786132</c:v>
                      </c:pt>
                      <c:pt idx="24">
                        <c:v>0.71254427566661649</c:v>
                      </c:pt>
                      <c:pt idx="25">
                        <c:v>0.21196702680892116</c:v>
                      </c:pt>
                      <c:pt idx="26">
                        <c:v>0.25042131650317251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3A1-4B9E-8E09-92F4E1FFFED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H1(RTD UP LOAD DATA)'!$DC$2:$DC$37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-3.5395231781306986</c:v>
                      </c:pt>
                      <c:pt idx="1">
                        <c:v>-3.4812552220427331</c:v>
                      </c:pt>
                      <c:pt idx="2">
                        <c:v>-3.989469561766148</c:v>
                      </c:pt>
                      <c:pt idx="3">
                        <c:v>-4.3135646044687528</c:v>
                      </c:pt>
                      <c:pt idx="4">
                        <c:v>-4.1776029813216304</c:v>
                      </c:pt>
                      <c:pt idx="5">
                        <c:v>-4.3720838343952479</c:v>
                      </c:pt>
                      <c:pt idx="6">
                        <c:v>-4.6046379023123318</c:v>
                      </c:pt>
                      <c:pt idx="7">
                        <c:v>-6.4930757915278559</c:v>
                      </c:pt>
                      <c:pt idx="8">
                        <c:v>-7.0325614232345561</c:v>
                      </c:pt>
                      <c:pt idx="9">
                        <c:v>-5.3248554636441847</c:v>
                      </c:pt>
                      <c:pt idx="10">
                        <c:v>-5.8691124052517729</c:v>
                      </c:pt>
                      <c:pt idx="11">
                        <c:v>-5.6259578288638279</c:v>
                      </c:pt>
                      <c:pt idx="12">
                        <c:v>-2.9540731377669687</c:v>
                      </c:pt>
                      <c:pt idx="13">
                        <c:v>-2.3241837816097846</c:v>
                      </c:pt>
                      <c:pt idx="14">
                        <c:v>-4.6109294711694435</c:v>
                      </c:pt>
                      <c:pt idx="15">
                        <c:v>-4.1790034256134243</c:v>
                      </c:pt>
                      <c:pt idx="16">
                        <c:v>-3.5542497887520068</c:v>
                      </c:pt>
                      <c:pt idx="17">
                        <c:v>-3.9360469654260681</c:v>
                      </c:pt>
                      <c:pt idx="18">
                        <c:v>-4.0361410864385459</c:v>
                      </c:pt>
                      <c:pt idx="19">
                        <c:v>-4.1088875893387122</c:v>
                      </c:pt>
                      <c:pt idx="20">
                        <c:v>-3.3666985728917456</c:v>
                      </c:pt>
                      <c:pt idx="21">
                        <c:v>-2.6627366374575296</c:v>
                      </c:pt>
                      <c:pt idx="22">
                        <c:v>-2.0786382942379853</c:v>
                      </c:pt>
                      <c:pt idx="23">
                        <c:v>-1.8925930889321185</c:v>
                      </c:pt>
                      <c:pt idx="24">
                        <c:v>-0.93018359938756257</c:v>
                      </c:pt>
                      <c:pt idx="25">
                        <c:v>0.36604263057233571</c:v>
                      </c:pt>
                      <c:pt idx="26">
                        <c:v>0.91128336243520724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3A1-4B9E-8E09-92F4E1FFFED8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H1(RTD UP LOAD DATA)'!$BO$1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DATA)'!$BO$2:$BO$37</c:f>
              <c:numCache>
                <c:formatCode>0.00000</c:formatCode>
                <c:ptCount val="36"/>
                <c:pt idx="0">
                  <c:v>0.76922558160723775</c:v>
                </c:pt>
                <c:pt idx="1">
                  <c:v>0.77219223640728818</c:v>
                </c:pt>
                <c:pt idx="2">
                  <c:v>0.65635868031711575</c:v>
                </c:pt>
                <c:pt idx="3">
                  <c:v>0.63110653017080121</c:v>
                </c:pt>
                <c:pt idx="4">
                  <c:v>0.59544372202184692</c:v>
                </c:pt>
                <c:pt idx="5">
                  <c:v>0.57314949771222723</c:v>
                </c:pt>
                <c:pt idx="6">
                  <c:v>0.54341502653980034</c:v>
                </c:pt>
                <c:pt idx="7">
                  <c:v>0.58948222520831439</c:v>
                </c:pt>
                <c:pt idx="8">
                  <c:v>0.4153128790132441</c:v>
                </c:pt>
                <c:pt idx="9">
                  <c:v>0.42424384266421444</c:v>
                </c:pt>
                <c:pt idx="10">
                  <c:v>0.41828951237752404</c:v>
                </c:pt>
                <c:pt idx="11">
                  <c:v>0.46143977946278331</c:v>
                </c:pt>
                <c:pt idx="12">
                  <c:v>0.55954748983694602</c:v>
                </c:pt>
                <c:pt idx="13">
                  <c:v>0.54616737565996654</c:v>
                </c:pt>
                <c:pt idx="14">
                  <c:v>0.65606074938653436</c:v>
                </c:pt>
                <c:pt idx="15">
                  <c:v>0.64566434951128915</c:v>
                </c:pt>
                <c:pt idx="16">
                  <c:v>0.59811535175500941</c:v>
                </c:pt>
                <c:pt idx="17">
                  <c:v>0.62930964765519415</c:v>
                </c:pt>
                <c:pt idx="18">
                  <c:v>0.62782418292754438</c:v>
                </c:pt>
                <c:pt idx="19">
                  <c:v>0.60256490385708528</c:v>
                </c:pt>
                <c:pt idx="20">
                  <c:v>0.56391813532151136</c:v>
                </c:pt>
                <c:pt idx="21">
                  <c:v>0.45082289722627589</c:v>
                </c:pt>
                <c:pt idx="22">
                  <c:v>0.36592946082932143</c:v>
                </c:pt>
                <c:pt idx="23">
                  <c:v>0.39273072942271187</c:v>
                </c:pt>
                <c:pt idx="24">
                  <c:v>0.16589552818107611</c:v>
                </c:pt>
                <c:pt idx="25">
                  <c:v>0.10467225736517741</c:v>
                </c:pt>
                <c:pt idx="26">
                  <c:v>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24-4870-8EA0-B332C6937AF0}"/>
            </c:ext>
          </c:extLst>
        </c:ser>
        <c:ser>
          <c:idx val="1"/>
          <c:order val="1"/>
          <c:tx>
            <c:strRef>
              <c:f>'SATORI H1(RTD UP LOAD DATA)'!$BP$1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DATA)'!$BP$2:$BP$37</c:f>
              <c:numCache>
                <c:formatCode>0.00000</c:formatCode>
                <c:ptCount val="36"/>
                <c:pt idx="0">
                  <c:v>-0.4633889612742928</c:v>
                </c:pt>
                <c:pt idx="1">
                  <c:v>-0.46430042198122745</c:v>
                </c:pt>
                <c:pt idx="2">
                  <c:v>-0.53818328571750929</c:v>
                </c:pt>
                <c:pt idx="3">
                  <c:v>-0.54821776784701393</c:v>
                </c:pt>
                <c:pt idx="4">
                  <c:v>-0.48349166864287235</c:v>
                </c:pt>
                <c:pt idx="5">
                  <c:v>-0.52635688944435821</c:v>
                </c:pt>
                <c:pt idx="6">
                  <c:v>-0.47804286652711026</c:v>
                </c:pt>
                <c:pt idx="7">
                  <c:v>-0.37695917651707767</c:v>
                </c:pt>
                <c:pt idx="8">
                  <c:v>-0.41886727024545201</c:v>
                </c:pt>
                <c:pt idx="9">
                  <c:v>-0.39245392877558383</c:v>
                </c:pt>
                <c:pt idx="10">
                  <c:v>-0.32691895403387067</c:v>
                </c:pt>
                <c:pt idx="11">
                  <c:v>-0.28233864579287304</c:v>
                </c:pt>
                <c:pt idx="12">
                  <c:v>-0.31601266310313642</c:v>
                </c:pt>
                <c:pt idx="13">
                  <c:v>-0.24234817302510869</c:v>
                </c:pt>
                <c:pt idx="14">
                  <c:v>-0.13514951028300692</c:v>
                </c:pt>
                <c:pt idx="15">
                  <c:v>-0.11698354603362655</c:v>
                </c:pt>
                <c:pt idx="16">
                  <c:v>-0.12970133822490482</c:v>
                </c:pt>
                <c:pt idx="17">
                  <c:v>-0.12243455650085357</c:v>
                </c:pt>
                <c:pt idx="18">
                  <c:v>-4.347070742165135E-2</c:v>
                </c:pt>
                <c:pt idx="19">
                  <c:v>-6.4350566527989053E-2</c:v>
                </c:pt>
                <c:pt idx="20">
                  <c:v>-4.8012476995252157E-2</c:v>
                </c:pt>
                <c:pt idx="21">
                  <c:v>3.8142038861713787E-2</c:v>
                </c:pt>
                <c:pt idx="22">
                  <c:v>-3.0829111232222553E-2</c:v>
                </c:pt>
                <c:pt idx="23">
                  <c:v>5.4583215226246314E-3</c:v>
                </c:pt>
                <c:pt idx="24">
                  <c:v>-1.1781180527960827E-2</c:v>
                </c:pt>
                <c:pt idx="25">
                  <c:v>3.084572521215748E-2</c:v>
                </c:pt>
                <c:pt idx="26">
                  <c:v>9.0723520073173163E-4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24-4870-8EA0-B332C6937AF0}"/>
            </c:ext>
          </c:extLst>
        </c:ser>
        <c:ser>
          <c:idx val="2"/>
          <c:order val="2"/>
          <c:tx>
            <c:strRef>
              <c:f>'SATORI H1(RTD UP LOAD DATA)'!$BQ$1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DATA)'!$BQ$2:$BQ$37</c:f>
              <c:numCache>
                <c:formatCode>0.00000</c:formatCode>
                <c:ptCount val="36"/>
                <c:pt idx="0">
                  <c:v>0.64887170176130393</c:v>
                </c:pt>
                <c:pt idx="1">
                  <c:v>0.65090129320454171</c:v>
                </c:pt>
                <c:pt idx="2">
                  <c:v>0.67626475156280719</c:v>
                </c:pt>
                <c:pt idx="3">
                  <c:v>0.70060774433091066</c:v>
                </c:pt>
                <c:pt idx="4">
                  <c:v>0.68234716587636346</c:v>
                </c:pt>
                <c:pt idx="5">
                  <c:v>0.69147662155792833</c:v>
                </c:pt>
                <c:pt idx="6">
                  <c:v>0.68741892105681179</c:v>
                </c:pt>
                <c:pt idx="7">
                  <c:v>1.0663867138473284</c:v>
                </c:pt>
                <c:pt idx="8">
                  <c:v>1.0532474375182348</c:v>
                </c:pt>
                <c:pt idx="9">
                  <c:v>0.82024166302729784</c:v>
                </c:pt>
                <c:pt idx="10">
                  <c:v>0.9113347804362083</c:v>
                </c:pt>
                <c:pt idx="11">
                  <c:v>0.90931044795984706</c:v>
                </c:pt>
                <c:pt idx="12">
                  <c:v>0.55277342804050034</c:v>
                </c:pt>
                <c:pt idx="13">
                  <c:v>0.48161858493692183</c:v>
                </c:pt>
                <c:pt idx="14">
                  <c:v>0.90270105029379044</c:v>
                </c:pt>
                <c:pt idx="15">
                  <c:v>0.83787713837327338</c:v>
                </c:pt>
                <c:pt idx="16">
                  <c:v>0.73953177378572155</c:v>
                </c:pt>
                <c:pt idx="17">
                  <c:v>0.79931432741269615</c:v>
                </c:pt>
                <c:pt idx="18">
                  <c:v>0.82261396069672488</c:v>
                </c:pt>
                <c:pt idx="19">
                  <c:v>0.81045615234431001</c:v>
                </c:pt>
                <c:pt idx="20">
                  <c:v>0.69279238669807253</c:v>
                </c:pt>
                <c:pt idx="21">
                  <c:v>0.55363404075245559</c:v>
                </c:pt>
                <c:pt idx="22">
                  <c:v>0.41530035141330846</c:v>
                </c:pt>
                <c:pt idx="23">
                  <c:v>0.40207552943975278</c:v>
                </c:pt>
                <c:pt idx="24">
                  <c:v>0.19615899699260997</c:v>
                </c:pt>
                <c:pt idx="25">
                  <c:v>1.233171293861314E-2</c:v>
                </c:pt>
                <c:pt idx="26">
                  <c:v>-8.0689641084313243E-2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24-4870-8EA0-B332C6937AF0}"/>
            </c:ext>
          </c:extLst>
        </c:ser>
        <c:ser>
          <c:idx val="3"/>
          <c:order val="3"/>
          <c:tx>
            <c:strRef>
              <c:f>'SATORI H1(RTD UP LOAD DATA)'!$BR$1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DATA)'!$BR$2:$BR$37</c:f>
              <c:numCache>
                <c:formatCode>0.00000</c:formatCode>
                <c:ptCount val="36"/>
                <c:pt idx="0">
                  <c:v>-1.6082359955393769E-2</c:v>
                </c:pt>
                <c:pt idx="1">
                  <c:v>5.6435208288813613E-2</c:v>
                </c:pt>
                <c:pt idx="2">
                  <c:v>-9.2190013554332359E-3</c:v>
                </c:pt>
                <c:pt idx="3">
                  <c:v>-3.1684697964854056E-2</c:v>
                </c:pt>
                <c:pt idx="4">
                  <c:v>-1.4406378799725112E-2</c:v>
                </c:pt>
                <c:pt idx="5">
                  <c:v>-2.8230945053972778E-2</c:v>
                </c:pt>
                <c:pt idx="6">
                  <c:v>-0.1562719181653619</c:v>
                </c:pt>
                <c:pt idx="7">
                  <c:v>0.15421209190812335</c:v>
                </c:pt>
                <c:pt idx="8">
                  <c:v>3.1593229327602751E-2</c:v>
                </c:pt>
                <c:pt idx="9">
                  <c:v>4.8860509558291826E-2</c:v>
                </c:pt>
                <c:pt idx="10">
                  <c:v>5.5766944629156795E-2</c:v>
                </c:pt>
                <c:pt idx="11">
                  <c:v>7.9933625680757681E-2</c:v>
                </c:pt>
                <c:pt idx="12">
                  <c:v>9.7192561494773497E-2</c:v>
                </c:pt>
                <c:pt idx="13">
                  <c:v>0.15583852958446856</c:v>
                </c:pt>
                <c:pt idx="14">
                  <c:v>0.34521616580724379</c:v>
                </c:pt>
                <c:pt idx="15">
                  <c:v>0.3314413496149527</c:v>
                </c:pt>
                <c:pt idx="16">
                  <c:v>0.25734685328520779</c:v>
                </c:pt>
                <c:pt idx="17">
                  <c:v>0.34858929996002835</c:v>
                </c:pt>
                <c:pt idx="18">
                  <c:v>0.32275929582723056</c:v>
                </c:pt>
                <c:pt idx="19">
                  <c:v>0.30036827979182462</c:v>
                </c:pt>
                <c:pt idx="20">
                  <c:v>0.25729008425126504</c:v>
                </c:pt>
                <c:pt idx="21">
                  <c:v>0.1917683241298884</c:v>
                </c:pt>
                <c:pt idx="22">
                  <c:v>9.5116615465752202E-2</c:v>
                </c:pt>
                <c:pt idx="23">
                  <c:v>0.17789236217195437</c:v>
                </c:pt>
                <c:pt idx="24">
                  <c:v>0.11231859168016214</c:v>
                </c:pt>
                <c:pt idx="25">
                  <c:v>0.11576972365145217</c:v>
                </c:pt>
                <c:pt idx="26">
                  <c:v>-1.7275632720046469E-2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24-4870-8EA0-B332C6937AF0}"/>
            </c:ext>
          </c:extLst>
        </c:ser>
        <c:ser>
          <c:idx val="4"/>
          <c:order val="4"/>
          <c:tx>
            <c:strRef>
              <c:f>'SATORI H1(RTD UP LOAD DATA)'!$BS$1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DATA)'!$BS$2:$BS$37</c:f>
              <c:numCache>
                <c:formatCode>0.00000</c:formatCode>
                <c:ptCount val="36"/>
                <c:pt idx="0">
                  <c:v>0.37122412367035412</c:v>
                </c:pt>
                <c:pt idx="1">
                  <c:v>0.31241532848832071</c:v>
                </c:pt>
                <c:pt idx="2">
                  <c:v>0.15206801839626047</c:v>
                </c:pt>
                <c:pt idx="3">
                  <c:v>9.6406354003353456E-2</c:v>
                </c:pt>
                <c:pt idx="4">
                  <c:v>9.3132031242447302E-2</c:v>
                </c:pt>
                <c:pt idx="5">
                  <c:v>8.2216430666104789E-2</c:v>
                </c:pt>
                <c:pt idx="6">
                  <c:v>7.3483187576274672E-2</c:v>
                </c:pt>
                <c:pt idx="7">
                  <c:v>0.17272524003279652</c:v>
                </c:pt>
                <c:pt idx="8">
                  <c:v>7.5570031858653186E-2</c:v>
                </c:pt>
                <c:pt idx="9">
                  <c:v>8.2119392204465957E-2</c:v>
                </c:pt>
                <c:pt idx="10">
                  <c:v>0.10394582838396417</c:v>
                </c:pt>
                <c:pt idx="11">
                  <c:v>0.12685833533953927</c:v>
                </c:pt>
                <c:pt idx="12">
                  <c:v>0.17266235955024728</c:v>
                </c:pt>
                <c:pt idx="13">
                  <c:v>0.18901826403176336</c:v>
                </c:pt>
                <c:pt idx="14">
                  <c:v>0.27835066772706707</c:v>
                </c:pt>
                <c:pt idx="15">
                  <c:v>0.27835066772706701</c:v>
                </c:pt>
                <c:pt idx="16">
                  <c:v>0.23584524556103417</c:v>
                </c:pt>
                <c:pt idx="17">
                  <c:v>0.25981691540576285</c:v>
                </c:pt>
                <c:pt idx="18">
                  <c:v>0.28269372921029068</c:v>
                </c:pt>
                <c:pt idx="19">
                  <c:v>0.23909984979096593</c:v>
                </c:pt>
                <c:pt idx="20">
                  <c:v>0.2565343614067026</c:v>
                </c:pt>
                <c:pt idx="21">
                  <c:v>0.20202181261797741</c:v>
                </c:pt>
                <c:pt idx="22">
                  <c:v>0.18893708903276218</c:v>
                </c:pt>
                <c:pt idx="23">
                  <c:v>0.10927494382940452</c:v>
                </c:pt>
                <c:pt idx="24">
                  <c:v>7.6844518255608681E-3</c:v>
                </c:pt>
                <c:pt idx="25">
                  <c:v>2.4067330625021706E-2</c:v>
                </c:pt>
                <c:pt idx="26">
                  <c:v>7.1009537127055558E-2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24-4870-8EA0-B332C6937AF0}"/>
            </c:ext>
          </c:extLst>
        </c:ser>
        <c:ser>
          <c:idx val="5"/>
          <c:order val="5"/>
          <c:tx>
            <c:strRef>
              <c:f>'SATORI H1(RTD UP LOAD DATA)'!$BT$1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DATA)'!$BT$2:$BT$37</c:f>
              <c:numCache>
                <c:formatCode>0.00000</c:formatCode>
                <c:ptCount val="36"/>
                <c:pt idx="0">
                  <c:v>0.5975899560190564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24-4870-8EA0-B332C6937AF0}"/>
            </c:ext>
          </c:extLst>
        </c:ser>
        <c:ser>
          <c:idx val="6"/>
          <c:order val="6"/>
          <c:tx>
            <c:strRef>
              <c:f>'SATORI H1(RTD UP LOAD DATA)'!$BU$1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DATA)'!$BU$2:$BU$37</c:f>
              <c:numCache>
                <c:formatCode>0.00000</c:formatCode>
                <c:ptCount val="36"/>
                <c:pt idx="0">
                  <c:v>0.20091427560449809</c:v>
                </c:pt>
                <c:pt idx="1">
                  <c:v>9.6389960470294356E-2</c:v>
                </c:pt>
                <c:pt idx="2">
                  <c:v>-0.10578960149608393</c:v>
                </c:pt>
                <c:pt idx="3">
                  <c:v>-0.12634322324312922</c:v>
                </c:pt>
                <c:pt idx="4">
                  <c:v>-0.14822767334659384</c:v>
                </c:pt>
                <c:pt idx="5">
                  <c:v>-0.10050256994219955</c:v>
                </c:pt>
                <c:pt idx="6">
                  <c:v>-1.7053334893518277E-2</c:v>
                </c:pt>
                <c:pt idx="7">
                  <c:v>-1.5066487821139112E-2</c:v>
                </c:pt>
                <c:pt idx="8">
                  <c:v>2.2669361235461954E-2</c:v>
                </c:pt>
                <c:pt idx="9">
                  <c:v>2.3331389292215357E-2</c:v>
                </c:pt>
                <c:pt idx="10">
                  <c:v>3.7232045932760485E-2</c:v>
                </c:pt>
                <c:pt idx="11">
                  <c:v>2.2005199015538088E-2</c:v>
                </c:pt>
                <c:pt idx="12">
                  <c:v>5.5096086446953595E-2</c:v>
                </c:pt>
                <c:pt idx="13">
                  <c:v>6.3698977018183112E-2</c:v>
                </c:pt>
                <c:pt idx="14">
                  <c:v>6.3698977018183112E-2</c:v>
                </c:pt>
                <c:pt idx="15">
                  <c:v>7.097781610952289E-2</c:v>
                </c:pt>
                <c:pt idx="16">
                  <c:v>6.3036633799822092E-2</c:v>
                </c:pt>
                <c:pt idx="17">
                  <c:v>7.0315521056479258E-2</c:v>
                </c:pt>
                <c:pt idx="18">
                  <c:v>7.8917102424128277E-2</c:v>
                </c:pt>
                <c:pt idx="19">
                  <c:v>4.1850402220930352E-2</c:v>
                </c:pt>
                <c:pt idx="20">
                  <c:v>5.5086757193496524E-2</c:v>
                </c:pt>
                <c:pt idx="21">
                  <c:v>8.4198260868823621E-2</c:v>
                </c:pt>
                <c:pt idx="22">
                  <c:v>0.11594618237209009</c:v>
                </c:pt>
                <c:pt idx="23">
                  <c:v>-2.2480914897792928E-2</c:v>
                </c:pt>
                <c:pt idx="24">
                  <c:v>-8.5441938710315302E-2</c:v>
                </c:pt>
                <c:pt idx="25">
                  <c:v>-6.092628844925798E-2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824-4870-8EA0-B332C6937AF0}"/>
            </c:ext>
          </c:extLst>
        </c:ser>
        <c:ser>
          <c:idx val="7"/>
          <c:order val="7"/>
          <c:tx>
            <c:strRef>
              <c:f>'SATORI H1(RTD UP LOAD DATA)'!$BV$1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DATA)'!$BV$2:$BV$37</c:f>
              <c:numCache>
                <c:formatCode>0.00000</c:formatCode>
                <c:ptCount val="36"/>
                <c:pt idx="0">
                  <c:v>-4.5242223565834586E-3</c:v>
                </c:pt>
                <c:pt idx="1">
                  <c:v>-3.9738796494996335E-2</c:v>
                </c:pt>
                <c:pt idx="2">
                  <c:v>-4.6782207384116599E-2</c:v>
                </c:pt>
                <c:pt idx="3">
                  <c:v>-5.7125179883019267E-3</c:v>
                </c:pt>
                <c:pt idx="4">
                  <c:v>-6.9117357891079367E-2</c:v>
                </c:pt>
                <c:pt idx="5">
                  <c:v>-4.5800318485153535E-3</c:v>
                </c:pt>
                <c:pt idx="6">
                  <c:v>4.2334185505061482E-2</c:v>
                </c:pt>
                <c:pt idx="7">
                  <c:v>5.5233931028256841E-2</c:v>
                </c:pt>
                <c:pt idx="8">
                  <c:v>0.1290597489714484</c:v>
                </c:pt>
                <c:pt idx="9">
                  <c:v>0.13257514052747488</c:v>
                </c:pt>
                <c:pt idx="10">
                  <c:v>0.13023149123115324</c:v>
                </c:pt>
                <c:pt idx="11">
                  <c:v>0.13140330214775142</c:v>
                </c:pt>
                <c:pt idx="12">
                  <c:v>0.16654527572098343</c:v>
                </c:pt>
                <c:pt idx="13">
                  <c:v>0.14428373780020834</c:v>
                </c:pt>
                <c:pt idx="14">
                  <c:v>0.13725328421878405</c:v>
                </c:pt>
                <c:pt idx="15">
                  <c:v>0.13139422963583222</c:v>
                </c:pt>
                <c:pt idx="16">
                  <c:v>0.11381397577696845</c:v>
                </c:pt>
                <c:pt idx="17">
                  <c:v>0.11381397577696845</c:v>
                </c:pt>
                <c:pt idx="18">
                  <c:v>0.11029780137470804</c:v>
                </c:pt>
                <c:pt idx="19">
                  <c:v>7.8642214163566149E-2</c:v>
                </c:pt>
                <c:pt idx="20">
                  <c:v>4.8149761045721377E-2</c:v>
                </c:pt>
                <c:pt idx="21">
                  <c:v>8.5664855009306762E-2</c:v>
                </c:pt>
                <c:pt idx="22">
                  <c:v>5.9866574112934015E-2</c:v>
                </c:pt>
                <c:pt idx="23">
                  <c:v>-2.2286300650880456E-2</c:v>
                </c:pt>
                <c:pt idx="24">
                  <c:v>-2.8154707495789553E-2</c:v>
                </c:pt>
                <c:pt idx="25">
                  <c:v>1.1734541178480353E-2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824-4870-8EA0-B332C6937AF0}"/>
            </c:ext>
          </c:extLst>
        </c:ser>
        <c:ser>
          <c:idx val="8"/>
          <c:order val="8"/>
          <c:tx>
            <c:strRef>
              <c:f>'SATORI H1(RTD UP LOAD DATA)'!$BW$1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DATA)'!$BW$2:$BW$37</c:f>
              <c:numCache>
                <c:formatCode>0.00000</c:formatCode>
                <c:ptCount val="36"/>
                <c:pt idx="0">
                  <c:v>-0.18181306356226945</c:v>
                </c:pt>
                <c:pt idx="1">
                  <c:v>-0.15769039454626951</c:v>
                </c:pt>
                <c:pt idx="2">
                  <c:v>-0.26478375475793858</c:v>
                </c:pt>
                <c:pt idx="3">
                  <c:v>-0.25533523345151954</c:v>
                </c:pt>
                <c:pt idx="4">
                  <c:v>-0.25638508017389328</c:v>
                </c:pt>
                <c:pt idx="5">
                  <c:v>-0.21650681382905784</c:v>
                </c:pt>
                <c:pt idx="6">
                  <c:v>-0.24694949236487135</c:v>
                </c:pt>
                <c:pt idx="7">
                  <c:v>-3.2213355939338023E-2</c:v>
                </c:pt>
                <c:pt idx="8">
                  <c:v>-2.4881440109730216E-2</c:v>
                </c:pt>
                <c:pt idx="9">
                  <c:v>-1.3361185407366021E-2</c:v>
                </c:pt>
                <c:pt idx="10">
                  <c:v>-1.2313900493509949E-2</c:v>
                </c:pt>
                <c:pt idx="11">
                  <c:v>-2.2787846552686623E-2</c:v>
                </c:pt>
                <c:pt idx="12">
                  <c:v>-2.1740462917001671E-2</c:v>
                </c:pt>
                <c:pt idx="13">
                  <c:v>2.8508689128549675E-2</c:v>
                </c:pt>
                <c:pt idx="14">
                  <c:v>0.13204026625957949</c:v>
                </c:pt>
                <c:pt idx="15">
                  <c:v>0.12576523148542218</c:v>
                </c:pt>
                <c:pt idx="16">
                  <c:v>9.9612415350183656E-2</c:v>
                </c:pt>
                <c:pt idx="17">
                  <c:v>0.1602501571170446</c:v>
                </c:pt>
                <c:pt idx="18">
                  <c:v>0.1194598714804545</c:v>
                </c:pt>
                <c:pt idx="19">
                  <c:v>0.10795359532982116</c:v>
                </c:pt>
                <c:pt idx="20">
                  <c:v>5.876623334223622E-2</c:v>
                </c:pt>
                <c:pt idx="21">
                  <c:v>7.1323131788320976E-2</c:v>
                </c:pt>
                <c:pt idx="22">
                  <c:v>2.5259962432891716E-2</c:v>
                </c:pt>
                <c:pt idx="23">
                  <c:v>4.6193383686591996E-2</c:v>
                </c:pt>
                <c:pt idx="24">
                  <c:v>1.7925276393421105E-2</c:v>
                </c:pt>
                <c:pt idx="25">
                  <c:v>3.0487301391851795E-2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824-4870-8EA0-B332C6937AF0}"/>
            </c:ext>
          </c:extLst>
        </c:ser>
        <c:ser>
          <c:idx val="9"/>
          <c:order val="9"/>
          <c:tx>
            <c:strRef>
              <c:f>'SATORI H1(RTD UP LOAD DATA)'!$BX$1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DATA)'!$BX$2:$BX$37</c:f>
              <c:numCache>
                <c:formatCode>0.00000</c:formatCode>
                <c:ptCount val="36"/>
                <c:pt idx="0">
                  <c:v>0.48084352511125888</c:v>
                </c:pt>
                <c:pt idx="1">
                  <c:v>0.43461030006641954</c:v>
                </c:pt>
                <c:pt idx="2">
                  <c:v>0.41796356837473242</c:v>
                </c:pt>
                <c:pt idx="3">
                  <c:v>0.47834855346334626</c:v>
                </c:pt>
                <c:pt idx="4">
                  <c:v>0.44259772441395284</c:v>
                </c:pt>
                <c:pt idx="5">
                  <c:v>0.50481474477308619</c:v>
                </c:pt>
                <c:pt idx="6">
                  <c:v>0.59774582806640519</c:v>
                </c:pt>
                <c:pt idx="7">
                  <c:v>0.87882398988887067</c:v>
                </c:pt>
                <c:pt idx="8">
                  <c:v>0.99712946320271856</c:v>
                </c:pt>
                <c:pt idx="9">
                  <c:v>0.76180498577051436</c:v>
                </c:pt>
                <c:pt idx="10">
                  <c:v>0.84529691283785768</c:v>
                </c:pt>
                <c:pt idx="11">
                  <c:v>0.80169020846060579</c:v>
                </c:pt>
                <c:pt idx="12">
                  <c:v>0.43676944927749528</c:v>
                </c:pt>
                <c:pt idx="13">
                  <c:v>0.35718796153551774</c:v>
                </c:pt>
                <c:pt idx="14">
                  <c:v>0.6904393142162687</c:v>
                </c:pt>
                <c:pt idx="15">
                  <c:v>0.63137838302226867</c:v>
                </c:pt>
                <c:pt idx="16">
                  <c:v>0.57536218141318307</c:v>
                </c:pt>
                <c:pt idx="17">
                  <c:v>0.60920666906917953</c:v>
                </c:pt>
                <c:pt idx="18">
                  <c:v>0.61720563535659867</c:v>
                </c:pt>
                <c:pt idx="19">
                  <c:v>0.61166758278202815</c:v>
                </c:pt>
                <c:pt idx="20">
                  <c:v>0.49214910670421275</c:v>
                </c:pt>
                <c:pt idx="21">
                  <c:v>0.43482132122107658</c:v>
                </c:pt>
                <c:pt idx="22">
                  <c:v>0.343506699158726</c:v>
                </c:pt>
                <c:pt idx="23">
                  <c:v>0.27373810860773962</c:v>
                </c:pt>
                <c:pt idx="24">
                  <c:v>0.10056079978311802</c:v>
                </c:pt>
                <c:pt idx="25">
                  <c:v>-7.0434442088419008E-2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824-4870-8EA0-B332C6937AF0}"/>
            </c:ext>
          </c:extLst>
        </c:ser>
        <c:ser>
          <c:idx val="10"/>
          <c:order val="10"/>
          <c:tx>
            <c:strRef>
              <c:f>'SATORI H1(RTD UP LOAD DATA)'!$BY$1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DATA)'!$BY$2:$BY$37</c:f>
              <c:numCache>
                <c:formatCode>0.00000</c:formatCode>
                <c:ptCount val="36"/>
                <c:pt idx="0">
                  <c:v>-0.16948950687877298</c:v>
                </c:pt>
                <c:pt idx="1">
                  <c:v>-0.21504814692299698</c:v>
                </c:pt>
                <c:pt idx="2">
                  <c:v>-0.256979670921203</c:v>
                </c:pt>
                <c:pt idx="3">
                  <c:v>-0.22174530161641201</c:v>
                </c:pt>
                <c:pt idx="4">
                  <c:v>-0.24058101169230364</c:v>
                </c:pt>
                <c:pt idx="5">
                  <c:v>-0.18471271512880927</c:v>
                </c:pt>
                <c:pt idx="6">
                  <c:v>-9.0069175460425296E-2</c:v>
                </c:pt>
                <c:pt idx="7">
                  <c:v>-0.18723379053673264</c:v>
                </c:pt>
                <c:pt idx="8">
                  <c:v>-5.5022033393957892E-2</c:v>
                </c:pt>
                <c:pt idx="9">
                  <c:v>-5.8054505101003274E-2</c:v>
                </c:pt>
                <c:pt idx="10">
                  <c:v>-6.7759356313499372E-2</c:v>
                </c:pt>
                <c:pt idx="11">
                  <c:v>-0.10416579782654706</c:v>
                </c:pt>
                <c:pt idx="12">
                  <c:v>-0.11751660858487972</c:v>
                </c:pt>
                <c:pt idx="13">
                  <c:v>-0.12540634646350907</c:v>
                </c:pt>
                <c:pt idx="14">
                  <c:v>-0.21470073853271421</c:v>
                </c:pt>
                <c:pt idx="15">
                  <c:v>-0.20680457910318356</c:v>
                </c:pt>
                <c:pt idx="16">
                  <c:v>-0.20923422565034103</c:v>
                </c:pt>
                <c:pt idx="17">
                  <c:v>-0.19830201145183349</c:v>
                </c:pt>
                <c:pt idx="18">
                  <c:v>-0.20255360883770931</c:v>
                </c:pt>
                <c:pt idx="19">
                  <c:v>-0.19769487648097633</c:v>
                </c:pt>
                <c:pt idx="20">
                  <c:v>-0.20073167642266271</c:v>
                </c:pt>
                <c:pt idx="21">
                  <c:v>-0.11819889088047658</c:v>
                </c:pt>
                <c:pt idx="22">
                  <c:v>-7.2098890273891936E-2</c:v>
                </c:pt>
                <c:pt idx="23">
                  <c:v>-0.13097168861330971</c:v>
                </c:pt>
                <c:pt idx="24">
                  <c:v>-9.4568781234444385E-2</c:v>
                </c:pt>
                <c:pt idx="25">
                  <c:v>-8.4862281519576574E-2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824-4870-8EA0-B332C6937AF0}"/>
            </c:ext>
          </c:extLst>
        </c:ser>
        <c:ser>
          <c:idx val="11"/>
          <c:order val="11"/>
          <c:tx>
            <c:strRef>
              <c:f>'SATORI H1(RTD UP LOAD DATA)'!$BZ$1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DATA)'!$BZ$2:$BZ$37</c:f>
              <c:numCache>
                <c:formatCode>0.00000</c:formatCode>
                <c:ptCount val="36"/>
                <c:pt idx="0">
                  <c:v>-0.63388444978291847</c:v>
                </c:pt>
                <c:pt idx="1">
                  <c:v>-0.6792846358129514</c:v>
                </c:pt>
                <c:pt idx="2">
                  <c:v>-0.79568874654097543</c:v>
                </c:pt>
                <c:pt idx="3">
                  <c:v>-0.77019720308344086</c:v>
                </c:pt>
                <c:pt idx="4">
                  <c:v>-0.72422273829821304</c:v>
                </c:pt>
                <c:pt idx="5">
                  <c:v>-0.709269425862596</c:v>
                </c:pt>
                <c:pt idx="6">
                  <c:v>-0.56824286309471161</c:v>
                </c:pt>
                <c:pt idx="7">
                  <c:v>-0.56437169555057953</c:v>
                </c:pt>
                <c:pt idx="8">
                  <c:v>-0.47210191418024411</c:v>
                </c:pt>
                <c:pt idx="9">
                  <c:v>-0.45111080225894712</c:v>
                </c:pt>
                <c:pt idx="10">
                  <c:v>-0.39314266817037213</c:v>
                </c:pt>
                <c:pt idx="11">
                  <c:v>-0.3865181774280913</c:v>
                </c:pt>
                <c:pt idx="12">
                  <c:v>-0.43401624436723207</c:v>
                </c:pt>
                <c:pt idx="13">
                  <c:v>-0.36778376837649968</c:v>
                </c:pt>
                <c:pt idx="14">
                  <c:v>-0.34957315434770808</c:v>
                </c:pt>
                <c:pt idx="15">
                  <c:v>-0.32309200285896889</c:v>
                </c:pt>
                <c:pt idx="16">
                  <c:v>-0.30268361445975972</c:v>
                </c:pt>
                <c:pt idx="17">
                  <c:v>-0.31150964241619983</c:v>
                </c:pt>
                <c:pt idx="18">
                  <c:v>-0.24425643962023069</c:v>
                </c:pt>
                <c:pt idx="19">
                  <c:v>-0.2624511896078342</c:v>
                </c:pt>
                <c:pt idx="20">
                  <c:v>-0.24866918779963096</c:v>
                </c:pt>
                <c:pt idx="21">
                  <c:v>-8.0261575335262778E-2</c:v>
                </c:pt>
                <c:pt idx="22">
                  <c:v>-0.10228048958261106</c:v>
                </c:pt>
                <c:pt idx="23">
                  <c:v>-0.12430425322357724</c:v>
                </c:pt>
                <c:pt idx="24">
                  <c:v>-0.10888999503474939</c:v>
                </c:pt>
                <c:pt idx="25">
                  <c:v>-5.3869362297478955E-2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824-4870-8EA0-B332C6937AF0}"/>
            </c:ext>
          </c:extLst>
        </c:ser>
        <c:ser>
          <c:idx val="12"/>
          <c:order val="12"/>
          <c:tx>
            <c:strRef>
              <c:f>'SATORI H1(RTD UP LOAD DATA)'!$CA$1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DATA)'!$CA$2:$CA$37</c:f>
              <c:numCache>
                <c:formatCode>0.00000</c:formatCode>
                <c:ptCount val="36"/>
                <c:pt idx="0">
                  <c:v>0.60641141503288221</c:v>
                </c:pt>
                <c:pt idx="1">
                  <c:v>0.59796754374819827</c:v>
                </c:pt>
                <c:pt idx="2">
                  <c:v>0.44959616942949898</c:v>
                </c:pt>
                <c:pt idx="3">
                  <c:v>0.41883616666110207</c:v>
                </c:pt>
                <c:pt idx="4">
                  <c:v>0.42344995419619924</c:v>
                </c:pt>
                <c:pt idx="5">
                  <c:v>0.39575956353092701</c:v>
                </c:pt>
                <c:pt idx="6">
                  <c:v>0.41114074772829667</c:v>
                </c:pt>
                <c:pt idx="7">
                  <c:v>0.34957813470319365</c:v>
                </c:pt>
                <c:pt idx="8">
                  <c:v>0.23401484068705661</c:v>
                </c:pt>
                <c:pt idx="9">
                  <c:v>0.23324441279139832</c:v>
                </c:pt>
                <c:pt idx="10">
                  <c:v>0.22553954022999134</c:v>
                </c:pt>
                <c:pt idx="11">
                  <c:v>0.22708049099662439</c:v>
                </c:pt>
                <c:pt idx="12">
                  <c:v>0.27713632250099773</c:v>
                </c:pt>
                <c:pt idx="13">
                  <c:v>0.2748259999799586</c:v>
                </c:pt>
                <c:pt idx="14">
                  <c:v>0.3071600569802887</c:v>
                </c:pt>
                <c:pt idx="15">
                  <c:v>0.30639019255340921</c:v>
                </c:pt>
                <c:pt idx="16">
                  <c:v>0.29099053288588955</c:v>
                </c:pt>
                <c:pt idx="17">
                  <c:v>0.31716310249337853</c:v>
                </c:pt>
                <c:pt idx="18">
                  <c:v>0.31177434190831199</c:v>
                </c:pt>
                <c:pt idx="19">
                  <c:v>0.32793801059928906</c:v>
                </c:pt>
                <c:pt idx="20">
                  <c:v>0.31408151767764225</c:v>
                </c:pt>
                <c:pt idx="21">
                  <c:v>0.24860523549797398</c:v>
                </c:pt>
                <c:pt idx="22">
                  <c:v>0.23627876903367157</c:v>
                </c:pt>
                <c:pt idx="23">
                  <c:v>0.28632997526774484</c:v>
                </c:pt>
                <c:pt idx="24">
                  <c:v>9.9637593396956894E-2</c:v>
                </c:pt>
                <c:pt idx="25">
                  <c:v>9.2956840168496174E-3</c:v>
                </c:pt>
                <c:pt idx="26">
                  <c:v>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E824-4870-8EA0-B332C6937AF0}"/>
            </c:ext>
          </c:extLst>
        </c:ser>
        <c:ser>
          <c:idx val="13"/>
          <c:order val="13"/>
          <c:tx>
            <c:strRef>
              <c:f>'SATORI H1(RTD UP LOAD DATA)'!$CB$1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DATA)'!$CB$2:$CB$37</c:f>
              <c:numCache>
                <c:formatCode>0.00000</c:formatCode>
                <c:ptCount val="36"/>
                <c:pt idx="0">
                  <c:v>-0.16054868166106678</c:v>
                </c:pt>
                <c:pt idx="1">
                  <c:v>-0.17348649734376223</c:v>
                </c:pt>
                <c:pt idx="2">
                  <c:v>-0.20868974432560225</c:v>
                </c:pt>
                <c:pt idx="3">
                  <c:v>-0.21127828537210308</c:v>
                </c:pt>
                <c:pt idx="4">
                  <c:v>-0.16832696009084391</c:v>
                </c:pt>
                <c:pt idx="5">
                  <c:v>-0.17712499347161781</c:v>
                </c:pt>
                <c:pt idx="6">
                  <c:v>-0.13108590680432741</c:v>
                </c:pt>
                <c:pt idx="7">
                  <c:v>-0.23776196372585179</c:v>
                </c:pt>
                <c:pt idx="8">
                  <c:v>-0.17979694975214253</c:v>
                </c:pt>
                <c:pt idx="9">
                  <c:v>-0.18859598496381128</c:v>
                </c:pt>
                <c:pt idx="10">
                  <c:v>-0.19273687887927793</c:v>
                </c:pt>
                <c:pt idx="11">
                  <c:v>-0.2341629721397773</c:v>
                </c:pt>
                <c:pt idx="12">
                  <c:v>-0.27975244925955806</c:v>
                </c:pt>
                <c:pt idx="13">
                  <c:v>-0.26835637883183711</c:v>
                </c:pt>
                <c:pt idx="14">
                  <c:v>-0.34871139246626537</c:v>
                </c:pt>
                <c:pt idx="15">
                  <c:v>-0.33782576926434632</c:v>
                </c:pt>
                <c:pt idx="16">
                  <c:v>-0.34093604405712163</c:v>
                </c:pt>
                <c:pt idx="17">
                  <c:v>-0.31709628867373552</c:v>
                </c:pt>
                <c:pt idx="18">
                  <c:v>-0.31502330943981444</c:v>
                </c:pt>
                <c:pt idx="19">
                  <c:v>-0.27358090660929135</c:v>
                </c:pt>
                <c:pt idx="20">
                  <c:v>-0.24872164627586471</c:v>
                </c:pt>
                <c:pt idx="21">
                  <c:v>-0.20161483287061327</c:v>
                </c:pt>
                <c:pt idx="22">
                  <c:v>-0.12816149126084828</c:v>
                </c:pt>
                <c:pt idx="23">
                  <c:v>-0.10437240734744546</c:v>
                </c:pt>
                <c:pt idx="24">
                  <c:v>-6.8184727701456865E-2</c:v>
                </c:pt>
                <c:pt idx="25">
                  <c:v>-9.3522521865495895E-2</c:v>
                </c:pt>
                <c:pt idx="26">
                  <c:v>-7.2326004298234617E-2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E824-4870-8EA0-B332C6937AF0}"/>
            </c:ext>
          </c:extLst>
        </c:ser>
        <c:ser>
          <c:idx val="14"/>
          <c:order val="14"/>
          <c:tx>
            <c:strRef>
              <c:f>'SATORI H1(RTD UP LOAD DATA)'!$CC$1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DATA)'!$CC$2:$CC$37</c:f>
              <c:numCache>
                <c:formatCode>0.00000</c:formatCode>
                <c:ptCount val="36"/>
                <c:pt idx="0">
                  <c:v>-0.62485690853169418</c:v>
                </c:pt>
                <c:pt idx="1">
                  <c:v>-0.63759251729379263</c:v>
                </c:pt>
                <c:pt idx="2">
                  <c:v>-0.74761702489869231</c:v>
                </c:pt>
                <c:pt idx="3">
                  <c:v>-0.759895945298247</c:v>
                </c:pt>
                <c:pt idx="4">
                  <c:v>-0.65186382815178823</c:v>
                </c:pt>
                <c:pt idx="5">
                  <c:v>-0.70189497962347258</c:v>
                </c:pt>
                <c:pt idx="6">
                  <c:v>-0.60947005129994947</c:v>
                </c:pt>
                <c:pt idx="7">
                  <c:v>-0.61512904060445472</c:v>
                </c:pt>
                <c:pt idx="8">
                  <c:v>-0.5972121185430741</c:v>
                </c:pt>
                <c:pt idx="9">
                  <c:v>-0.58165510680929755</c:v>
                </c:pt>
                <c:pt idx="10">
                  <c:v>-0.51805326376922545</c:v>
                </c:pt>
                <c:pt idx="11">
                  <c:v>-0.51663990945544425</c:v>
                </c:pt>
                <c:pt idx="12">
                  <c:v>-0.59585044445659474</c:v>
                </c:pt>
                <c:pt idx="13">
                  <c:v>-0.51105397952700882</c:v>
                </c:pt>
                <c:pt idx="14">
                  <c:v>-0.48373813775165581</c:v>
                </c:pt>
                <c:pt idx="15">
                  <c:v>-0.45454696855116122</c:v>
                </c:pt>
                <c:pt idx="16">
                  <c:v>-0.43430557820302301</c:v>
                </c:pt>
                <c:pt idx="17">
                  <c:v>-0.43336412705020994</c:v>
                </c:pt>
                <c:pt idx="18">
                  <c:v>-0.35998482189578379</c:v>
                </c:pt>
                <c:pt idx="19">
                  <c:v>-0.33835201527426839</c:v>
                </c:pt>
                <c:pt idx="20">
                  <c:v>-0.29651474814096457</c:v>
                </c:pt>
                <c:pt idx="21">
                  <c:v>-0.16318955202617566</c:v>
                </c:pt>
                <c:pt idx="22">
                  <c:v>-0.15849522324476656</c:v>
                </c:pt>
                <c:pt idx="23">
                  <c:v>-9.8443898127833107E-2</c:v>
                </c:pt>
                <c:pt idx="24">
                  <c:v>-7.9681380010278621E-2</c:v>
                </c:pt>
                <c:pt idx="25">
                  <c:v>-6.2797964682944935E-2</c:v>
                </c:pt>
                <c:pt idx="26">
                  <c:v>-7.170945018067075E-2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E824-4870-8EA0-B332C6937AF0}"/>
            </c:ext>
          </c:extLst>
        </c:ser>
        <c:ser>
          <c:idx val="15"/>
          <c:order val="15"/>
          <c:tx>
            <c:strRef>
              <c:f>'SATORI H1(RTD UP LOAD DATA)'!$CD$1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DATA)'!$CD$2:$CD$37</c:f>
              <c:numCache>
                <c:formatCode>0.00000</c:formatCode>
                <c:ptCount val="36"/>
                <c:pt idx="0">
                  <c:v>0.21064366389076597</c:v>
                </c:pt>
                <c:pt idx="1">
                  <c:v>0.13793893526539189</c:v>
                </c:pt>
                <c:pt idx="2">
                  <c:v>-5.6882760530409748E-2</c:v>
                </c:pt>
                <c:pt idx="3">
                  <c:v>-0.11508076936747152</c:v>
                </c:pt>
                <c:pt idx="4">
                  <c:v>-7.5544361984321642E-2</c:v>
                </c:pt>
                <c:pt idx="5">
                  <c:v>-9.2491408114191903E-2</c:v>
                </c:pt>
                <c:pt idx="6">
                  <c:v>-5.8044284449017977E-2</c:v>
                </c:pt>
                <c:pt idx="7">
                  <c:v>-6.538601370863073E-2</c:v>
                </c:pt>
                <c:pt idx="8">
                  <c:v>-0.10210814020223483</c:v>
                </c:pt>
                <c:pt idx="9">
                  <c:v>-0.10662799082116388</c:v>
                </c:pt>
                <c:pt idx="10">
                  <c:v>-8.7422314979079305E-2</c:v>
                </c:pt>
                <c:pt idx="11">
                  <c:v>-0.10719677315892928</c:v>
                </c:pt>
                <c:pt idx="12">
                  <c:v>-0.10663179183155848</c:v>
                </c:pt>
                <c:pt idx="13">
                  <c:v>-7.895536875507668E-2</c:v>
                </c:pt>
                <c:pt idx="14">
                  <c:v>-7.0483712094372472E-2</c:v>
                </c:pt>
                <c:pt idx="15">
                  <c:v>-5.9754098360471866E-2</c:v>
                </c:pt>
                <c:pt idx="16">
                  <c:v>-6.7660754635534753E-2</c:v>
                </c:pt>
                <c:pt idx="17">
                  <c:v>-4.78980203765485E-2</c:v>
                </c:pt>
                <c:pt idx="18">
                  <c:v>-3.3219287038326377E-2</c:v>
                </c:pt>
                <c:pt idx="19">
                  <c:v>-3.3783856892545601E-2</c:v>
                </c:pt>
                <c:pt idx="20">
                  <c:v>7.9768654550820932E-3</c:v>
                </c:pt>
                <c:pt idx="21">
                  <c:v>1.2043977936083972E-3</c:v>
                </c:pt>
                <c:pt idx="22">
                  <c:v>6.04283942288876E-2</c:v>
                </c:pt>
                <c:pt idx="23">
                  <c:v>4.5574279433573811E-3</c:v>
                </c:pt>
                <c:pt idx="24">
                  <c:v>-5.586485037182818E-2</c:v>
                </c:pt>
                <c:pt idx="25">
                  <c:v>-6.9419347923548078E-2</c:v>
                </c:pt>
                <c:pt idx="26">
                  <c:v>-1.1287573510271117E-3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E824-4870-8EA0-B332C6937AF0}"/>
            </c:ext>
          </c:extLst>
        </c:ser>
        <c:ser>
          <c:idx val="16"/>
          <c:order val="16"/>
          <c:tx>
            <c:strRef>
              <c:f>'SATORI H1(RTD UP LOAD DATA)'!$CE$1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DATA)'!$CE$2:$CE$37</c:f>
              <c:numCache>
                <c:formatCode>0.00000</c:formatCode>
                <c:ptCount val="36"/>
                <c:pt idx="0">
                  <c:v>-0.17798108654982808</c:v>
                </c:pt>
                <c:pt idx="1">
                  <c:v>-0.11722123094383666</c:v>
                </c:pt>
                <c:pt idx="2">
                  <c:v>-0.21918720650777276</c:v>
                </c:pt>
                <c:pt idx="3">
                  <c:v>-0.24513264950385621</c:v>
                </c:pt>
                <c:pt idx="4">
                  <c:v>-0.18254491491160235</c:v>
                </c:pt>
                <c:pt idx="5">
                  <c:v>-0.20579719318770773</c:v>
                </c:pt>
                <c:pt idx="6">
                  <c:v>-0.28814223682163315</c:v>
                </c:pt>
                <c:pt idx="7">
                  <c:v>-8.3593940199814948E-2</c:v>
                </c:pt>
                <c:pt idx="8">
                  <c:v>-0.14794745551059366</c:v>
                </c:pt>
                <c:pt idx="9">
                  <c:v>-0.13990391313451819</c:v>
                </c:pt>
                <c:pt idx="10">
                  <c:v>-0.13632913320692375</c:v>
                </c:pt>
                <c:pt idx="11">
                  <c:v>-0.15510025071410338</c:v>
                </c:pt>
                <c:pt idx="12">
                  <c:v>-0.18371204234873956</c:v>
                </c:pt>
                <c:pt idx="13">
                  <c:v>-0.11401940475045481</c:v>
                </c:pt>
                <c:pt idx="14">
                  <c:v>-3.3485968535455972E-3</c:v>
                </c:pt>
                <c:pt idx="15">
                  <c:v>-6.0261880924846051E-3</c:v>
                </c:pt>
                <c:pt idx="16">
                  <c:v>-4.6206194521271296E-2</c:v>
                </c:pt>
                <c:pt idx="17">
                  <c:v>3.854637258938045E-2</c:v>
                </c:pt>
                <c:pt idx="18">
                  <c:v>7.3119897807782767E-3</c:v>
                </c:pt>
                <c:pt idx="19">
                  <c:v>2.6049108011998199E-2</c:v>
                </c:pt>
                <c:pt idx="20">
                  <c:v>8.2010485422660054E-3</c:v>
                </c:pt>
                <c:pt idx="21">
                  <c:v>-1.0542926608582241E-2</c:v>
                </c:pt>
                <c:pt idx="22">
                  <c:v>-3.1969202364752813E-2</c:v>
                </c:pt>
                <c:pt idx="23">
                  <c:v>7.3265792730222545E-2</c:v>
                </c:pt>
                <c:pt idx="24">
                  <c:v>4.739626435849513E-2</c:v>
                </c:pt>
                <c:pt idx="25">
                  <c:v>2.1520041930045253E-2</c:v>
                </c:pt>
                <c:pt idx="26">
                  <c:v>-9.0139940025699292E-2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E824-4870-8EA0-B332C6937AF0}"/>
            </c:ext>
          </c:extLst>
        </c:ser>
        <c:ser>
          <c:idx val="17"/>
          <c:order val="17"/>
          <c:tx>
            <c:strRef>
              <c:f>'SATORI H1(RTD UP LOAD DATA)'!$CF$1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DATA)'!$CF$2:$CF$37</c:f>
              <c:numCache>
                <c:formatCode>0.00000</c:formatCode>
                <c:ptCount val="36"/>
                <c:pt idx="0">
                  <c:v>0.48603880485987644</c:v>
                </c:pt>
                <c:pt idx="1">
                  <c:v>0.47553543065090659</c:v>
                </c:pt>
                <c:pt idx="2">
                  <c:v>0.46555622940717989</c:v>
                </c:pt>
                <c:pt idx="3">
                  <c:v>0.48761065131877407</c:v>
                </c:pt>
                <c:pt idx="4">
                  <c:v>0.51280935358560842</c:v>
                </c:pt>
                <c:pt idx="5">
                  <c:v>0.51438424767398849</c:v>
                </c:pt>
                <c:pt idx="6">
                  <c:v>0.55531473406460319</c:v>
                </c:pt>
                <c:pt idx="7">
                  <c:v>0.82692018919999</c:v>
                </c:pt>
                <c:pt idx="8">
                  <c:v>0.87399722815884229</c:v>
                </c:pt>
                <c:pt idx="9">
                  <c:v>0.63017280271931608</c:v>
                </c:pt>
                <c:pt idx="10">
                  <c:v>0.71871010364135224</c:v>
                </c:pt>
                <c:pt idx="11">
                  <c:v>0.67415966992977272</c:v>
                </c:pt>
                <c:pt idx="12">
                  <c:v>0.27212000271759068</c:v>
                </c:pt>
                <c:pt idx="13">
                  <c:v>0.21262063983466251</c:v>
                </c:pt>
                <c:pt idx="14">
                  <c:v>0.55370623657703577</c:v>
                </c:pt>
                <c:pt idx="15">
                  <c:v>0.49962805948412697</c:v>
                </c:pt>
                <c:pt idx="16">
                  <c:v>0.43343038060591238</c:v>
                </c:pt>
                <c:pt idx="17">
                  <c:v>0.48908949478585662</c:v>
                </c:pt>
                <c:pt idx="18">
                  <c:v>0.50641433019992832</c:v>
                </c:pt>
                <c:pt idx="19">
                  <c:v>0.53580541000719795</c:v>
                </c:pt>
                <c:pt idx="20">
                  <c:v>0.44387384911436745</c:v>
                </c:pt>
                <c:pt idx="21">
                  <c:v>0.35133140315441513</c:v>
                </c:pt>
                <c:pt idx="22">
                  <c:v>0.28714148518071958</c:v>
                </c:pt>
                <c:pt idx="23">
                  <c:v>0.29608518197887401</c:v>
                </c:pt>
                <c:pt idx="24">
                  <c:v>0.13061649455660582</c:v>
                </c:pt>
                <c:pt idx="25">
                  <c:v>-8.1675306332704201E-2</c:v>
                </c:pt>
                <c:pt idx="26">
                  <c:v>-0.15407588765124058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E824-4870-8EA0-B332C6937AF0}"/>
            </c:ext>
          </c:extLst>
        </c:ser>
        <c:ser>
          <c:idx val="18"/>
          <c:order val="18"/>
          <c:tx>
            <c:strRef>
              <c:f>'SATORI H1(RTD UP LOAD DATA)'!$CG$1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DATA)'!$CG$2:$CG$37</c:f>
              <c:numCache>
                <c:formatCode>0.00000</c:formatCode>
                <c:ptCount val="36"/>
                <c:pt idx="0">
                  <c:v>1.1059184996692115</c:v>
                </c:pt>
                <c:pt idx="1">
                  <c:v>1.1114856844552041</c:v>
                </c:pt>
                <c:pt idx="2">
                  <c:v>1.2071496591821149</c:v>
                </c:pt>
                <c:pt idx="3">
                  <c:v>1.2416212979193477</c:v>
                </c:pt>
                <c:pt idx="4">
                  <c:v>1.1659488705036749</c:v>
                </c:pt>
                <c:pt idx="5">
                  <c:v>1.2160011473261356</c:v>
                </c:pt>
                <c:pt idx="6">
                  <c:v>1.1648104061732236</c:v>
                </c:pt>
                <c:pt idx="7">
                  <c:v>1.4411424040868561</c:v>
                </c:pt>
                <c:pt idx="8">
                  <c:v>1.4710971391538674</c:v>
                </c:pt>
                <c:pt idx="9">
                  <c:v>1.2074679552919843</c:v>
                </c:pt>
                <c:pt idx="10">
                  <c:v>1.2374926422568229</c:v>
                </c:pt>
                <c:pt idx="11">
                  <c:v>1.1907657498176774</c:v>
                </c:pt>
                <c:pt idx="12">
                  <c:v>0.86260412463629887</c:v>
                </c:pt>
                <c:pt idx="13">
                  <c:v>0.71952661686763708</c:v>
                </c:pt>
                <c:pt idx="14">
                  <c:v>1.0381966707964172</c:v>
                </c:pt>
                <c:pt idx="15">
                  <c:v>0.95455945558113164</c:v>
                </c:pt>
                <c:pt idx="16">
                  <c:v>0.80825939527423629</c:v>
                </c:pt>
                <c:pt idx="17">
                  <c:v>0.89529353943848855</c:v>
                </c:pt>
                <c:pt idx="18">
                  <c:v>0.85399106017344262</c:v>
                </c:pt>
                <c:pt idx="19">
                  <c:v>0.86738466472726872</c:v>
                </c:pt>
                <c:pt idx="20">
                  <c:v>0.74110228391325073</c:v>
                </c:pt>
                <c:pt idx="21">
                  <c:v>0.50811171555068335</c:v>
                </c:pt>
                <c:pt idx="22">
                  <c:v>0.43861433851620635</c:v>
                </c:pt>
                <c:pt idx="23">
                  <c:v>0.39487912718542073</c:v>
                </c:pt>
                <c:pt idx="24">
                  <c:v>0.20274861326437799</c:v>
                </c:pt>
                <c:pt idx="25">
                  <c:v>-2.0214316333380326E-2</c:v>
                </c:pt>
                <c:pt idx="26">
                  <c:v>-8.218684560132343E-2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E824-4870-8EA0-B332C6937AF0}"/>
            </c:ext>
          </c:extLst>
        </c:ser>
        <c:ser>
          <c:idx val="19"/>
          <c:order val="19"/>
          <c:tx>
            <c:strRef>
              <c:f>'SATORI H1(RTD UP LOAD DATA)'!$CH$1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DATA)'!$CH$2:$CH$37</c:f>
              <c:numCache>
                <c:formatCode>0.00000</c:formatCode>
                <c:ptCount val="36"/>
                <c:pt idx="0">
                  <c:v>0.44175159196533076</c:v>
                </c:pt>
                <c:pt idx="1">
                  <c:v>0.51752926028646806</c:v>
                </c:pt>
                <c:pt idx="2">
                  <c:v>0.52321226242706076</c:v>
                </c:pt>
                <c:pt idx="3">
                  <c:v>0.50995016550007533</c:v>
                </c:pt>
                <c:pt idx="4">
                  <c:v>0.47014803892932555</c:v>
                </c:pt>
                <c:pt idx="5">
                  <c:v>0.49667575091417238</c:v>
                </c:pt>
                <c:pt idx="6">
                  <c:v>0.32204636382535212</c:v>
                </c:pt>
                <c:pt idx="7">
                  <c:v>0.53040732077039976</c:v>
                </c:pt>
                <c:pt idx="8">
                  <c:v>0.44889073309266675</c:v>
                </c:pt>
                <c:pt idx="9">
                  <c:v>0.43751503159108379</c:v>
                </c:pt>
                <c:pt idx="10">
                  <c:v>0.38250222688653818</c:v>
                </c:pt>
                <c:pt idx="11">
                  <c:v>0.36163094576934512</c:v>
                </c:pt>
                <c:pt idx="12">
                  <c:v>0.40714755933329927</c:v>
                </c:pt>
                <c:pt idx="13">
                  <c:v>0.39197305250477721</c:v>
                </c:pt>
                <c:pt idx="14">
                  <c:v>0.48104387328290943</c:v>
                </c:pt>
                <c:pt idx="15">
                  <c:v>0.44881638513124994</c:v>
                </c:pt>
                <c:pt idx="16">
                  <c:v>0.32734198965617622</c:v>
                </c:pt>
                <c:pt idx="17">
                  <c:v>0.44866900387418063</c:v>
                </c:pt>
                <c:pt idx="18">
                  <c:v>0.35569164101579265</c:v>
                </c:pt>
                <c:pt idx="19">
                  <c:v>0.35569164101579276</c:v>
                </c:pt>
                <c:pt idx="20">
                  <c:v>0.30443295551630672</c:v>
                </c:pt>
                <c:pt idx="21">
                  <c:v>0.14661127500062962</c:v>
                </c:pt>
                <c:pt idx="22">
                  <c:v>0.11998366216611472</c:v>
                </c:pt>
                <c:pt idx="23">
                  <c:v>0.17131055745924689</c:v>
                </c:pt>
                <c:pt idx="24">
                  <c:v>0.11995730413555164</c:v>
                </c:pt>
                <c:pt idx="25">
                  <c:v>8.3806765682811354E-2</c:v>
                </c:pt>
                <c:pt idx="26">
                  <c:v>-1.9042541036694977E-2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E824-4870-8EA0-B332C6937AF0}"/>
            </c:ext>
          </c:extLst>
        </c:ser>
        <c:ser>
          <c:idx val="20"/>
          <c:order val="20"/>
          <c:tx>
            <c:strRef>
              <c:f>'SATORI H1(RTD UP LOAD DATA)'!$CI$1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DATA)'!$CI$2:$CI$37</c:f>
              <c:numCache>
                <c:formatCode>0.00000</c:formatCode>
                <c:ptCount val="36"/>
                <c:pt idx="0">
                  <c:v>1.2259724807148722</c:v>
                </c:pt>
                <c:pt idx="1">
                  <c:v>1.2324825795056278</c:v>
                </c:pt>
                <c:pt idx="2">
                  <c:v>1.1885200941597909</c:v>
                </c:pt>
                <c:pt idx="3">
                  <c:v>1.1738637846185278</c:v>
                </c:pt>
                <c:pt idx="4">
                  <c:v>1.0776911302532708</c:v>
                </c:pt>
                <c:pt idx="5">
                  <c:v>1.0972478447252407</c:v>
                </c:pt>
                <c:pt idx="6">
                  <c:v>1.0205919968626209</c:v>
                </c:pt>
                <c:pt idx="7">
                  <c:v>0.96510806272531324</c:v>
                </c:pt>
                <c:pt idx="8">
                  <c:v>0.83275079614797787</c:v>
                </c:pt>
                <c:pt idx="9">
                  <c:v>0.81150375847535161</c:v>
                </c:pt>
                <c:pt idx="10">
                  <c:v>0.7444489370701407</c:v>
                </c:pt>
                <c:pt idx="11">
                  <c:v>0.7444489370701407</c:v>
                </c:pt>
                <c:pt idx="12">
                  <c:v>0.86695992222181395</c:v>
                </c:pt>
                <c:pt idx="13">
                  <c:v>0.78194676153059728</c:v>
                </c:pt>
                <c:pt idx="14">
                  <c:v>0.79175501026777695</c:v>
                </c:pt>
                <c:pt idx="15">
                  <c:v>0.76232160335093313</c:v>
                </c:pt>
                <c:pt idx="16">
                  <c:v>0.6657522698429964</c:v>
                </c:pt>
                <c:pt idx="17">
                  <c:v>0.73935263620927461</c:v>
                </c:pt>
                <c:pt idx="18">
                  <c:v>0.67224952655296999</c:v>
                </c:pt>
                <c:pt idx="19">
                  <c:v>0.6591545222970987</c:v>
                </c:pt>
                <c:pt idx="20">
                  <c:v>0.61166258773770721</c:v>
                </c:pt>
                <c:pt idx="21">
                  <c:v>0.40653606569891798</c:v>
                </c:pt>
                <c:pt idx="22">
                  <c:v>0.39012325057286945</c:v>
                </c:pt>
                <c:pt idx="23">
                  <c:v>0.38519916358065187</c:v>
                </c:pt>
                <c:pt idx="24">
                  <c:v>0.17136578912552103</c:v>
                </c:pt>
                <c:pt idx="25">
                  <c:v>7.0927813691662012E-2</c:v>
                </c:pt>
                <c:pt idx="26">
                  <c:v>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E824-4870-8EA0-B332C6937AF0}"/>
            </c:ext>
          </c:extLst>
        </c:ser>
        <c:ser>
          <c:idx val="21"/>
          <c:order val="21"/>
          <c:tx>
            <c:strRef>
              <c:f>'SATORI H1(RTD UP LOAD DATA)'!$CJ$1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DATA)'!$CJ$2:$CJ$37</c:f>
              <c:numCache>
                <c:formatCode>0.00000</c:formatCode>
                <c:ptCount val="36"/>
                <c:pt idx="0">
                  <c:v>0.82919680017155628</c:v>
                </c:pt>
                <c:pt idx="1">
                  <c:v>0.77303447911427425</c:v>
                </c:pt>
                <c:pt idx="2">
                  <c:v>0.68453043663232516</c:v>
                </c:pt>
                <c:pt idx="3">
                  <c:v>0.639061750198753</c:v>
                </c:pt>
                <c:pt idx="4">
                  <c:v>0.57680270467780326</c:v>
                </c:pt>
                <c:pt idx="5">
                  <c:v>0.61031557122478797</c:v>
                </c:pt>
                <c:pt idx="6">
                  <c:v>0.55163363927187836</c:v>
                </c:pt>
                <c:pt idx="7">
                  <c:v>0.54804073884312854</c:v>
                </c:pt>
                <c:pt idx="8">
                  <c:v>0.49651596501291573</c:v>
                </c:pt>
                <c:pt idx="9">
                  <c:v>0.47014750169504416</c:v>
                </c:pt>
                <c:pt idx="10">
                  <c:v>0.4305791563712969</c:v>
                </c:pt>
                <c:pt idx="11">
                  <c:v>0.40899176340879195</c:v>
                </c:pt>
                <c:pt idx="12">
                  <c:v>0.48329309124541942</c:v>
                </c:pt>
                <c:pt idx="13">
                  <c:v>0.42693614795010065</c:v>
                </c:pt>
                <c:pt idx="14">
                  <c:v>0.41374448508104061</c:v>
                </c:pt>
                <c:pt idx="15">
                  <c:v>0.39455292936554953</c:v>
                </c:pt>
                <c:pt idx="16">
                  <c:v>0.30691471910587531</c:v>
                </c:pt>
                <c:pt idx="17">
                  <c:v>0.37170098441762744</c:v>
                </c:pt>
                <c:pt idx="18">
                  <c:v>0.32488900054975706</c:v>
                </c:pt>
                <c:pt idx="19">
                  <c:v>0.29727430953414258</c:v>
                </c:pt>
                <c:pt idx="20">
                  <c:v>0.30447762305835746</c:v>
                </c:pt>
                <c:pt idx="21">
                  <c:v>0.15779540647364865</c:v>
                </c:pt>
                <c:pt idx="22">
                  <c:v>0.21187024605163196</c:v>
                </c:pt>
                <c:pt idx="23">
                  <c:v>0.10360347673202702</c:v>
                </c:pt>
                <c:pt idx="24">
                  <c:v>1.81200135681771E-2</c:v>
                </c:pt>
                <c:pt idx="25">
                  <c:v>-8.3748380004382977E-3</c:v>
                </c:pt>
                <c:pt idx="26">
                  <c:v>6.9844175236616873E-2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E824-4870-8EA0-B332C6937AF0}"/>
            </c:ext>
          </c:extLst>
        </c:ser>
        <c:ser>
          <c:idx val="22"/>
          <c:order val="22"/>
          <c:tx>
            <c:strRef>
              <c:f>'SATORI H1(RTD UP LOAD DATA)'!$CK$1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DATA)'!$CK$2:$CK$37</c:f>
              <c:numCache>
                <c:formatCode>0.00000</c:formatCode>
                <c:ptCount val="36"/>
                <c:pt idx="0">
                  <c:v>0.27668131058968526</c:v>
                </c:pt>
                <c:pt idx="1">
                  <c:v>0.33818135252152104</c:v>
                </c:pt>
                <c:pt idx="2">
                  <c:v>0.5232700835011076</c:v>
                </c:pt>
                <c:pt idx="3">
                  <c:v>0.60412284782922954</c:v>
                </c:pt>
                <c:pt idx="4">
                  <c:v>0.589251162588456</c:v>
                </c:pt>
                <c:pt idx="5">
                  <c:v>0.60597900980745201</c:v>
                </c:pt>
                <c:pt idx="6">
                  <c:v>0.61155464798570525</c:v>
                </c:pt>
                <c:pt idx="7">
                  <c:v>0.89140971642045597</c:v>
                </c:pt>
                <c:pt idx="8">
                  <c:v>0.97659095802963958</c:v>
                </c:pt>
                <c:pt idx="9">
                  <c:v>0.73807144954689208</c:v>
                </c:pt>
                <c:pt idx="10">
                  <c:v>0.8076298925506934</c:v>
                </c:pt>
                <c:pt idx="11">
                  <c:v>0.7797987717914725</c:v>
                </c:pt>
                <c:pt idx="12">
                  <c:v>0.37928835386350213</c:v>
                </c:pt>
                <c:pt idx="13">
                  <c:v>0.29165819044257524</c:v>
                </c:pt>
                <c:pt idx="14">
                  <c:v>0.62428847838146606</c:v>
                </c:pt>
                <c:pt idx="15">
                  <c:v>0.5573459838437983</c:v>
                </c:pt>
                <c:pt idx="16">
                  <c:v>0.48197891832097134</c:v>
                </c:pt>
                <c:pt idx="17">
                  <c:v>0.52848016455436775</c:v>
                </c:pt>
                <c:pt idx="18">
                  <c:v>0.53963921826661343</c:v>
                </c:pt>
                <c:pt idx="19">
                  <c:v>0.57031720170050337</c:v>
                </c:pt>
                <c:pt idx="20">
                  <c:v>0.43627019215895768</c:v>
                </c:pt>
                <c:pt idx="21">
                  <c:v>0.35055564025041253</c:v>
                </c:pt>
                <c:pt idx="22">
                  <c:v>0.22648847607131223</c:v>
                </c:pt>
                <c:pt idx="23">
                  <c:v>0.29174437240765339</c:v>
                </c:pt>
                <c:pt idx="24">
                  <c:v>0.1853574225401797</c:v>
                </c:pt>
                <c:pt idx="25">
                  <c:v>-1.1940253835539344E-2</c:v>
                </c:pt>
                <c:pt idx="26">
                  <c:v>-0.15239626769385806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E824-4870-8EA0-B332C6937AF0}"/>
            </c:ext>
          </c:extLst>
        </c:ser>
        <c:ser>
          <c:idx val="23"/>
          <c:order val="23"/>
          <c:tx>
            <c:strRef>
              <c:f>'SATORI H1(RTD UP LOAD DATA)'!$CL$1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DATA)'!$CL$2:$CL$37</c:f>
              <c:numCache>
                <c:formatCode>0.00000</c:formatCode>
                <c:ptCount val="36"/>
                <c:pt idx="0">
                  <c:v>-0.38723702860896786</c:v>
                </c:pt>
                <c:pt idx="1">
                  <c:v>-0.25564556461429533</c:v>
                </c:pt>
                <c:pt idx="2">
                  <c:v>-0.16060960934454455</c:v>
                </c:pt>
                <c:pt idx="3">
                  <c:v>-0.12735808531637063</c:v>
                </c:pt>
                <c:pt idx="4">
                  <c:v>-0.1051953156033739</c:v>
                </c:pt>
                <c:pt idx="5">
                  <c:v>-0.11311121706623159</c:v>
                </c:pt>
                <c:pt idx="6">
                  <c:v>-0.23040397344600069</c:v>
                </c:pt>
                <c:pt idx="7">
                  <c:v>-1.8459142369193202E-2</c:v>
                </c:pt>
                <c:pt idx="8">
                  <c:v>-4.377239385635448E-2</c:v>
                </c:pt>
                <c:pt idx="9">
                  <c:v>-3.1117369811796143E-2</c:v>
                </c:pt>
                <c:pt idx="10">
                  <c:v>-4.6938652601420543E-2</c:v>
                </c:pt>
                <c:pt idx="11">
                  <c:v>-4.8520805912069136E-2</c:v>
                </c:pt>
                <c:pt idx="12">
                  <c:v>-7.5424648413810524E-2</c:v>
                </c:pt>
                <c:pt idx="13">
                  <c:v>-3.2713266621515594E-2</c:v>
                </c:pt>
                <c:pt idx="14">
                  <c:v>6.8426131915119634E-2</c:v>
                </c:pt>
                <c:pt idx="15">
                  <c:v>5.2620603141156234E-2</c:v>
                </c:pt>
                <c:pt idx="16">
                  <c:v>2.0173170902703652E-3</c:v>
                </c:pt>
                <c:pt idx="17">
                  <c:v>7.9443604104774468E-2</c:v>
                </c:pt>
                <c:pt idx="18">
                  <c:v>4.1506137695236672E-2</c:v>
                </c:pt>
                <c:pt idx="19">
                  <c:v>6.2051376731202583E-2</c:v>
                </c:pt>
                <c:pt idx="20">
                  <c:v>1.9599745457657448E-3</c:v>
                </c:pt>
                <c:pt idx="21">
                  <c:v>-1.0692447602294305E-2</c:v>
                </c:pt>
                <c:pt idx="22">
                  <c:v>-9.3000882634024978E-2</c:v>
                </c:pt>
                <c:pt idx="23">
                  <c:v>6.9767764647892749E-2</c:v>
                </c:pt>
                <c:pt idx="24">
                  <c:v>0.10452180085527923</c:v>
                </c:pt>
                <c:pt idx="25">
                  <c:v>9.3462475474125201E-2</c:v>
                </c:pt>
                <c:pt idx="26">
                  <c:v>-8.8557150989943212E-2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E824-4870-8EA0-B332C6937AF0}"/>
            </c:ext>
          </c:extLst>
        </c:ser>
        <c:ser>
          <c:idx val="24"/>
          <c:order val="24"/>
          <c:tx>
            <c:strRef>
              <c:f>'SATORI H1(RTD UP LOAD DATA)'!$CM$1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DATA)'!$CM$2:$CM$37</c:f>
              <c:numCache>
                <c:formatCode>0.00000</c:formatCode>
                <c:ptCount val="36"/>
                <c:pt idx="0">
                  <c:v>0.66040633160233919</c:v>
                </c:pt>
                <c:pt idx="1">
                  <c:v>0.59046228683815072</c:v>
                </c:pt>
                <c:pt idx="2">
                  <c:v>0.67913611396530105</c:v>
                </c:pt>
                <c:pt idx="3">
                  <c:v>0.7319601453779937</c:v>
                </c:pt>
                <c:pt idx="4">
                  <c:v>0.69555701001116643</c:v>
                </c:pt>
                <c:pt idx="5">
                  <c:v>0.71962425742246794</c:v>
                </c:pt>
                <c:pt idx="6">
                  <c:v>0.84274375368784793</c:v>
                </c:pt>
                <c:pt idx="7">
                  <c:v>0.91012090755969599</c:v>
                </c:pt>
                <c:pt idx="8">
                  <c:v>1.0213159026144436</c:v>
                </c:pt>
                <c:pt idx="9">
                  <c:v>0.7702055607406223</c:v>
                </c:pt>
                <c:pt idx="10">
                  <c:v>0.85520567798215275</c:v>
                </c:pt>
                <c:pt idx="11">
                  <c:v>0.8223672664230417</c:v>
                </c:pt>
                <c:pt idx="12">
                  <c:v>0.45570040357291663</c:v>
                </c:pt>
                <c:pt idx="13">
                  <c:v>0.32487128879100646</c:v>
                </c:pt>
                <c:pt idx="14">
                  <c:v>0.55476580777640794</c:v>
                </c:pt>
                <c:pt idx="15">
                  <c:v>0.50594084233624881</c:v>
                </c:pt>
                <c:pt idx="16">
                  <c:v>0.37458820468103299</c:v>
                </c:pt>
                <c:pt idx="17">
                  <c:v>0.44286848345293789</c:v>
                </c:pt>
                <c:pt idx="18">
                  <c:v>0.49993234202869957</c:v>
                </c:pt>
                <c:pt idx="19">
                  <c:v>0.50463841816123522</c:v>
                </c:pt>
                <c:pt idx="20">
                  <c:v>0.43105186860510919</c:v>
                </c:pt>
                <c:pt idx="21">
                  <c:v>0.36212738509691766</c:v>
                </c:pt>
                <c:pt idx="22">
                  <c:v>0.31733587190994644</c:v>
                </c:pt>
                <c:pt idx="23">
                  <c:v>0.22412988077040563</c:v>
                </c:pt>
                <c:pt idx="24">
                  <c:v>8.2942012293696105E-2</c:v>
                </c:pt>
                <c:pt idx="25">
                  <c:v>-0.10348933658150009</c:v>
                </c:pt>
                <c:pt idx="26">
                  <c:v>-6.9765516915178724E-2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E824-4870-8EA0-B332C6937AF0}"/>
            </c:ext>
          </c:extLst>
        </c:ser>
        <c:ser>
          <c:idx val="25"/>
          <c:order val="25"/>
          <c:tx>
            <c:strRef>
              <c:f>'SATORI H1(RTD UP LOAD DATA)'!$CN$1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DATA)'!$CN$2:$CN$37</c:f>
              <c:numCache>
                <c:formatCode>0.00000</c:formatCode>
                <c:ptCount val="36"/>
                <c:pt idx="0">
                  <c:v>-0.39506121744888351</c:v>
                </c:pt>
                <c:pt idx="1">
                  <c:v>-0.45820041000140171</c:v>
                </c:pt>
                <c:pt idx="2">
                  <c:v>-0.50227042256135046</c:v>
                </c:pt>
                <c:pt idx="3">
                  <c:v>-0.53312895090342938</c:v>
                </c:pt>
                <c:pt idx="4">
                  <c:v>-0.49934293390760082</c:v>
                </c:pt>
                <c:pt idx="5">
                  <c:v>-0.486124066177055</c:v>
                </c:pt>
                <c:pt idx="6">
                  <c:v>-0.46629969541726812</c:v>
                </c:pt>
                <c:pt idx="7">
                  <c:v>-0.41346263902839975</c:v>
                </c:pt>
                <c:pt idx="8">
                  <c:v>-0.33646792599867859</c:v>
                </c:pt>
                <c:pt idx="9">
                  <c:v>-0.34013447533577412</c:v>
                </c:pt>
                <c:pt idx="10">
                  <c:v>-0.31300936995107548</c:v>
                </c:pt>
                <c:pt idx="11">
                  <c:v>-0.33280728457073505</c:v>
                </c:pt>
                <c:pt idx="12">
                  <c:v>-0.38342756643033921</c:v>
                </c:pt>
                <c:pt idx="13">
                  <c:v>-0.35409108431457914</c:v>
                </c:pt>
                <c:pt idx="14">
                  <c:v>-0.37536455849299194</c:v>
                </c:pt>
                <c:pt idx="15">
                  <c:v>-0.36582908285613486</c:v>
                </c:pt>
                <c:pt idx="16">
                  <c:v>-0.36069485959076786</c:v>
                </c:pt>
                <c:pt idx="17">
                  <c:v>-0.3650958160653045</c:v>
                </c:pt>
                <c:pt idx="18">
                  <c:v>-0.34382905015373755</c:v>
                </c:pt>
                <c:pt idx="19">
                  <c:v>-0.3606986408827938</c:v>
                </c:pt>
                <c:pt idx="20">
                  <c:v>-0.3064520093053924</c:v>
                </c:pt>
                <c:pt idx="21">
                  <c:v>-0.24784137440568002</c:v>
                </c:pt>
                <c:pt idx="22">
                  <c:v>-0.17463171658762872</c:v>
                </c:pt>
                <c:pt idx="23">
                  <c:v>-0.28163218563078191</c:v>
                </c:pt>
                <c:pt idx="24">
                  <c:v>-0.15281148063019756</c:v>
                </c:pt>
                <c:pt idx="25">
                  <c:v>-7.8940571871727816E-2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E824-4870-8EA0-B332C6937AF0}"/>
            </c:ext>
          </c:extLst>
        </c:ser>
        <c:ser>
          <c:idx val="26"/>
          <c:order val="26"/>
          <c:tx>
            <c:strRef>
              <c:f>'SATORI H1(RTD UP LOAD DATA)'!$CO$1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DATA)'!$CO$2:$CO$37</c:f>
              <c:numCache>
                <c:formatCode>0.00000</c:formatCode>
                <c:ptCount val="36"/>
                <c:pt idx="0">
                  <c:v>-0.77984463232012524</c:v>
                </c:pt>
                <c:pt idx="1">
                  <c:v>-0.71117050849719043</c:v>
                </c:pt>
                <c:pt idx="2">
                  <c:v>-0.66114491400698128</c:v>
                </c:pt>
                <c:pt idx="3">
                  <c:v>-0.66230831346017827</c:v>
                </c:pt>
                <c:pt idx="4">
                  <c:v>-0.60649630690227618</c:v>
                </c:pt>
                <c:pt idx="5">
                  <c:v>-0.59835771836605778</c:v>
                </c:pt>
                <c:pt idx="6">
                  <c:v>-0.69728119814493672</c:v>
                </c:pt>
                <c:pt idx="7">
                  <c:v>-0.43263574180562647</c:v>
                </c:pt>
                <c:pt idx="8">
                  <c:v>-0.38043035420963234</c:v>
                </c:pt>
                <c:pt idx="9">
                  <c:v>-0.37347012034576754</c:v>
                </c:pt>
                <c:pt idx="10">
                  <c:v>-0.36187107610701408</c:v>
                </c:pt>
                <c:pt idx="11">
                  <c:v>-0.37811237541096177</c:v>
                </c:pt>
                <c:pt idx="12">
                  <c:v>-0.4605468632141394</c:v>
                </c:pt>
                <c:pt idx="13">
                  <c:v>-0.38861359872017204</c:v>
                </c:pt>
                <c:pt idx="14">
                  <c:v>-0.30978124499476206</c:v>
                </c:pt>
                <c:pt idx="15">
                  <c:v>-0.31209989739399002</c:v>
                </c:pt>
                <c:pt idx="16">
                  <c:v>-0.33761158058526936</c:v>
                </c:pt>
                <c:pt idx="17">
                  <c:v>-0.27618936660417925</c:v>
                </c:pt>
                <c:pt idx="18">
                  <c:v>-0.3016918820795691</c:v>
                </c:pt>
                <c:pt idx="19">
                  <c:v>-0.30053269026809248</c:v>
                </c:pt>
                <c:pt idx="20">
                  <c:v>-0.30053269026809248</c:v>
                </c:pt>
                <c:pt idx="21">
                  <c:v>-0.25766098096145762</c:v>
                </c:pt>
                <c:pt idx="22">
                  <c:v>-0.26693139905732305</c:v>
                </c:pt>
                <c:pt idx="23">
                  <c:v>-0.2136548939960532</c:v>
                </c:pt>
                <c:pt idx="24">
                  <c:v>-4.9462673469702914E-2</c:v>
                </c:pt>
                <c:pt idx="25">
                  <c:v>1.1782805342818836E-2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E824-4870-8EA0-B332C6937AF0}"/>
            </c:ext>
          </c:extLst>
        </c:ser>
        <c:ser>
          <c:idx val="27"/>
          <c:order val="27"/>
          <c:tx>
            <c:strRef>
              <c:f>'SATORI H1(RTD UP LOAD DATA)'!$CP$1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DATA)'!$CP$2:$CP$37</c:f>
              <c:numCache>
                <c:formatCode>0.00000</c:formatCode>
                <c:ptCount val="36"/>
                <c:pt idx="0">
                  <c:v>-0.11923699546297672</c:v>
                </c:pt>
                <c:pt idx="1">
                  <c:v>-0.11992112569401064</c:v>
                </c:pt>
                <c:pt idx="2">
                  <c:v>2.0129155772905007E-2</c:v>
                </c:pt>
                <c:pt idx="3">
                  <c:v>6.9293364229150708E-2</c:v>
                </c:pt>
                <c:pt idx="4">
                  <c:v>8.9091694342408323E-2</c:v>
                </c:pt>
                <c:pt idx="5">
                  <c:v>0.11980380583418944</c:v>
                </c:pt>
                <c:pt idx="6">
                  <c:v>0.14504961127773508</c:v>
                </c:pt>
                <c:pt idx="7">
                  <c:v>0.47827187052465897</c:v>
                </c:pt>
                <c:pt idx="8">
                  <c:v>0.63918329455681056</c:v>
                </c:pt>
                <c:pt idx="9">
                  <c:v>0.39689104654755808</c:v>
                </c:pt>
                <c:pt idx="10">
                  <c:v>0.49344239554668501</c:v>
                </c:pt>
                <c:pt idx="11">
                  <c:v>0.44786571448141022</c:v>
                </c:pt>
                <c:pt idx="12">
                  <c:v>-5.1826243413354289E-3</c:v>
                </c:pt>
                <c:pt idx="13">
                  <c:v>-6.3299500798536079E-2</c:v>
                </c:pt>
                <c:pt idx="14">
                  <c:v>0.24683191312805752</c:v>
                </c:pt>
                <c:pt idx="15">
                  <c:v>0.19227356297257711</c:v>
                </c:pt>
                <c:pt idx="16">
                  <c:v>0.14109893467094906</c:v>
                </c:pt>
                <c:pt idx="17">
                  <c:v>0.17179428671254188</c:v>
                </c:pt>
                <c:pt idx="18">
                  <c:v>0.19634453971653901</c:v>
                </c:pt>
                <c:pt idx="19">
                  <c:v>0.20861815961616856</c:v>
                </c:pt>
                <c:pt idx="20">
                  <c:v>0.12945888569777503</c:v>
                </c:pt>
                <c:pt idx="21">
                  <c:v>0.10215513143156887</c:v>
                </c:pt>
                <c:pt idx="22">
                  <c:v>5.0251071987766349E-2</c:v>
                </c:pt>
                <c:pt idx="23">
                  <c:v>9.9408885422721874E-3</c:v>
                </c:pt>
                <c:pt idx="24">
                  <c:v>3.1799259956974871E-2</c:v>
                </c:pt>
                <c:pt idx="25">
                  <c:v>-9.0620688339405911E-2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E824-4870-8EA0-B332C6937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 h1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852482574040504E-2"/>
          <c:y val="7.5077407108097419E-2"/>
          <c:w val="0.92817833154824492"/>
          <c:h val="0.915511642433800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H1(RTD UP LOAD DATA)'!$DY$1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H1(RTD UP LOAD DATA)'!$DX$2:$DX$37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DATA)'!$DY$2:$DY$37</c:f>
              <c:numCache>
                <c:formatCode>0.00000</c:formatCode>
                <c:ptCount val="36"/>
                <c:pt idx="0">
                  <c:v>8.864492870240575</c:v>
                </c:pt>
                <c:pt idx="1">
                  <c:v>8.8969648004922792</c:v>
                </c:pt>
                <c:pt idx="2">
                  <c:v>9.674371071324618</c:v>
                </c:pt>
                <c:pt idx="3">
                  <c:v>9.9563725189341596</c:v>
                </c:pt>
                <c:pt idx="4">
                  <c:v>9.3277719607785787</c:v>
                </c:pt>
                <c:pt idx="5">
                  <c:v>9.7298454435160107</c:v>
                </c:pt>
                <c:pt idx="6">
                  <c:v>9.3194760893671784</c:v>
                </c:pt>
                <c:pt idx="7">
                  <c:v>11.534234230625664</c:v>
                </c:pt>
                <c:pt idx="8">
                  <c:v>11.769997359610755</c:v>
                </c:pt>
                <c:pt idx="9">
                  <c:v>9.6767095485414778</c:v>
                </c:pt>
                <c:pt idx="10">
                  <c:v>9.9022502538100401</c:v>
                </c:pt>
                <c:pt idx="11">
                  <c:v>9.5172919576061918</c:v>
                </c:pt>
                <c:pt idx="12">
                  <c:v>6.9199571871307635</c:v>
                </c:pt>
                <c:pt idx="13">
                  <c:v>5.7657522813915136</c:v>
                </c:pt>
                <c:pt idx="14">
                  <c:v>8.3041303129799573</c:v>
                </c:pt>
                <c:pt idx="15">
                  <c:v>7.6338763164860453</c:v>
                </c:pt>
                <c:pt idx="16">
                  <c:v>6.5292086935189779</c:v>
                </c:pt>
                <c:pt idx="17">
                  <c:v>7.2583714553329024</c:v>
                </c:pt>
                <c:pt idx="18">
                  <c:v>6.890674283668174</c:v>
                </c:pt>
                <c:pt idx="19">
                  <c:v>6.9535464983231066</c:v>
                </c:pt>
                <c:pt idx="20">
                  <c:v>5.9215704360532158</c:v>
                </c:pt>
                <c:pt idx="21">
                  <c:v>4.0871001886811342</c:v>
                </c:pt>
                <c:pt idx="22">
                  <c:v>3.5308346156044079</c:v>
                </c:pt>
                <c:pt idx="23">
                  <c:v>3.1648752437182504</c:v>
                </c:pt>
                <c:pt idx="24">
                  <c:v>1.6427278750541792</c:v>
                </c:pt>
                <c:pt idx="25">
                  <c:v>-0.15407560376341456</c:v>
                </c:pt>
                <c:pt idx="26">
                  <c:v>-0.66086204593203468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F2-4CC4-9D8D-71B7CE0A1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EU/UE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H1(RTD UP LOAD DATA)'!$DH$1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H1(RTD UP LOAD DATA)'!$DG$2:$DG$37</c:f>
              <c:numCache>
                <c:formatCode>0.00000</c:formatCode>
                <c:ptCount val="36"/>
                <c:pt idx="0">
                  <c:v>-0.39506121744888351</c:v>
                </c:pt>
                <c:pt idx="1">
                  <c:v>-0.45820041000140171</c:v>
                </c:pt>
                <c:pt idx="2">
                  <c:v>-0.50227042256135046</c:v>
                </c:pt>
                <c:pt idx="3">
                  <c:v>-0.53312895090342938</c:v>
                </c:pt>
                <c:pt idx="4">
                  <c:v>-0.49934293390760082</c:v>
                </c:pt>
                <c:pt idx="5">
                  <c:v>-0.486124066177055</c:v>
                </c:pt>
                <c:pt idx="6">
                  <c:v>-0.46629969541726812</c:v>
                </c:pt>
                <c:pt idx="7">
                  <c:v>-0.41346263902839975</c:v>
                </c:pt>
                <c:pt idx="8">
                  <c:v>-0.33646792599867859</c:v>
                </c:pt>
                <c:pt idx="9">
                  <c:v>-0.34013447533577412</c:v>
                </c:pt>
                <c:pt idx="10">
                  <c:v>-0.31300936995107548</c:v>
                </c:pt>
                <c:pt idx="11">
                  <c:v>-0.33280728457073505</c:v>
                </c:pt>
                <c:pt idx="12">
                  <c:v>-0.38342756643033921</c:v>
                </c:pt>
                <c:pt idx="13">
                  <c:v>-0.35409108431457914</c:v>
                </c:pt>
                <c:pt idx="14">
                  <c:v>-0.37536455849299194</c:v>
                </c:pt>
                <c:pt idx="15">
                  <c:v>-0.36582908285613486</c:v>
                </c:pt>
                <c:pt idx="16">
                  <c:v>-0.36069485959076786</c:v>
                </c:pt>
                <c:pt idx="17">
                  <c:v>-0.3650958160653045</c:v>
                </c:pt>
                <c:pt idx="18">
                  <c:v>-0.34382905015373755</c:v>
                </c:pt>
                <c:pt idx="19">
                  <c:v>-0.3606986408827938</c:v>
                </c:pt>
                <c:pt idx="20">
                  <c:v>-0.3064520093053924</c:v>
                </c:pt>
                <c:pt idx="21">
                  <c:v>-0.24784137440568002</c:v>
                </c:pt>
                <c:pt idx="22">
                  <c:v>-0.17463171658762872</c:v>
                </c:pt>
                <c:pt idx="23">
                  <c:v>-0.28163218563078191</c:v>
                </c:pt>
                <c:pt idx="24">
                  <c:v>-0.15281148063019756</c:v>
                </c:pt>
                <c:pt idx="25">
                  <c:v>-7.8940571871727816E-2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DATA)'!$DH$2:$DH$37</c:f>
              <c:numCache>
                <c:formatCode>0.00000</c:formatCode>
                <c:ptCount val="36"/>
                <c:pt idx="0">
                  <c:v>0.20091427560449809</c:v>
                </c:pt>
                <c:pt idx="1">
                  <c:v>9.6389960470294356E-2</c:v>
                </c:pt>
                <c:pt idx="2">
                  <c:v>-0.10578960149608393</c:v>
                </c:pt>
                <c:pt idx="3">
                  <c:v>-0.12634322324312922</c:v>
                </c:pt>
                <c:pt idx="4">
                  <c:v>-0.14822767334659384</c:v>
                </c:pt>
                <c:pt idx="5">
                  <c:v>-0.10050256994219955</c:v>
                </c:pt>
                <c:pt idx="6">
                  <c:v>-1.7053334893518277E-2</c:v>
                </c:pt>
                <c:pt idx="7">
                  <c:v>-1.5066487821139112E-2</c:v>
                </c:pt>
                <c:pt idx="8">
                  <c:v>2.2669361235461954E-2</c:v>
                </c:pt>
                <c:pt idx="9">
                  <c:v>2.3331389292215357E-2</c:v>
                </c:pt>
                <c:pt idx="10">
                  <c:v>3.7232045932760485E-2</c:v>
                </c:pt>
                <c:pt idx="11">
                  <c:v>2.2005199015538088E-2</c:v>
                </c:pt>
                <c:pt idx="12">
                  <c:v>5.5096086446953595E-2</c:v>
                </c:pt>
                <c:pt idx="13">
                  <c:v>6.3698977018183112E-2</c:v>
                </c:pt>
                <c:pt idx="14">
                  <c:v>6.3698977018183112E-2</c:v>
                </c:pt>
                <c:pt idx="15">
                  <c:v>7.097781610952289E-2</c:v>
                </c:pt>
                <c:pt idx="16">
                  <c:v>6.3036633799822092E-2</c:v>
                </c:pt>
                <c:pt idx="17">
                  <c:v>7.0315521056479258E-2</c:v>
                </c:pt>
                <c:pt idx="18">
                  <c:v>7.8917102424128277E-2</c:v>
                </c:pt>
                <c:pt idx="19">
                  <c:v>4.1850402220930352E-2</c:v>
                </c:pt>
                <c:pt idx="20">
                  <c:v>5.5086757193496524E-2</c:v>
                </c:pt>
                <c:pt idx="21">
                  <c:v>8.4198260868823621E-2</c:v>
                </c:pt>
                <c:pt idx="22">
                  <c:v>0.11594618237209009</c:v>
                </c:pt>
                <c:pt idx="23">
                  <c:v>-2.2480914897792928E-2</c:v>
                </c:pt>
                <c:pt idx="24">
                  <c:v>-8.5441938710315302E-2</c:v>
                </c:pt>
                <c:pt idx="25">
                  <c:v>-6.092628844925798E-2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62-4BDE-868C-8ACE0BEE105F}"/>
            </c:ext>
          </c:extLst>
        </c:ser>
        <c:ser>
          <c:idx val="1"/>
          <c:order val="1"/>
          <c:tx>
            <c:strRef>
              <c:f>'SATORI H1(RTD UP LOAD DATA)'!$DJ$1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H1(RTD UP LOAD DATA)'!$DI$2:$DI$37</c:f>
              <c:numCache>
                <c:formatCode>0.00000</c:formatCode>
                <c:ptCount val="36"/>
                <c:pt idx="0">
                  <c:v>-0.77984463232012524</c:v>
                </c:pt>
                <c:pt idx="1">
                  <c:v>-0.71117050849719043</c:v>
                </c:pt>
                <c:pt idx="2">
                  <c:v>-0.66114491400698128</c:v>
                </c:pt>
                <c:pt idx="3">
                  <c:v>-0.66230831346017827</c:v>
                </c:pt>
                <c:pt idx="4">
                  <c:v>-0.60649630690227618</c:v>
                </c:pt>
                <c:pt idx="5">
                  <c:v>-0.59835771836605778</c:v>
                </c:pt>
                <c:pt idx="6">
                  <c:v>-0.69728119814493672</c:v>
                </c:pt>
                <c:pt idx="7">
                  <c:v>-0.43263574180562647</c:v>
                </c:pt>
                <c:pt idx="8">
                  <c:v>-0.38043035420963234</c:v>
                </c:pt>
                <c:pt idx="9">
                  <c:v>-0.37347012034576754</c:v>
                </c:pt>
                <c:pt idx="10">
                  <c:v>-0.36187107610701408</c:v>
                </c:pt>
                <c:pt idx="11">
                  <c:v>-0.37811237541096177</c:v>
                </c:pt>
                <c:pt idx="12">
                  <c:v>-0.4605468632141394</c:v>
                </c:pt>
                <c:pt idx="13">
                  <c:v>-0.38861359872017204</c:v>
                </c:pt>
                <c:pt idx="14">
                  <c:v>-0.30978124499476206</c:v>
                </c:pt>
                <c:pt idx="15">
                  <c:v>-0.31209989739399002</c:v>
                </c:pt>
                <c:pt idx="16">
                  <c:v>-0.33761158058526936</c:v>
                </c:pt>
                <c:pt idx="17">
                  <c:v>-0.27618936660417925</c:v>
                </c:pt>
                <c:pt idx="18">
                  <c:v>-0.3016918820795691</c:v>
                </c:pt>
                <c:pt idx="19">
                  <c:v>-0.30053269026809248</c:v>
                </c:pt>
                <c:pt idx="20">
                  <c:v>-0.30053269026809248</c:v>
                </c:pt>
                <c:pt idx="21">
                  <c:v>-0.25766098096145762</c:v>
                </c:pt>
                <c:pt idx="22">
                  <c:v>-0.26693139905732305</c:v>
                </c:pt>
                <c:pt idx="23">
                  <c:v>-0.2136548939960532</c:v>
                </c:pt>
                <c:pt idx="24">
                  <c:v>-4.9462673469702914E-2</c:v>
                </c:pt>
                <c:pt idx="25">
                  <c:v>1.1782805342818836E-2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DATA)'!$DJ$2:$DJ$37</c:f>
              <c:numCache>
                <c:formatCode>0.00000</c:formatCode>
                <c:ptCount val="36"/>
                <c:pt idx="0">
                  <c:v>-0.18181306356226945</c:v>
                </c:pt>
                <c:pt idx="1">
                  <c:v>-0.15769039454626951</c:v>
                </c:pt>
                <c:pt idx="2">
                  <c:v>-0.26478375475793858</c:v>
                </c:pt>
                <c:pt idx="3">
                  <c:v>-0.25533523345151954</c:v>
                </c:pt>
                <c:pt idx="4">
                  <c:v>-0.25638508017389328</c:v>
                </c:pt>
                <c:pt idx="5">
                  <c:v>-0.21650681382905784</c:v>
                </c:pt>
                <c:pt idx="6">
                  <c:v>-0.24694949236487135</c:v>
                </c:pt>
                <c:pt idx="7">
                  <c:v>-3.2213355939338023E-2</c:v>
                </c:pt>
                <c:pt idx="8">
                  <c:v>-2.4881440109730216E-2</c:v>
                </c:pt>
                <c:pt idx="9">
                  <c:v>-1.3361185407366021E-2</c:v>
                </c:pt>
                <c:pt idx="10">
                  <c:v>-1.2313900493509949E-2</c:v>
                </c:pt>
                <c:pt idx="11">
                  <c:v>-2.2787846552686623E-2</c:v>
                </c:pt>
                <c:pt idx="12">
                  <c:v>-2.1740462917001671E-2</c:v>
                </c:pt>
                <c:pt idx="13">
                  <c:v>2.8508689128549675E-2</c:v>
                </c:pt>
                <c:pt idx="14">
                  <c:v>0.13204026625957949</c:v>
                </c:pt>
                <c:pt idx="15">
                  <c:v>0.12576523148542218</c:v>
                </c:pt>
                <c:pt idx="16">
                  <c:v>9.9612415350183656E-2</c:v>
                </c:pt>
                <c:pt idx="17">
                  <c:v>0.1602501571170446</c:v>
                </c:pt>
                <c:pt idx="18">
                  <c:v>0.1194598714804545</c:v>
                </c:pt>
                <c:pt idx="19">
                  <c:v>0.10795359532982116</c:v>
                </c:pt>
                <c:pt idx="20">
                  <c:v>5.876623334223622E-2</c:v>
                </c:pt>
                <c:pt idx="21">
                  <c:v>7.1323131788320976E-2</c:v>
                </c:pt>
                <c:pt idx="22">
                  <c:v>2.5259962432891716E-2</c:v>
                </c:pt>
                <c:pt idx="23">
                  <c:v>4.6193383686591996E-2</c:v>
                </c:pt>
                <c:pt idx="24">
                  <c:v>1.7925276393421105E-2</c:v>
                </c:pt>
                <c:pt idx="25">
                  <c:v>3.0487301391851795E-2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262-4BDE-868C-8ACE0BEE105F}"/>
            </c:ext>
          </c:extLst>
        </c:ser>
        <c:ser>
          <c:idx val="2"/>
          <c:order val="2"/>
          <c:tx>
            <c:strRef>
              <c:f>'SATORI H1(RTD UP LOAD DATA)'!$DL$1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H1(RTD UP LOAD DATA)'!$DK$2:$DK$37</c:f>
              <c:numCache>
                <c:formatCode>0.00000</c:formatCode>
                <c:ptCount val="36"/>
                <c:pt idx="0">
                  <c:v>-0.60641141503288221</c:v>
                </c:pt>
                <c:pt idx="1">
                  <c:v>-0.59796754374819827</c:v>
                </c:pt>
                <c:pt idx="2">
                  <c:v>-0.44959616942949898</c:v>
                </c:pt>
                <c:pt idx="3">
                  <c:v>-0.41883616666110207</c:v>
                </c:pt>
                <c:pt idx="4">
                  <c:v>-0.42344995419619924</c:v>
                </c:pt>
                <c:pt idx="5">
                  <c:v>-0.39575956353092701</c:v>
                </c:pt>
                <c:pt idx="6">
                  <c:v>-0.41114074772829667</c:v>
                </c:pt>
                <c:pt idx="7">
                  <c:v>-0.34957813470319365</c:v>
                </c:pt>
                <c:pt idx="8">
                  <c:v>-0.23401484068705661</c:v>
                </c:pt>
                <c:pt idx="9">
                  <c:v>-0.23324441279139832</c:v>
                </c:pt>
                <c:pt idx="10">
                  <c:v>-0.22553954022999134</c:v>
                </c:pt>
                <c:pt idx="11">
                  <c:v>-0.22708049099662439</c:v>
                </c:pt>
                <c:pt idx="12">
                  <c:v>-0.27713632250099773</c:v>
                </c:pt>
                <c:pt idx="13">
                  <c:v>-0.2748259999799586</c:v>
                </c:pt>
                <c:pt idx="14">
                  <c:v>-0.3071600569802887</c:v>
                </c:pt>
                <c:pt idx="15">
                  <c:v>-0.30639019255340921</c:v>
                </c:pt>
                <c:pt idx="16">
                  <c:v>-0.29099053288588955</c:v>
                </c:pt>
                <c:pt idx="17">
                  <c:v>-0.31716310249337853</c:v>
                </c:pt>
                <c:pt idx="18">
                  <c:v>-0.31177434190831199</c:v>
                </c:pt>
                <c:pt idx="19">
                  <c:v>-0.32793801059928906</c:v>
                </c:pt>
                <c:pt idx="20">
                  <c:v>-0.31408151767764225</c:v>
                </c:pt>
                <c:pt idx="21">
                  <c:v>-0.24860523549797398</c:v>
                </c:pt>
                <c:pt idx="22">
                  <c:v>-0.23627876903367157</c:v>
                </c:pt>
                <c:pt idx="23">
                  <c:v>-0.28632997526774484</c:v>
                </c:pt>
                <c:pt idx="24">
                  <c:v>-9.9637593396956894E-2</c:v>
                </c:pt>
                <c:pt idx="25">
                  <c:v>-9.2956840168496174E-3</c:v>
                </c:pt>
                <c:pt idx="26">
                  <c:v>-5.8689071477101361E-2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DATA)'!$DL$2:$DL$37</c:f>
              <c:numCache>
                <c:formatCode>0.00000</c:formatCode>
                <c:ptCount val="36"/>
                <c:pt idx="0">
                  <c:v>-4.5242223565834586E-3</c:v>
                </c:pt>
                <c:pt idx="1">
                  <c:v>-3.9738796494996335E-2</c:v>
                </c:pt>
                <c:pt idx="2">
                  <c:v>-4.6782207384116599E-2</c:v>
                </c:pt>
                <c:pt idx="3">
                  <c:v>-5.7125179883019267E-3</c:v>
                </c:pt>
                <c:pt idx="4">
                  <c:v>-6.9117357891079367E-2</c:v>
                </c:pt>
                <c:pt idx="5">
                  <c:v>-4.5800318485153535E-3</c:v>
                </c:pt>
                <c:pt idx="6">
                  <c:v>4.2334185505061482E-2</c:v>
                </c:pt>
                <c:pt idx="7">
                  <c:v>5.5233931028256841E-2</c:v>
                </c:pt>
                <c:pt idx="8">
                  <c:v>0.1290597489714484</c:v>
                </c:pt>
                <c:pt idx="9">
                  <c:v>0.13257514052747488</c:v>
                </c:pt>
                <c:pt idx="10">
                  <c:v>0.13023149123115324</c:v>
                </c:pt>
                <c:pt idx="11">
                  <c:v>0.13140330214775142</c:v>
                </c:pt>
                <c:pt idx="12">
                  <c:v>0.16654527572098343</c:v>
                </c:pt>
                <c:pt idx="13">
                  <c:v>0.14428373780020834</c:v>
                </c:pt>
                <c:pt idx="14">
                  <c:v>0.13725328421878405</c:v>
                </c:pt>
                <c:pt idx="15">
                  <c:v>0.13139422963583222</c:v>
                </c:pt>
                <c:pt idx="16">
                  <c:v>0.11381397577696845</c:v>
                </c:pt>
                <c:pt idx="17">
                  <c:v>0.11381397577696845</c:v>
                </c:pt>
                <c:pt idx="18">
                  <c:v>0.11029780137470804</c:v>
                </c:pt>
                <c:pt idx="19">
                  <c:v>7.8642214163566149E-2</c:v>
                </c:pt>
                <c:pt idx="20">
                  <c:v>4.8149761045721377E-2</c:v>
                </c:pt>
                <c:pt idx="21">
                  <c:v>8.5664855009306762E-2</c:v>
                </c:pt>
                <c:pt idx="22">
                  <c:v>5.9866574112934015E-2</c:v>
                </c:pt>
                <c:pt idx="23">
                  <c:v>-2.2286300650880456E-2</c:v>
                </c:pt>
                <c:pt idx="24">
                  <c:v>-2.8154707495789553E-2</c:v>
                </c:pt>
                <c:pt idx="25">
                  <c:v>1.1734541178480353E-2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262-4BDE-868C-8ACE0BEE105F}"/>
            </c:ext>
          </c:extLst>
        </c:ser>
        <c:ser>
          <c:idx val="3"/>
          <c:order val="3"/>
          <c:tx>
            <c:strRef>
              <c:f>'SATORI H1(RTD UP LOAD DATA)'!$DN$1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H1(RTD UP LOAD DATA)'!$DM$2:$DM$37</c:f>
              <c:numCache>
                <c:formatCode>0.00000</c:formatCode>
                <c:ptCount val="36"/>
                <c:pt idx="0">
                  <c:v>-0.76922558160723775</c:v>
                </c:pt>
                <c:pt idx="1">
                  <c:v>-0.77219223640728818</c:v>
                </c:pt>
                <c:pt idx="2">
                  <c:v>-0.65635868031711575</c:v>
                </c:pt>
                <c:pt idx="3">
                  <c:v>-0.63110653017080121</c:v>
                </c:pt>
                <c:pt idx="4">
                  <c:v>-0.59544372202184692</c:v>
                </c:pt>
                <c:pt idx="5">
                  <c:v>-0.57314949771222723</c:v>
                </c:pt>
                <c:pt idx="6">
                  <c:v>-0.54341502653980034</c:v>
                </c:pt>
                <c:pt idx="7">
                  <c:v>-0.58948222520831439</c:v>
                </c:pt>
                <c:pt idx="8">
                  <c:v>-0.4153128790132441</c:v>
                </c:pt>
                <c:pt idx="9">
                  <c:v>-0.42424384266421444</c:v>
                </c:pt>
                <c:pt idx="10">
                  <c:v>-0.41828951237752404</c:v>
                </c:pt>
                <c:pt idx="11">
                  <c:v>-0.46143977946278331</c:v>
                </c:pt>
                <c:pt idx="12">
                  <c:v>-0.55954748983694602</c:v>
                </c:pt>
                <c:pt idx="13">
                  <c:v>-0.54616737565996654</c:v>
                </c:pt>
                <c:pt idx="14">
                  <c:v>-0.65606074938653436</c:v>
                </c:pt>
                <c:pt idx="15">
                  <c:v>-0.64566434951128915</c:v>
                </c:pt>
                <c:pt idx="16">
                  <c:v>-0.59811535175500941</c:v>
                </c:pt>
                <c:pt idx="17">
                  <c:v>-0.62930964765519415</c:v>
                </c:pt>
                <c:pt idx="18">
                  <c:v>-0.62782418292754438</c:v>
                </c:pt>
                <c:pt idx="19">
                  <c:v>-0.60256490385708528</c:v>
                </c:pt>
                <c:pt idx="20">
                  <c:v>-0.56391813532151136</c:v>
                </c:pt>
                <c:pt idx="21">
                  <c:v>-0.45082289722627589</c:v>
                </c:pt>
                <c:pt idx="22">
                  <c:v>-0.36592946082932143</c:v>
                </c:pt>
                <c:pt idx="23">
                  <c:v>-0.39273072942271187</c:v>
                </c:pt>
                <c:pt idx="24">
                  <c:v>-0.16589552818107611</c:v>
                </c:pt>
                <c:pt idx="25">
                  <c:v>-0.10467225736517741</c:v>
                </c:pt>
                <c:pt idx="26">
                  <c:v>-0.13154354390265657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DATA)'!$DN$2:$DN$37</c:f>
              <c:numCache>
                <c:formatCode>0.00000</c:formatCode>
                <c:ptCount val="36"/>
                <c:pt idx="0">
                  <c:v>-0.16948950687877298</c:v>
                </c:pt>
                <c:pt idx="1">
                  <c:v>-0.21504814692299698</c:v>
                </c:pt>
                <c:pt idx="2">
                  <c:v>-0.256979670921203</c:v>
                </c:pt>
                <c:pt idx="3">
                  <c:v>-0.22174530161641201</c:v>
                </c:pt>
                <c:pt idx="4">
                  <c:v>-0.24058101169230364</c:v>
                </c:pt>
                <c:pt idx="5">
                  <c:v>-0.18471271512880927</c:v>
                </c:pt>
                <c:pt idx="6">
                  <c:v>-9.0069175460425296E-2</c:v>
                </c:pt>
                <c:pt idx="7">
                  <c:v>-0.18723379053673264</c:v>
                </c:pt>
                <c:pt idx="8">
                  <c:v>-5.5022033393957892E-2</c:v>
                </c:pt>
                <c:pt idx="9">
                  <c:v>-5.8054505101003274E-2</c:v>
                </c:pt>
                <c:pt idx="10">
                  <c:v>-6.7759356313499372E-2</c:v>
                </c:pt>
                <c:pt idx="11">
                  <c:v>-0.10416579782654706</c:v>
                </c:pt>
                <c:pt idx="12">
                  <c:v>-0.11751660858487972</c:v>
                </c:pt>
                <c:pt idx="13">
                  <c:v>-0.12540634646350907</c:v>
                </c:pt>
                <c:pt idx="14">
                  <c:v>-0.21470073853271421</c:v>
                </c:pt>
                <c:pt idx="15">
                  <c:v>-0.20680457910318356</c:v>
                </c:pt>
                <c:pt idx="16">
                  <c:v>-0.20923422565034103</c:v>
                </c:pt>
                <c:pt idx="17">
                  <c:v>-0.19830201145183349</c:v>
                </c:pt>
                <c:pt idx="18">
                  <c:v>-0.20255360883770931</c:v>
                </c:pt>
                <c:pt idx="19">
                  <c:v>-0.19769487648097633</c:v>
                </c:pt>
                <c:pt idx="20">
                  <c:v>-0.20073167642266271</c:v>
                </c:pt>
                <c:pt idx="21">
                  <c:v>-0.11819889088047658</c:v>
                </c:pt>
                <c:pt idx="22">
                  <c:v>-7.2098890273891936E-2</c:v>
                </c:pt>
                <c:pt idx="23">
                  <c:v>-0.13097168861330971</c:v>
                </c:pt>
                <c:pt idx="24">
                  <c:v>-9.4568781234444385E-2</c:v>
                </c:pt>
                <c:pt idx="25">
                  <c:v>-8.4862281519576574E-2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262-4BDE-868C-8ACE0BEE105F}"/>
            </c:ext>
          </c:extLst>
        </c:ser>
        <c:ser>
          <c:idx val="4"/>
          <c:order val="4"/>
          <c:tx>
            <c:strRef>
              <c:f>'SATORI H1(RTD UP LOAD DATA)'!$DP$1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H1(RTD UP LOAD DATA)'!$DO$2:$DO$37</c:f>
              <c:numCache>
                <c:formatCode>0.00000</c:formatCode>
                <c:ptCount val="36"/>
                <c:pt idx="0">
                  <c:v>-1.2259724807148722</c:v>
                </c:pt>
                <c:pt idx="1">
                  <c:v>-1.2324825795056278</c:v>
                </c:pt>
                <c:pt idx="2">
                  <c:v>-1.1885200941597909</c:v>
                </c:pt>
                <c:pt idx="3">
                  <c:v>-1.1738637846185278</c:v>
                </c:pt>
                <c:pt idx="4">
                  <c:v>-1.0776911302532708</c:v>
                </c:pt>
                <c:pt idx="5">
                  <c:v>-1.0972478447252407</c:v>
                </c:pt>
                <c:pt idx="6">
                  <c:v>-1.0205919968626209</c:v>
                </c:pt>
                <c:pt idx="7">
                  <c:v>-0.96510806272531324</c:v>
                </c:pt>
                <c:pt idx="8">
                  <c:v>-0.83275079614797787</c:v>
                </c:pt>
                <c:pt idx="9">
                  <c:v>-0.81150375847535161</c:v>
                </c:pt>
                <c:pt idx="10">
                  <c:v>-0.7444489370701407</c:v>
                </c:pt>
                <c:pt idx="11">
                  <c:v>-0.7444489370701407</c:v>
                </c:pt>
                <c:pt idx="12">
                  <c:v>-0.86695992222181395</c:v>
                </c:pt>
                <c:pt idx="13">
                  <c:v>-0.78194676153059728</c:v>
                </c:pt>
                <c:pt idx="14">
                  <c:v>-0.79175501026777695</c:v>
                </c:pt>
                <c:pt idx="15">
                  <c:v>-0.76232160335093313</c:v>
                </c:pt>
                <c:pt idx="16">
                  <c:v>-0.6657522698429964</c:v>
                </c:pt>
                <c:pt idx="17">
                  <c:v>-0.73935263620927461</c:v>
                </c:pt>
                <c:pt idx="18">
                  <c:v>-0.67224952655296999</c:v>
                </c:pt>
                <c:pt idx="19">
                  <c:v>-0.6591545222970987</c:v>
                </c:pt>
                <c:pt idx="20">
                  <c:v>-0.61166258773770721</c:v>
                </c:pt>
                <c:pt idx="21">
                  <c:v>-0.40653606569891798</c:v>
                </c:pt>
                <c:pt idx="22">
                  <c:v>-0.39012325057286945</c:v>
                </c:pt>
                <c:pt idx="23">
                  <c:v>-0.38519916358065187</c:v>
                </c:pt>
                <c:pt idx="24">
                  <c:v>-0.17136578912552103</c:v>
                </c:pt>
                <c:pt idx="25">
                  <c:v>-7.0927813691662012E-2</c:v>
                </c:pt>
                <c:pt idx="26">
                  <c:v>-0.13016757015044544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DATA)'!$DP$2:$DP$37</c:f>
              <c:numCache>
                <c:formatCode>0.00000</c:formatCode>
                <c:ptCount val="36"/>
                <c:pt idx="0">
                  <c:v>-0.63388444978291847</c:v>
                </c:pt>
                <c:pt idx="1">
                  <c:v>-0.6792846358129514</c:v>
                </c:pt>
                <c:pt idx="2">
                  <c:v>-0.79568874654097543</c:v>
                </c:pt>
                <c:pt idx="3">
                  <c:v>-0.77019720308344086</c:v>
                </c:pt>
                <c:pt idx="4">
                  <c:v>-0.72422273829821304</c:v>
                </c:pt>
                <c:pt idx="5">
                  <c:v>-0.709269425862596</c:v>
                </c:pt>
                <c:pt idx="6">
                  <c:v>-0.56824286309471161</c:v>
                </c:pt>
                <c:pt idx="7">
                  <c:v>-0.56437169555057953</c:v>
                </c:pt>
                <c:pt idx="8">
                  <c:v>-0.47210191418024411</c:v>
                </c:pt>
                <c:pt idx="9">
                  <c:v>-0.45111080225894712</c:v>
                </c:pt>
                <c:pt idx="10">
                  <c:v>-0.39314266817037213</c:v>
                </c:pt>
                <c:pt idx="11">
                  <c:v>-0.3865181774280913</c:v>
                </c:pt>
                <c:pt idx="12">
                  <c:v>-0.43401624436723207</c:v>
                </c:pt>
                <c:pt idx="13">
                  <c:v>-0.36778376837649968</c:v>
                </c:pt>
                <c:pt idx="14">
                  <c:v>-0.34957315434770808</c:v>
                </c:pt>
                <c:pt idx="15">
                  <c:v>-0.32309200285896889</c:v>
                </c:pt>
                <c:pt idx="16">
                  <c:v>-0.30268361445975972</c:v>
                </c:pt>
                <c:pt idx="17">
                  <c:v>-0.31150964241619983</c:v>
                </c:pt>
                <c:pt idx="18">
                  <c:v>-0.24425643962023069</c:v>
                </c:pt>
                <c:pt idx="19">
                  <c:v>-0.2624511896078342</c:v>
                </c:pt>
                <c:pt idx="20">
                  <c:v>-0.24866918779963096</c:v>
                </c:pt>
                <c:pt idx="21">
                  <c:v>-8.0261575335262778E-2</c:v>
                </c:pt>
                <c:pt idx="22">
                  <c:v>-0.10228048958261106</c:v>
                </c:pt>
                <c:pt idx="23">
                  <c:v>-0.12430425322357724</c:v>
                </c:pt>
                <c:pt idx="24">
                  <c:v>-0.10888999503474939</c:v>
                </c:pt>
                <c:pt idx="25">
                  <c:v>-5.3869362297478955E-2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262-4BDE-868C-8ACE0BEE105F}"/>
            </c:ext>
          </c:extLst>
        </c:ser>
        <c:ser>
          <c:idx val="5"/>
          <c:order val="5"/>
          <c:tx>
            <c:strRef>
              <c:f>'SATORI H1(RTD UP LOAD DATA)'!$DR$1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H1(RTD UP LOAD DATA)'!$DQ$2:$DQ$37</c:f>
              <c:numCache>
                <c:formatCode>0.00000</c:formatCode>
                <c:ptCount val="36"/>
                <c:pt idx="0">
                  <c:v>-0.11923699546297672</c:v>
                </c:pt>
                <c:pt idx="1">
                  <c:v>-0.11992112569401064</c:v>
                </c:pt>
                <c:pt idx="2">
                  <c:v>2.0129155772905007E-2</c:v>
                </c:pt>
                <c:pt idx="3">
                  <c:v>6.9293364229150708E-2</c:v>
                </c:pt>
                <c:pt idx="4">
                  <c:v>8.9091694342408323E-2</c:v>
                </c:pt>
                <c:pt idx="5">
                  <c:v>0.11980380583418944</c:v>
                </c:pt>
                <c:pt idx="6">
                  <c:v>0.14504961127773508</c:v>
                </c:pt>
                <c:pt idx="7">
                  <c:v>0.47827187052465897</c:v>
                </c:pt>
                <c:pt idx="8">
                  <c:v>0.63918329455681056</c:v>
                </c:pt>
                <c:pt idx="9">
                  <c:v>0.39689104654755808</c:v>
                </c:pt>
                <c:pt idx="10">
                  <c:v>0.49344239554668501</c:v>
                </c:pt>
                <c:pt idx="11">
                  <c:v>0.44786571448141022</c:v>
                </c:pt>
                <c:pt idx="12">
                  <c:v>-5.1826243413354289E-3</c:v>
                </c:pt>
                <c:pt idx="13">
                  <c:v>-6.3299500798536079E-2</c:v>
                </c:pt>
                <c:pt idx="14">
                  <c:v>0.24683191312805752</c:v>
                </c:pt>
                <c:pt idx="15">
                  <c:v>0.19227356297257711</c:v>
                </c:pt>
                <c:pt idx="16">
                  <c:v>0.14109893467094906</c:v>
                </c:pt>
                <c:pt idx="17">
                  <c:v>0.17179428671254188</c:v>
                </c:pt>
                <c:pt idx="18">
                  <c:v>0.19634453971653901</c:v>
                </c:pt>
                <c:pt idx="19">
                  <c:v>0.20861815961616856</c:v>
                </c:pt>
                <c:pt idx="20">
                  <c:v>0.12945888569777503</c:v>
                </c:pt>
                <c:pt idx="21">
                  <c:v>0.10215513143156887</c:v>
                </c:pt>
                <c:pt idx="22">
                  <c:v>5.0251071987766349E-2</c:v>
                </c:pt>
                <c:pt idx="23">
                  <c:v>9.9408885422721874E-3</c:v>
                </c:pt>
                <c:pt idx="24">
                  <c:v>3.1799259956974871E-2</c:v>
                </c:pt>
                <c:pt idx="25">
                  <c:v>-9.0620688339405911E-2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DATA)'!$DR$2:$DR$37</c:f>
              <c:numCache>
                <c:formatCode>0.00000</c:formatCode>
                <c:ptCount val="36"/>
                <c:pt idx="0">
                  <c:v>0.48084352511125888</c:v>
                </c:pt>
                <c:pt idx="1">
                  <c:v>0.43461030006641954</c:v>
                </c:pt>
                <c:pt idx="2">
                  <c:v>0.41796356837473242</c:v>
                </c:pt>
                <c:pt idx="3">
                  <c:v>0.47834855346334626</c:v>
                </c:pt>
                <c:pt idx="4">
                  <c:v>0.44259772441395284</c:v>
                </c:pt>
                <c:pt idx="5">
                  <c:v>0.50481474477308619</c:v>
                </c:pt>
                <c:pt idx="6">
                  <c:v>0.59774582806640519</c:v>
                </c:pt>
                <c:pt idx="7">
                  <c:v>0.87882398988887067</c:v>
                </c:pt>
                <c:pt idx="8">
                  <c:v>0.99712946320271856</c:v>
                </c:pt>
                <c:pt idx="9">
                  <c:v>0.76180498577051436</c:v>
                </c:pt>
                <c:pt idx="10">
                  <c:v>0.84529691283785768</c:v>
                </c:pt>
                <c:pt idx="11">
                  <c:v>0.80169020846060579</c:v>
                </c:pt>
                <c:pt idx="12">
                  <c:v>0.43676944927749528</c:v>
                </c:pt>
                <c:pt idx="13">
                  <c:v>0.35718796153551774</c:v>
                </c:pt>
                <c:pt idx="14">
                  <c:v>0.6904393142162687</c:v>
                </c:pt>
                <c:pt idx="15">
                  <c:v>0.63137838302226867</c:v>
                </c:pt>
                <c:pt idx="16">
                  <c:v>0.57536218141318307</c:v>
                </c:pt>
                <c:pt idx="17">
                  <c:v>0.60920666906917953</c:v>
                </c:pt>
                <c:pt idx="18">
                  <c:v>0.61720563535659867</c:v>
                </c:pt>
                <c:pt idx="19">
                  <c:v>0.61166758278202815</c:v>
                </c:pt>
                <c:pt idx="20">
                  <c:v>0.49214910670421275</c:v>
                </c:pt>
                <c:pt idx="21">
                  <c:v>0.43482132122107658</c:v>
                </c:pt>
                <c:pt idx="22">
                  <c:v>0.343506699158726</c:v>
                </c:pt>
                <c:pt idx="23">
                  <c:v>0.27373810860773962</c:v>
                </c:pt>
                <c:pt idx="24">
                  <c:v>0.10056079978311802</c:v>
                </c:pt>
                <c:pt idx="25">
                  <c:v>-7.0434442088419008E-2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262-4BDE-868C-8ACE0BEE105F}"/>
            </c:ext>
          </c:extLst>
        </c:ser>
        <c:ser>
          <c:idx val="6"/>
          <c:order val="6"/>
          <c:tx>
            <c:strRef>
              <c:f>'SATORI H1(RTD UP LOAD DATA)'!$DT$1</c:f>
              <c:strCache>
                <c:ptCount val="1"/>
                <c:pt idx="0">
                  <c:v>EU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H1(RTD UP LOAD DATA)'!$DS$2:$DS$37</c:f>
              <c:numCache>
                <c:formatCode>0.00000</c:formatCode>
                <c:ptCount val="36"/>
                <c:pt idx="0">
                  <c:v>-0.5975899560190564</c:v>
                </c:pt>
                <c:pt idx="1">
                  <c:v>-0.55524150939612227</c:v>
                </c:pt>
                <c:pt idx="2">
                  <c:v>-0.39821597018487309</c:v>
                </c:pt>
                <c:pt idx="3">
                  <c:v>-0.40814188675301744</c:v>
                </c:pt>
                <c:pt idx="4">
                  <c:v>-0.35126111967525248</c:v>
                </c:pt>
                <c:pt idx="5">
                  <c:v>-0.38736285436360041</c:v>
                </c:pt>
                <c:pt idx="6">
                  <c:v>-0.45140239652597108</c:v>
                </c:pt>
                <c:pt idx="7">
                  <c:v>-0.39996392415836113</c:v>
                </c:pt>
                <c:pt idx="8">
                  <c:v>-0.35843493511841162</c:v>
                </c:pt>
                <c:pt idx="9">
                  <c:v>-0.36385146637179233</c:v>
                </c:pt>
                <c:pt idx="10">
                  <c:v>-0.3503083043143066</c:v>
                </c:pt>
                <c:pt idx="11">
                  <c:v>-0.35572527568560836</c:v>
                </c:pt>
                <c:pt idx="12">
                  <c:v>-0.43871657062043601</c:v>
                </c:pt>
                <c:pt idx="13">
                  <c:v>-0.41706197939595741</c:v>
                </c:pt>
                <c:pt idx="14">
                  <c:v>-0.44051561786715454</c:v>
                </c:pt>
                <c:pt idx="15">
                  <c:v>-0.43780935557621559</c:v>
                </c:pt>
                <c:pt idx="16">
                  <c:v>-0.42156914481436303</c:v>
                </c:pt>
                <c:pt idx="17">
                  <c:v>-0.43510082247176746</c:v>
                </c:pt>
                <c:pt idx="18">
                  <c:v>-0.42246966139739439</c:v>
                </c:pt>
                <c:pt idx="19">
                  <c:v>-0.40442188894371145</c:v>
                </c:pt>
                <c:pt idx="20">
                  <c:v>-0.36199162804272811</c:v>
                </c:pt>
                <c:pt idx="21">
                  <c:v>-0.33219129030557243</c:v>
                </c:pt>
                <c:pt idx="22">
                  <c:v>-0.29244171264483543</c:v>
                </c:pt>
                <c:pt idx="23">
                  <c:v>-0.25990875042826389</c:v>
                </c:pt>
                <c:pt idx="24">
                  <c:v>-6.8865163517008054E-2</c:v>
                </c:pt>
                <c:pt idx="25">
                  <c:v>-1.8135930796662567E-2</c:v>
                </c:pt>
                <c:pt idx="26">
                  <c:v>-4.8926338679007614E-2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H1(RTD UP LOAD DATA)'!$DT$2:$DT$37</c:f>
              <c:numCache>
                <c:formatCode>0.00000</c:formatCode>
                <c:ptCount val="36"/>
                <c:pt idx="0">
                  <c:v>0.5975899560190564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262-4BDE-868C-8ACE0BEE1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H1(RTD UP LOAD DATA)'!$AI$1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DATA)'!$AI$2:$AI$37</c:f>
              <c:numCache>
                <c:formatCode>0.00000</c:formatCode>
                <c:ptCount val="36"/>
                <c:pt idx="0">
                  <c:v>-2.9666548000504334E-3</c:v>
                </c:pt>
                <c:pt idx="1">
                  <c:v>0.1158335560901724</c:v>
                </c:pt>
                <c:pt idx="2">
                  <c:v>2.5252150146314448E-2</c:v>
                </c:pt>
                <c:pt idx="3">
                  <c:v>3.5662808148954332E-2</c:v>
                </c:pt>
                <c:pt idx="4">
                  <c:v>2.2294224309619734E-2</c:v>
                </c:pt>
                <c:pt idx="5">
                  <c:v>2.9734471172426925E-2</c:v>
                </c:pt>
                <c:pt idx="6">
                  <c:v>-4.6067198668514178E-2</c:v>
                </c:pt>
                <c:pt idx="7">
                  <c:v>0.17416934619507032</c:v>
                </c:pt>
                <c:pt idx="8">
                  <c:v>-8.9309636509703472E-3</c:v>
                </c:pt>
                <c:pt idx="9">
                  <c:v>5.9543302866904308E-3</c:v>
                </c:pt>
                <c:pt idx="10">
                  <c:v>-4.3150267085259195E-2</c:v>
                </c:pt>
                <c:pt idx="11">
                  <c:v>-9.8107710374162729E-2</c:v>
                </c:pt>
                <c:pt idx="12">
                  <c:v>1.3380114176979438E-2</c:v>
                </c:pt>
                <c:pt idx="13">
                  <c:v>-0.10989337372656791</c:v>
                </c:pt>
                <c:pt idx="14">
                  <c:v>1.0396399875245354E-2</c:v>
                </c:pt>
                <c:pt idx="15">
                  <c:v>4.7548997756279736E-2</c:v>
                </c:pt>
                <c:pt idx="16">
                  <c:v>-3.1194295900184712E-2</c:v>
                </c:pt>
                <c:pt idx="17">
                  <c:v>1.4854647276497739E-3</c:v>
                </c:pt>
                <c:pt idx="18">
                  <c:v>2.5259279070459051E-2</c:v>
                </c:pt>
                <c:pt idx="19">
                  <c:v>3.8646768535573896E-2</c:v>
                </c:pt>
                <c:pt idx="20">
                  <c:v>0.11309523809523554</c:v>
                </c:pt>
                <c:pt idx="21">
                  <c:v>8.4893436396954333E-2</c:v>
                </c:pt>
                <c:pt idx="22">
                  <c:v>-2.6801268593390357E-2</c:v>
                </c:pt>
                <c:pt idx="23">
                  <c:v>0.22683520124163575</c:v>
                </c:pt>
                <c:pt idx="24">
                  <c:v>6.1223270815898699E-2</c:v>
                </c:pt>
                <c:pt idx="25">
                  <c:v>-2.687128653747917E-2</c:v>
                </c:pt>
                <c:pt idx="26">
                  <c:v>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EE-42CD-B38F-9FC9B427EAF2}"/>
            </c:ext>
          </c:extLst>
        </c:ser>
        <c:ser>
          <c:idx val="1"/>
          <c:order val="1"/>
          <c:tx>
            <c:strRef>
              <c:f>'SATORI H1(RTD UP LOAD DATA)'!$AJ$1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DATA)'!$AJ$2:$AJ$37</c:f>
              <c:numCache>
                <c:formatCode>0.00000</c:formatCode>
                <c:ptCount val="36"/>
                <c:pt idx="0">
                  <c:v>9.114607069348955E-4</c:v>
                </c:pt>
                <c:pt idx="1">
                  <c:v>7.3882863736281723E-2</c:v>
                </c:pt>
                <c:pt idx="2">
                  <c:v>1.0034482129504524E-2</c:v>
                </c:pt>
                <c:pt idx="3">
                  <c:v>-6.4726099204141421E-2</c:v>
                </c:pt>
                <c:pt idx="4">
                  <c:v>4.2865220801485727E-2</c:v>
                </c:pt>
                <c:pt idx="5">
                  <c:v>-4.831402291724806E-2</c:v>
                </c:pt>
                <c:pt idx="6">
                  <c:v>-0.10108369001003245</c:v>
                </c:pt>
                <c:pt idx="7">
                  <c:v>4.1908093728374236E-2</c:v>
                </c:pt>
                <c:pt idx="8">
                  <c:v>-2.6413341469868158E-2</c:v>
                </c:pt>
                <c:pt idx="9">
                  <c:v>-6.5534974741713187E-2</c:v>
                </c:pt>
                <c:pt idx="10">
                  <c:v>-4.4580308240997638E-2</c:v>
                </c:pt>
                <c:pt idx="11">
                  <c:v>3.3674017310263427E-2</c:v>
                </c:pt>
                <c:pt idx="12">
                  <c:v>-7.3664490078027736E-2</c:v>
                </c:pt>
                <c:pt idx="13">
                  <c:v>-0.10719866274210173</c:v>
                </c:pt>
                <c:pt idx="14">
                  <c:v>-1.8165964249380356E-2</c:v>
                </c:pt>
                <c:pt idx="15">
                  <c:v>1.271779219127823E-2</c:v>
                </c:pt>
                <c:pt idx="16">
                  <c:v>-7.2667817240512312E-3</c:v>
                </c:pt>
                <c:pt idx="17">
                  <c:v>-7.8963849079202231E-2</c:v>
                </c:pt>
                <c:pt idx="18">
                  <c:v>2.0879859106337717E-2</c:v>
                </c:pt>
                <c:pt idx="19">
                  <c:v>-1.63380895327369E-2</c:v>
                </c:pt>
                <c:pt idx="20">
                  <c:v>-8.6154515856965944E-2</c:v>
                </c:pt>
                <c:pt idx="21">
                  <c:v>6.897115009393634E-2</c:v>
                </c:pt>
                <c:pt idx="22">
                  <c:v>-3.6287432754847186E-2</c:v>
                </c:pt>
                <c:pt idx="23">
                  <c:v>1.723950205058546E-2</c:v>
                </c:pt>
                <c:pt idx="24">
                  <c:v>-4.2626905740118307E-2</c:v>
                </c:pt>
                <c:pt idx="25">
                  <c:v>2.9938490011425747E-2</c:v>
                </c:pt>
                <c:pt idx="26">
                  <c:v>9.0723520073173163E-4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EE-42CD-B38F-9FC9B427EAF2}"/>
            </c:ext>
          </c:extLst>
        </c:ser>
        <c:ser>
          <c:idx val="2"/>
          <c:order val="2"/>
          <c:tx>
            <c:strRef>
              <c:f>'SATORI H1(RTD UP LOAD DATA)'!$AK$1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DATA)'!$AK$2:$AK$37</c:f>
              <c:numCache>
                <c:formatCode>0.00000</c:formatCode>
                <c:ptCount val="36"/>
                <c:pt idx="0">
                  <c:v>-2.029591443237745E-3</c:v>
                </c:pt>
                <c:pt idx="1">
                  <c:v>-2.5363458358265419E-2</c:v>
                </c:pt>
                <c:pt idx="2">
                  <c:v>-2.4342992768103488E-2</c:v>
                </c:pt>
                <c:pt idx="3">
                  <c:v>1.826057845454707E-2</c:v>
                </c:pt>
                <c:pt idx="4">
                  <c:v>-9.1294556815649328E-3</c:v>
                </c:pt>
                <c:pt idx="5">
                  <c:v>4.0577005011165554E-3</c:v>
                </c:pt>
                <c:pt idx="6">
                  <c:v>-0.37896779279051668</c:v>
                </c:pt>
                <c:pt idx="7">
                  <c:v>1.3139276329093622E-2</c:v>
                </c:pt>
                <c:pt idx="8">
                  <c:v>0.2330057744909371</c:v>
                </c:pt>
                <c:pt idx="9">
                  <c:v>-9.1093117408910337E-2</c:v>
                </c:pt>
                <c:pt idx="10">
                  <c:v>2.0243324763612003E-3</c:v>
                </c:pt>
                <c:pt idx="11">
                  <c:v>0.35653701991934655</c:v>
                </c:pt>
                <c:pt idx="12">
                  <c:v>7.1154843103578475E-2</c:v>
                </c:pt>
                <c:pt idx="13">
                  <c:v>-0.42108246535686839</c:v>
                </c:pt>
                <c:pt idx="14">
                  <c:v>6.4823911920516938E-2</c:v>
                </c:pt>
                <c:pt idx="15">
                  <c:v>9.8345364587551901E-2</c:v>
                </c:pt>
                <c:pt idx="16">
                  <c:v>-5.9782553626974592E-2</c:v>
                </c:pt>
                <c:pt idx="17">
                  <c:v>-2.3299633284028745E-2</c:v>
                </c:pt>
                <c:pt idx="18">
                  <c:v>1.21578083524148E-2</c:v>
                </c:pt>
                <c:pt idx="19">
                  <c:v>0.11766376564623746</c:v>
                </c:pt>
                <c:pt idx="20">
                  <c:v>0.13915834594561699</c:v>
                </c:pt>
                <c:pt idx="21">
                  <c:v>0.13833368933914708</c:v>
                </c:pt>
                <c:pt idx="22">
                  <c:v>1.3224821973555676E-2</c:v>
                </c:pt>
                <c:pt idx="23">
                  <c:v>0.20591653244714284</c:v>
                </c:pt>
                <c:pt idx="24">
                  <c:v>0.18382728405399681</c:v>
                </c:pt>
                <c:pt idx="25">
                  <c:v>9.3021354022926384E-2</c:v>
                </c:pt>
                <c:pt idx="26">
                  <c:v>-8.0689641084313243E-2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EE-42CD-B38F-9FC9B427EAF2}"/>
            </c:ext>
          </c:extLst>
        </c:ser>
        <c:ser>
          <c:idx val="3"/>
          <c:order val="3"/>
          <c:tx>
            <c:strRef>
              <c:f>'SATORI H1(RTD UP LOAD DATA)'!$AL$1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DATA)'!$AL$2:$AL$37</c:f>
              <c:numCache>
                <c:formatCode>0.00000</c:formatCode>
                <c:ptCount val="36"/>
                <c:pt idx="0">
                  <c:v>-7.2517568244207395E-2</c:v>
                </c:pt>
                <c:pt idx="1">
                  <c:v>6.5654209644246772E-2</c:v>
                </c:pt>
                <c:pt idx="2">
                  <c:v>2.246569660942082E-2</c:v>
                </c:pt>
                <c:pt idx="3">
                  <c:v>-1.7278319165128897E-2</c:v>
                </c:pt>
                <c:pt idx="4">
                  <c:v>1.38245662542476E-2</c:v>
                </c:pt>
                <c:pt idx="5">
                  <c:v>0.12804097311138923</c:v>
                </c:pt>
                <c:pt idx="6">
                  <c:v>-0.31048401007348531</c:v>
                </c:pt>
                <c:pt idx="7">
                  <c:v>0.12261886258052059</c:v>
                </c:pt>
                <c:pt idx="8">
                  <c:v>-1.726728023068896E-2</c:v>
                </c:pt>
                <c:pt idx="9">
                  <c:v>-6.9064350708650281E-3</c:v>
                </c:pt>
                <c:pt idx="10">
                  <c:v>-2.4166681051600868E-2</c:v>
                </c:pt>
                <c:pt idx="11">
                  <c:v>-1.7258935814015809E-2</c:v>
                </c:pt>
                <c:pt idx="12">
                  <c:v>-5.8645968089695036E-2</c:v>
                </c:pt>
                <c:pt idx="13">
                  <c:v>-0.18937763622277523</c:v>
                </c:pt>
                <c:pt idx="14">
                  <c:v>1.3774816192291093E-2</c:v>
                </c:pt>
                <c:pt idx="15">
                  <c:v>7.4094496329744894E-2</c:v>
                </c:pt>
                <c:pt idx="16">
                  <c:v>-9.1242446674820607E-2</c:v>
                </c:pt>
                <c:pt idx="17">
                  <c:v>2.5830004132797815E-2</c:v>
                </c:pt>
                <c:pt idx="18">
                  <c:v>2.2391016035405959E-2</c:v>
                </c:pt>
                <c:pt idx="19">
                  <c:v>4.3078195540559583E-2</c:v>
                </c:pt>
                <c:pt idx="20">
                  <c:v>6.5521760121376629E-2</c:v>
                </c:pt>
                <c:pt idx="21">
                  <c:v>9.6651708664136166E-2</c:v>
                </c:pt>
                <c:pt idx="22">
                  <c:v>-8.2775746706202136E-2</c:v>
                </c:pt>
                <c:pt idx="23">
                  <c:v>6.5573770491792222E-2</c:v>
                </c:pt>
                <c:pt idx="24">
                  <c:v>-3.4511319712900333E-3</c:v>
                </c:pt>
                <c:pt idx="25">
                  <c:v>0.13304535637149864</c:v>
                </c:pt>
                <c:pt idx="26">
                  <c:v>-1.7275632720046469E-2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3EE-42CD-B38F-9FC9B427EAF2}"/>
            </c:ext>
          </c:extLst>
        </c:ser>
        <c:ser>
          <c:idx val="4"/>
          <c:order val="4"/>
          <c:tx>
            <c:strRef>
              <c:f>'SATORI H1(RTD UP LOAD DATA)'!$AM$1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DATA)'!$AM$2:$AM$37</c:f>
              <c:numCache>
                <c:formatCode>0.00000</c:formatCode>
                <c:ptCount val="36"/>
                <c:pt idx="0">
                  <c:v>5.8808795182033365E-2</c:v>
                </c:pt>
                <c:pt idx="1">
                  <c:v>0.16034731009206021</c:v>
                </c:pt>
                <c:pt idx="2">
                  <c:v>5.5661664392907005E-2</c:v>
                </c:pt>
                <c:pt idx="3">
                  <c:v>3.2743227609061676E-3</c:v>
                </c:pt>
                <c:pt idx="4">
                  <c:v>1.0915600576342508E-2</c:v>
                </c:pt>
                <c:pt idx="5">
                  <c:v>8.7332430898301398E-3</c:v>
                </c:pt>
                <c:pt idx="6">
                  <c:v>-9.9242052456521873E-2</c:v>
                </c:pt>
                <c:pt idx="7">
                  <c:v>9.7155208174143332E-2</c:v>
                </c:pt>
                <c:pt idx="8">
                  <c:v>-6.5493603458127757E-3</c:v>
                </c:pt>
                <c:pt idx="9">
                  <c:v>-2.1826436179498206E-2</c:v>
                </c:pt>
                <c:pt idx="10">
                  <c:v>-2.2912506955575101E-2</c:v>
                </c:pt>
                <c:pt idx="11">
                  <c:v>-4.5804024210707991E-2</c:v>
                </c:pt>
                <c:pt idx="12">
                  <c:v>-1.6355904481516026E-2</c:v>
                </c:pt>
                <c:pt idx="13">
                  <c:v>-8.9332403695303722E-2</c:v>
                </c:pt>
                <c:pt idx="14">
                  <c:v>0</c:v>
                </c:pt>
                <c:pt idx="15">
                  <c:v>4.2505422166032876E-2</c:v>
                </c:pt>
                <c:pt idx="16">
                  <c:v>-2.3971669844728736E-2</c:v>
                </c:pt>
                <c:pt idx="17">
                  <c:v>-2.2876813804527812E-2</c:v>
                </c:pt>
                <c:pt idx="18">
                  <c:v>4.3593879419324723E-2</c:v>
                </c:pt>
                <c:pt idx="19">
                  <c:v>-1.7434511615736604E-2</c:v>
                </c:pt>
                <c:pt idx="20">
                  <c:v>5.4512548788725163E-2</c:v>
                </c:pt>
                <c:pt idx="21">
                  <c:v>1.3084723585215242E-2</c:v>
                </c:pt>
                <c:pt idx="22">
                  <c:v>7.966214520335764E-2</c:v>
                </c:pt>
                <c:pt idx="23">
                  <c:v>0.10159049200384365</c:v>
                </c:pt>
                <c:pt idx="24">
                  <c:v>-1.6382878799460838E-2</c:v>
                </c:pt>
                <c:pt idx="25">
                  <c:v>-4.6942206502033852E-2</c:v>
                </c:pt>
                <c:pt idx="26">
                  <c:v>7.1009537127055558E-2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3EE-42CD-B38F-9FC9B427EAF2}"/>
            </c:ext>
          </c:extLst>
        </c:ser>
        <c:ser>
          <c:idx val="5"/>
          <c:order val="5"/>
          <c:tx>
            <c:strRef>
              <c:f>'SATORI H1(RTD UP LOAD DATA)'!$AN$1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DATA)'!$AN$2:$AN$37</c:f>
              <c:numCache>
                <c:formatCode>0.00000</c:formatCode>
                <c:ptCount val="36"/>
                <c:pt idx="0">
                  <c:v>4.234844662293398E-2</c:v>
                </c:pt>
                <c:pt idx="1">
                  <c:v>0.15702553921124923</c:v>
                </c:pt>
                <c:pt idx="2">
                  <c:v>-9.9259165681443457E-3</c:v>
                </c:pt>
                <c:pt idx="3">
                  <c:v>5.688076707776489E-2</c:v>
                </c:pt>
                <c:pt idx="4">
                  <c:v>-3.6101734688347799E-2</c:v>
                </c:pt>
                <c:pt idx="5">
                  <c:v>-6.4039542162370761E-2</c:v>
                </c:pt>
                <c:pt idx="6">
                  <c:v>5.1438472367609955E-2</c:v>
                </c:pt>
                <c:pt idx="7">
                  <c:v>4.1528989039949525E-2</c:v>
                </c:pt>
                <c:pt idx="8">
                  <c:v>-5.4165312533807266E-3</c:v>
                </c:pt>
                <c:pt idx="9">
                  <c:v>1.3543162057485713E-2</c:v>
                </c:pt>
                <c:pt idx="10">
                  <c:v>-5.4169713713016973E-3</c:v>
                </c:pt>
                <c:pt idx="11">
                  <c:v>-8.2991294934827653E-2</c:v>
                </c:pt>
                <c:pt idx="12">
                  <c:v>2.165459122447853E-2</c:v>
                </c:pt>
                <c:pt idx="13">
                  <c:v>-2.3453638471197035E-2</c:v>
                </c:pt>
                <c:pt idx="14">
                  <c:v>2.7062622909389366E-3</c:v>
                </c:pt>
                <c:pt idx="15">
                  <c:v>1.6240210761852555E-2</c:v>
                </c:pt>
                <c:pt idx="16">
                  <c:v>-1.3531677657404487E-2</c:v>
                </c:pt>
                <c:pt idx="17">
                  <c:v>1.2631161074373086E-2</c:v>
                </c:pt>
                <c:pt idx="18">
                  <c:v>1.8047772453682914E-2</c:v>
                </c:pt>
                <c:pt idx="19">
                  <c:v>4.2430260900983348E-2</c:v>
                </c:pt>
                <c:pt idx="20">
                  <c:v>2.9800337737155735E-2</c:v>
                </c:pt>
                <c:pt idx="21">
                  <c:v>3.9749577660736987E-2</c:v>
                </c:pt>
                <c:pt idx="22">
                  <c:v>3.2532962216571558E-2</c:v>
                </c:pt>
                <c:pt idx="23">
                  <c:v>0.19104358691125584</c:v>
                </c:pt>
                <c:pt idx="24">
                  <c:v>5.0729232720345491E-2</c:v>
                </c:pt>
                <c:pt idx="25">
                  <c:v>-3.0790407882345047E-2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3EE-42CD-B38F-9FC9B427EAF2}"/>
            </c:ext>
          </c:extLst>
        </c:ser>
        <c:ser>
          <c:idx val="6"/>
          <c:order val="6"/>
          <c:tx>
            <c:strRef>
              <c:f>'SATORI H1(RTD UP LOAD DATA)'!$AO$1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DATA)'!$AO$2:$AO$37</c:f>
              <c:numCache>
                <c:formatCode>0.00000</c:formatCode>
                <c:ptCount val="36"/>
                <c:pt idx="0">
                  <c:v>0.10452431513420372</c:v>
                </c:pt>
                <c:pt idx="1">
                  <c:v>0.20217956196637835</c:v>
                </c:pt>
                <c:pt idx="2">
                  <c:v>2.0553621747045277E-2</c:v>
                </c:pt>
                <c:pt idx="3">
                  <c:v>2.1884450103464608E-2</c:v>
                </c:pt>
                <c:pt idx="4">
                  <c:v>-4.7725103404394287E-2</c:v>
                </c:pt>
                <c:pt idx="5">
                  <c:v>-8.3449235048681292E-2</c:v>
                </c:pt>
                <c:pt idx="6">
                  <c:v>-1.9868470723791495E-3</c:v>
                </c:pt>
                <c:pt idx="7">
                  <c:v>-3.7735849056601087E-2</c:v>
                </c:pt>
                <c:pt idx="8">
                  <c:v>-6.620280567533821E-4</c:v>
                </c:pt>
                <c:pt idx="9">
                  <c:v>-1.3900656640545135E-2</c:v>
                </c:pt>
                <c:pt idx="10">
                  <c:v>1.5226846917222389E-2</c:v>
                </c:pt>
                <c:pt idx="11">
                  <c:v>-3.3090887431415493E-2</c:v>
                </c:pt>
                <c:pt idx="12">
                  <c:v>-8.602890571229517E-3</c:v>
                </c:pt>
                <c:pt idx="13">
                  <c:v>0</c:v>
                </c:pt>
                <c:pt idx="14">
                  <c:v>-7.2788390913398025E-3</c:v>
                </c:pt>
                <c:pt idx="15">
                  <c:v>7.9411823097008168E-3</c:v>
                </c:pt>
                <c:pt idx="16">
                  <c:v>-7.2788872566571707E-3</c:v>
                </c:pt>
                <c:pt idx="17">
                  <c:v>-8.6015813676490211E-3</c:v>
                </c:pt>
                <c:pt idx="18">
                  <c:v>3.7066700203197925E-2</c:v>
                </c:pt>
                <c:pt idx="19">
                  <c:v>-1.3236354972566197E-2</c:v>
                </c:pt>
                <c:pt idx="20">
                  <c:v>-2.9111503675327069E-2</c:v>
                </c:pt>
                <c:pt idx="21">
                  <c:v>-3.1747921503266462E-2</c:v>
                </c:pt>
                <c:pt idx="22">
                  <c:v>0.138427097269883</c:v>
                </c:pt>
                <c:pt idx="23">
                  <c:v>6.2961023812522374E-2</c:v>
                </c:pt>
                <c:pt idx="24">
                  <c:v>-2.4515650261057318E-2</c:v>
                </c:pt>
                <c:pt idx="25">
                  <c:v>-4.9669203107307228E-2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3EE-42CD-B38F-9FC9B427EAF2}"/>
            </c:ext>
          </c:extLst>
        </c:ser>
        <c:ser>
          <c:idx val="7"/>
          <c:order val="7"/>
          <c:tx>
            <c:strRef>
              <c:f>'SATORI H1(RTD UP LOAD DATA)'!$AP$1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DATA)'!$AP$2:$AP$37</c:f>
              <c:numCache>
                <c:formatCode>0.00000</c:formatCode>
                <c:ptCount val="36"/>
                <c:pt idx="0">
                  <c:v>3.5214574138412877E-2</c:v>
                </c:pt>
                <c:pt idx="1">
                  <c:v>7.0434108891202791E-3</c:v>
                </c:pt>
                <c:pt idx="2">
                  <c:v>-4.10696893958147E-2</c:v>
                </c:pt>
                <c:pt idx="3">
                  <c:v>6.3404839902777468E-2</c:v>
                </c:pt>
                <c:pt idx="4">
                  <c:v>-6.4537326042564055E-2</c:v>
                </c:pt>
                <c:pt idx="5">
                  <c:v>-4.6914217353576849E-2</c:v>
                </c:pt>
                <c:pt idx="6">
                  <c:v>-1.2899745523195323E-2</c:v>
                </c:pt>
                <c:pt idx="7">
                  <c:v>-7.3825817943191555E-2</c:v>
                </c:pt>
                <c:pt idx="8">
                  <c:v>-3.5153915560264936E-3</c:v>
                </c:pt>
                <c:pt idx="9">
                  <c:v>2.3436492963216427E-3</c:v>
                </c:pt>
                <c:pt idx="10">
                  <c:v>-1.1718109165981757E-3</c:v>
                </c:pt>
                <c:pt idx="11">
                  <c:v>-3.5141973573232003E-2</c:v>
                </c:pt>
                <c:pt idx="12">
                  <c:v>2.226153792077511E-2</c:v>
                </c:pt>
                <c:pt idx="13">
                  <c:v>7.0304535814242506E-3</c:v>
                </c:pt>
                <c:pt idx="14">
                  <c:v>5.8590545829518489E-3</c:v>
                </c:pt>
                <c:pt idx="15">
                  <c:v>1.7580253858863786E-2</c:v>
                </c:pt>
                <c:pt idx="16">
                  <c:v>0</c:v>
                </c:pt>
                <c:pt idx="17">
                  <c:v>3.5161744022603747E-3</c:v>
                </c:pt>
                <c:pt idx="18">
                  <c:v>3.1655587211141888E-2</c:v>
                </c:pt>
                <c:pt idx="19">
                  <c:v>3.0492453117844764E-2</c:v>
                </c:pt>
                <c:pt idx="20">
                  <c:v>-3.7515093963585384E-2</c:v>
                </c:pt>
                <c:pt idx="21">
                  <c:v>2.5798280896372757E-2</c:v>
                </c:pt>
                <c:pt idx="22">
                  <c:v>8.2152874763814471E-2</c:v>
                </c:pt>
                <c:pt idx="23">
                  <c:v>5.8684068449090972E-3</c:v>
                </c:pt>
                <c:pt idx="24">
                  <c:v>-3.9889248674269906E-2</c:v>
                </c:pt>
                <c:pt idx="25">
                  <c:v>1.7601295455343575E-2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3EE-42CD-B38F-9FC9B427EAF2}"/>
            </c:ext>
          </c:extLst>
        </c:ser>
        <c:ser>
          <c:idx val="8"/>
          <c:order val="8"/>
          <c:tx>
            <c:strRef>
              <c:f>'SATORI H1(RTD UP LOAD DATA)'!$AQ$1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DATA)'!$AQ$2:$AQ$37</c:f>
              <c:numCache>
                <c:formatCode>0.00000</c:formatCode>
                <c:ptCount val="36"/>
                <c:pt idx="0">
                  <c:v>-2.4122669015999881E-2</c:v>
                </c:pt>
                <c:pt idx="1">
                  <c:v>0.10709336021166907</c:v>
                </c:pt>
                <c:pt idx="2">
                  <c:v>-9.4485213064191675E-3</c:v>
                </c:pt>
                <c:pt idx="3">
                  <c:v>1.0498467223737549E-3</c:v>
                </c:pt>
                <c:pt idx="4">
                  <c:v>-3.9878266344835343E-2</c:v>
                </c:pt>
                <c:pt idx="5">
                  <c:v>3.0442678535813446E-2</c:v>
                </c:pt>
                <c:pt idx="6">
                  <c:v>-0.21473613642553332</c:v>
                </c:pt>
                <c:pt idx="7">
                  <c:v>-7.3319158296077944E-3</c:v>
                </c:pt>
                <c:pt idx="8">
                  <c:v>-1.1520254702364218E-2</c:v>
                </c:pt>
                <c:pt idx="9">
                  <c:v>-1.0472849138560495E-3</c:v>
                </c:pt>
                <c:pt idx="10">
                  <c:v>1.0473946059176642E-2</c:v>
                </c:pt>
                <c:pt idx="11">
                  <c:v>-1.0473836356849377E-3</c:v>
                </c:pt>
                <c:pt idx="12">
                  <c:v>-5.0249152045551373E-2</c:v>
                </c:pt>
                <c:pt idx="13">
                  <c:v>-0.10353157713102981</c:v>
                </c:pt>
                <c:pt idx="14">
                  <c:v>6.275034774157316E-3</c:v>
                </c:pt>
                <c:pt idx="15">
                  <c:v>2.6152816135238562E-2</c:v>
                </c:pt>
                <c:pt idx="16">
                  <c:v>-6.0637741766860945E-2</c:v>
                </c:pt>
                <c:pt idx="17">
                  <c:v>4.0790285636590082E-2</c:v>
                </c:pt>
                <c:pt idx="18">
                  <c:v>1.1506276150633316E-2</c:v>
                </c:pt>
                <c:pt idx="19">
                  <c:v>4.918736198758495E-2</c:v>
                </c:pt>
                <c:pt idx="20">
                  <c:v>-1.2556898446084758E-2</c:v>
                </c:pt>
                <c:pt idx="21">
                  <c:v>4.606316935542927E-2</c:v>
                </c:pt>
                <c:pt idx="22">
                  <c:v>-2.0933421253700294E-2</c:v>
                </c:pt>
                <c:pt idx="23">
                  <c:v>2.8268107293170894E-2</c:v>
                </c:pt>
                <c:pt idx="24">
                  <c:v>-1.2562024998430689E-2</c:v>
                </c:pt>
                <c:pt idx="25">
                  <c:v>0.12577825294006445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3EE-42CD-B38F-9FC9B427EAF2}"/>
            </c:ext>
          </c:extLst>
        </c:ser>
        <c:ser>
          <c:idx val="9"/>
          <c:order val="9"/>
          <c:tx>
            <c:strRef>
              <c:f>'SATORI H1(RTD UP LOAD DATA)'!$AR$1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DATA)'!$AR$2:$AR$37</c:f>
              <c:numCache>
                <c:formatCode>0.00000</c:formatCode>
                <c:ptCount val="36"/>
                <c:pt idx="0">
                  <c:v>4.6233225044839218E-2</c:v>
                </c:pt>
                <c:pt idx="1">
                  <c:v>1.6646731691687261E-2</c:v>
                </c:pt>
                <c:pt idx="2">
                  <c:v>-6.0384985088613848E-2</c:v>
                </c:pt>
                <c:pt idx="3">
                  <c:v>3.57508290493933E-2</c:v>
                </c:pt>
                <c:pt idx="4">
                  <c:v>-6.2217020359133325E-2</c:v>
                </c:pt>
                <c:pt idx="5">
                  <c:v>-9.2931083293318839E-2</c:v>
                </c:pt>
                <c:pt idx="6">
                  <c:v>-0.28107816182246564</c:v>
                </c:pt>
                <c:pt idx="7">
                  <c:v>-0.1183054733138479</c:v>
                </c:pt>
                <c:pt idx="8">
                  <c:v>0.2353244774322043</c:v>
                </c:pt>
                <c:pt idx="9">
                  <c:v>-8.3491927067343416E-2</c:v>
                </c:pt>
                <c:pt idx="10">
                  <c:v>4.3606704377252017E-2</c:v>
                </c:pt>
                <c:pt idx="11">
                  <c:v>0.3649207591831104</c:v>
                </c:pt>
                <c:pt idx="12">
                  <c:v>7.9581487741977486E-2</c:v>
                </c:pt>
                <c:pt idx="13">
                  <c:v>-0.33325135268075085</c:v>
                </c:pt>
                <c:pt idx="14">
                  <c:v>5.906093119399991E-2</c:v>
                </c:pt>
                <c:pt idx="15">
                  <c:v>5.6016201609085818E-2</c:v>
                </c:pt>
                <c:pt idx="16">
                  <c:v>-3.3844487655996514E-2</c:v>
                </c:pt>
                <c:pt idx="17">
                  <c:v>-7.9989662874193537E-3</c:v>
                </c:pt>
                <c:pt idx="18">
                  <c:v>5.5380525745705733E-3</c:v>
                </c:pt>
                <c:pt idx="19">
                  <c:v>0.11951847607781539</c:v>
                </c:pt>
                <c:pt idx="20">
                  <c:v>5.7327785483136225E-2</c:v>
                </c:pt>
                <c:pt idx="21">
                  <c:v>9.1314622062350692E-2</c:v>
                </c:pt>
                <c:pt idx="22">
                  <c:v>6.9768590550986359E-2</c:v>
                </c:pt>
                <c:pt idx="23">
                  <c:v>0.17317730882462157</c:v>
                </c:pt>
                <c:pt idx="24">
                  <c:v>0.17099524187153703</c:v>
                </c:pt>
                <c:pt idx="25">
                  <c:v>8.9915231640228577E-2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3EE-42CD-B38F-9FC9B427EAF2}"/>
            </c:ext>
          </c:extLst>
        </c:ser>
        <c:ser>
          <c:idx val="10"/>
          <c:order val="10"/>
          <c:tx>
            <c:strRef>
              <c:f>'SATORI H1(RTD UP LOAD DATA)'!$AS$1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DATA)'!$AS$2:$AS$37</c:f>
              <c:numCache>
                <c:formatCode>0.00000</c:formatCode>
                <c:ptCount val="36"/>
                <c:pt idx="0">
                  <c:v>4.5558640044223976E-2</c:v>
                </c:pt>
                <c:pt idx="1">
                  <c:v>4.1931523998206023E-2</c:v>
                </c:pt>
                <c:pt idx="2">
                  <c:v>-3.5234369304790958E-2</c:v>
                </c:pt>
                <c:pt idx="3">
                  <c:v>1.8835710075891656E-2</c:v>
                </c:pt>
                <c:pt idx="4">
                  <c:v>-5.5868296563494436E-2</c:v>
                </c:pt>
                <c:pt idx="5">
                  <c:v>-9.4643539668383944E-2</c:v>
                </c:pt>
                <c:pt idx="6">
                  <c:v>9.7164615076307373E-2</c:v>
                </c:pt>
                <c:pt idx="7">
                  <c:v>-0.13221175714277478</c:v>
                </c:pt>
                <c:pt idx="8">
                  <c:v>3.0324717070453729E-3</c:v>
                </c:pt>
                <c:pt idx="9">
                  <c:v>9.7048512124960854E-3</c:v>
                </c:pt>
                <c:pt idx="10">
                  <c:v>3.6406441513047699E-2</c:v>
                </c:pt>
                <c:pt idx="11">
                  <c:v>1.3350810758332665E-2</c:v>
                </c:pt>
                <c:pt idx="12">
                  <c:v>7.8897378786293385E-3</c:v>
                </c:pt>
                <c:pt idx="13">
                  <c:v>8.9294392069205128E-2</c:v>
                </c:pt>
                <c:pt idx="14">
                  <c:v>-7.8961594295306331E-3</c:v>
                </c:pt>
                <c:pt idx="15">
                  <c:v>2.4296465471574931E-3</c:v>
                </c:pt>
                <c:pt idx="16">
                  <c:v>-1.0932214198507567E-2</c:v>
                </c:pt>
                <c:pt idx="17">
                  <c:v>4.2515973858758592E-3</c:v>
                </c:pt>
                <c:pt idx="18">
                  <c:v>-4.8587323567329888E-3</c:v>
                </c:pt>
                <c:pt idx="19">
                  <c:v>3.0367999416863636E-3</c:v>
                </c:pt>
                <c:pt idx="20">
                  <c:v>-8.2532785542186141E-2</c:v>
                </c:pt>
                <c:pt idx="21">
                  <c:v>-4.6100000606584653E-2</c:v>
                </c:pt>
                <c:pt idx="22">
                  <c:v>5.8872798339417783E-2</c:v>
                </c:pt>
                <c:pt idx="23">
                  <c:v>-3.6402907378865319E-2</c:v>
                </c:pt>
                <c:pt idx="24">
                  <c:v>-9.7064997148678077E-3</c:v>
                </c:pt>
                <c:pt idx="25">
                  <c:v>-3.0331891557485312E-3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3EE-42CD-B38F-9FC9B427EAF2}"/>
            </c:ext>
          </c:extLst>
        </c:ser>
        <c:ser>
          <c:idx val="11"/>
          <c:order val="11"/>
          <c:tx>
            <c:strRef>
              <c:f>'SATORI H1(RTD UP LOAD DATA)'!$AT$1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DATA)'!$AT$2:$AT$37</c:f>
              <c:numCache>
                <c:formatCode>0.00000</c:formatCode>
                <c:ptCount val="36"/>
                <c:pt idx="0">
                  <c:v>4.5400186030032937E-2</c:v>
                </c:pt>
                <c:pt idx="1">
                  <c:v>0.11640411072802405</c:v>
                </c:pt>
                <c:pt idx="2">
                  <c:v>-2.5491543457534689E-2</c:v>
                </c:pt>
                <c:pt idx="3">
                  <c:v>-4.5974464785227709E-2</c:v>
                </c:pt>
                <c:pt idx="4">
                  <c:v>-1.4953312435617266E-2</c:v>
                </c:pt>
                <c:pt idx="5">
                  <c:v>-0.14102656276788422</c:v>
                </c:pt>
                <c:pt idx="6">
                  <c:v>-3.8711675441321113E-3</c:v>
                </c:pt>
                <c:pt idx="7">
                  <c:v>-9.2269781370335452E-2</c:v>
                </c:pt>
                <c:pt idx="8">
                  <c:v>-2.0991111921296973E-2</c:v>
                </c:pt>
                <c:pt idx="9">
                  <c:v>-5.7968134088575055E-2</c:v>
                </c:pt>
                <c:pt idx="10">
                  <c:v>-6.6244907422808126E-3</c:v>
                </c:pt>
                <c:pt idx="11">
                  <c:v>4.7498066939140778E-2</c:v>
                </c:pt>
                <c:pt idx="12">
                  <c:v>-6.6232475990732412E-2</c:v>
                </c:pt>
                <c:pt idx="13">
                  <c:v>-1.8210614028791611E-2</c:v>
                </c:pt>
                <c:pt idx="14">
                  <c:v>-2.6481151488739217E-2</c:v>
                </c:pt>
                <c:pt idx="15">
                  <c:v>-2.0408388399209117E-2</c:v>
                </c:pt>
                <c:pt idx="16">
                  <c:v>8.8260279564401304E-3</c:v>
                </c:pt>
                <c:pt idx="17">
                  <c:v>-6.725320279596915E-2</c:v>
                </c:pt>
                <c:pt idx="18">
                  <c:v>1.8194749987603502E-2</c:v>
                </c:pt>
                <c:pt idx="19">
                  <c:v>-1.3782001808203239E-2</c:v>
                </c:pt>
                <c:pt idx="20">
                  <c:v>-0.16840761246436817</c:v>
                </c:pt>
                <c:pt idx="21">
                  <c:v>2.2018914247348264E-2</c:v>
                </c:pt>
                <c:pt idx="22">
                  <c:v>2.2023763640966181E-2</c:v>
                </c:pt>
                <c:pt idx="23">
                  <c:v>-1.5414258188827855E-2</c:v>
                </c:pt>
                <c:pt idx="24">
                  <c:v>-5.5020632737270425E-2</c:v>
                </c:pt>
                <c:pt idx="25">
                  <c:v>2.6967380476710608E-2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3EE-42CD-B38F-9FC9B427EAF2}"/>
            </c:ext>
          </c:extLst>
        </c:ser>
        <c:ser>
          <c:idx val="12"/>
          <c:order val="12"/>
          <c:tx>
            <c:strRef>
              <c:f>'SATORI H1(RTD UP LOAD DATA)'!$AU$1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DATA)'!$AU$2:$AU$37</c:f>
              <c:numCache>
                <c:formatCode>0.00000</c:formatCode>
                <c:ptCount val="36"/>
                <c:pt idx="0">
                  <c:v>8.4438712846837734E-3</c:v>
                </c:pt>
                <c:pt idx="1">
                  <c:v>0.14837137431869937</c:v>
                </c:pt>
                <c:pt idx="2">
                  <c:v>3.0760002768396862E-2</c:v>
                </c:pt>
                <c:pt idx="3">
                  <c:v>-4.6137875350971604E-3</c:v>
                </c:pt>
                <c:pt idx="4">
                  <c:v>2.7690390665272249E-2</c:v>
                </c:pt>
                <c:pt idx="5">
                  <c:v>-1.5381184197369661E-2</c:v>
                </c:pt>
                <c:pt idx="6">
                  <c:v>6.1562613025103068E-2</c:v>
                </c:pt>
                <c:pt idx="7">
                  <c:v>0.11556329401613702</c:v>
                </c:pt>
                <c:pt idx="8">
                  <c:v>7.7042789565829304E-4</c:v>
                </c:pt>
                <c:pt idx="9">
                  <c:v>7.7048725614069866E-3</c:v>
                </c:pt>
                <c:pt idx="10">
                  <c:v>-1.5409507666331013E-3</c:v>
                </c:pt>
                <c:pt idx="11">
                  <c:v>-5.0055831504373295E-2</c:v>
                </c:pt>
                <c:pt idx="12">
                  <c:v>2.3103225210390705E-3</c:v>
                </c:pt>
                <c:pt idx="13">
                  <c:v>-3.2334057000330034E-2</c:v>
                </c:pt>
                <c:pt idx="14">
                  <c:v>7.6986442687947099E-4</c:v>
                </c:pt>
                <c:pt idx="15">
                  <c:v>1.5399659667519652E-2</c:v>
                </c:pt>
                <c:pt idx="16">
                  <c:v>-2.6172569607488972E-2</c:v>
                </c:pt>
                <c:pt idx="17">
                  <c:v>5.388760585066551E-3</c:v>
                </c:pt>
                <c:pt idx="18">
                  <c:v>-1.6163668690977094E-2</c:v>
                </c:pt>
                <c:pt idx="19">
                  <c:v>1.3856492921646845E-2</c:v>
                </c:pt>
                <c:pt idx="20">
                  <c:v>6.5476282179668263E-2</c:v>
                </c:pt>
                <c:pt idx="21">
                  <c:v>1.2326466464302396E-2</c:v>
                </c:pt>
                <c:pt idx="22">
                  <c:v>-5.0051206234073276E-2</c:v>
                </c:pt>
                <c:pt idx="23">
                  <c:v>0.18669238187078796</c:v>
                </c:pt>
                <c:pt idx="24">
                  <c:v>9.0341909380107277E-2</c:v>
                </c:pt>
                <c:pt idx="25">
                  <c:v>-4.9393387460251743E-2</c:v>
                </c:pt>
                <c:pt idx="26">
                  <c:v>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3EE-42CD-B38F-9FC9B427EAF2}"/>
            </c:ext>
          </c:extLst>
        </c:ser>
        <c:ser>
          <c:idx val="13"/>
          <c:order val="13"/>
          <c:tx>
            <c:strRef>
              <c:f>'SATORI H1(RTD UP LOAD DATA)'!$AV$1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DATA)'!$AV$2:$AV$37</c:f>
              <c:numCache>
                <c:formatCode>0.00000</c:formatCode>
                <c:ptCount val="36"/>
                <c:pt idx="0">
                  <c:v>1.2937815682695487E-2</c:v>
                </c:pt>
                <c:pt idx="1">
                  <c:v>3.5203246981839985E-2</c:v>
                </c:pt>
                <c:pt idx="2">
                  <c:v>2.5885410465008372E-3</c:v>
                </c:pt>
                <c:pt idx="3">
                  <c:v>-4.2951325281259167E-2</c:v>
                </c:pt>
                <c:pt idx="4">
                  <c:v>8.7980333807738901E-3</c:v>
                </c:pt>
                <c:pt idx="5">
                  <c:v>-4.603908666729039E-2</c:v>
                </c:pt>
                <c:pt idx="6">
                  <c:v>0.10667605692152438</c:v>
                </c:pt>
                <c:pt idx="7">
                  <c:v>-5.7965013973709241E-2</c:v>
                </c:pt>
                <c:pt idx="8">
                  <c:v>8.7990352116687365E-3</c:v>
                </c:pt>
                <c:pt idx="9">
                  <c:v>4.1408939154666509E-3</c:v>
                </c:pt>
                <c:pt idx="10">
                  <c:v>4.142609326049939E-2</c:v>
                </c:pt>
                <c:pt idx="11">
                  <c:v>4.5589477119780751E-2</c:v>
                </c:pt>
                <c:pt idx="12">
                  <c:v>-1.1396070427720889E-2</c:v>
                </c:pt>
                <c:pt idx="13">
                  <c:v>8.0355013634428249E-2</c:v>
                </c:pt>
                <c:pt idx="14">
                  <c:v>-1.0885623201919055E-2</c:v>
                </c:pt>
                <c:pt idx="15">
                  <c:v>3.1102747927752973E-3</c:v>
                </c:pt>
                <c:pt idx="16">
                  <c:v>-2.3839755383386122E-2</c:v>
                </c:pt>
                <c:pt idx="17">
                  <c:v>-2.0729792339210899E-3</c:v>
                </c:pt>
                <c:pt idx="18">
                  <c:v>-4.1442402830523049E-2</c:v>
                </c:pt>
                <c:pt idx="19">
                  <c:v>-2.485926033342669E-2</c:v>
                </c:pt>
                <c:pt idx="20">
                  <c:v>-4.7106813405251448E-2</c:v>
                </c:pt>
                <c:pt idx="21">
                  <c:v>-7.3453341609764994E-2</c:v>
                </c:pt>
                <c:pt idx="22">
                  <c:v>-2.3789083913402818E-2</c:v>
                </c:pt>
                <c:pt idx="23">
                  <c:v>-3.6187679645988589E-2</c:v>
                </c:pt>
                <c:pt idx="24">
                  <c:v>2.5337794164039022E-2</c:v>
                </c:pt>
                <c:pt idx="25">
                  <c:v>-2.1196517567261278E-2</c:v>
                </c:pt>
                <c:pt idx="26">
                  <c:v>-7.2326004298234617E-2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3EE-42CD-B38F-9FC9B427EAF2}"/>
            </c:ext>
          </c:extLst>
        </c:ser>
        <c:ser>
          <c:idx val="14"/>
          <c:order val="14"/>
          <c:tx>
            <c:strRef>
              <c:f>'SATORI H1(RTD UP LOAD DATA)'!$AW$1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DATA)'!$AW$2:$AW$37</c:f>
              <c:numCache>
                <c:formatCode>0.00000</c:formatCode>
                <c:ptCount val="36"/>
                <c:pt idx="0">
                  <c:v>1.2735608762098474E-2</c:v>
                </c:pt>
                <c:pt idx="1">
                  <c:v>0.11002450760489968</c:v>
                </c:pt>
                <c:pt idx="2">
                  <c:v>1.2278920399554704E-2</c:v>
                </c:pt>
                <c:pt idx="3">
                  <c:v>-0.10803211714645887</c:v>
                </c:pt>
                <c:pt idx="4">
                  <c:v>5.0031151471684396E-2</c:v>
                </c:pt>
                <c:pt idx="5">
                  <c:v>-9.2424928323523184E-2</c:v>
                </c:pt>
                <c:pt idx="6">
                  <c:v>5.6589893045054032E-3</c:v>
                </c:pt>
                <c:pt idx="7">
                  <c:v>-1.7916922061380781E-2</c:v>
                </c:pt>
                <c:pt idx="8">
                  <c:v>-1.5557011733776419E-2</c:v>
                </c:pt>
                <c:pt idx="9">
                  <c:v>-6.360184304007209E-2</c:v>
                </c:pt>
                <c:pt idx="10">
                  <c:v>-1.4133543137812622E-3</c:v>
                </c:pt>
                <c:pt idx="11">
                  <c:v>7.921053500115062E-2</c:v>
                </c:pt>
                <c:pt idx="12">
                  <c:v>-8.4796464929586049E-2</c:v>
                </c:pt>
                <c:pt idx="13">
                  <c:v>-2.7315841775352963E-2</c:v>
                </c:pt>
                <c:pt idx="14">
                  <c:v>-2.91911692004946E-2</c:v>
                </c:pt>
                <c:pt idx="15">
                  <c:v>-2.024139034813819E-2</c:v>
                </c:pt>
                <c:pt idx="16">
                  <c:v>-9.4145115281310423E-4</c:v>
                </c:pt>
                <c:pt idx="17">
                  <c:v>-7.3379305154426089E-2</c:v>
                </c:pt>
                <c:pt idx="18">
                  <c:v>-2.1632806621515472E-2</c:v>
                </c:pt>
                <c:pt idx="19">
                  <c:v>-4.1837267133303754E-2</c:v>
                </c:pt>
                <c:pt idx="20">
                  <c:v>-0.13332519611478896</c:v>
                </c:pt>
                <c:pt idx="21">
                  <c:v>-4.6943287814090982E-3</c:v>
                </c:pt>
                <c:pt idx="22">
                  <c:v>-6.0051325116933431E-2</c:v>
                </c:pt>
                <c:pt idx="23">
                  <c:v>-1.8762518117554493E-2</c:v>
                </c:pt>
                <c:pt idx="24">
                  <c:v>-1.6883415327333687E-2</c:v>
                </c:pt>
                <c:pt idx="25">
                  <c:v>8.9114854977258105E-3</c:v>
                </c:pt>
                <c:pt idx="26">
                  <c:v>-7.170945018067075E-2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3EE-42CD-B38F-9FC9B427EAF2}"/>
            </c:ext>
          </c:extLst>
        </c:ser>
        <c:ser>
          <c:idx val="15"/>
          <c:order val="15"/>
          <c:tx>
            <c:strRef>
              <c:f>'SATORI H1(RTD UP LOAD DATA)'!$AX$1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DATA)'!$AX$2:$AX$37</c:f>
              <c:numCache>
                <c:formatCode>0.00000</c:formatCode>
                <c:ptCount val="36"/>
                <c:pt idx="0">
                  <c:v>7.2704728625374138E-2</c:v>
                </c:pt>
                <c:pt idx="1">
                  <c:v>0.19482169579580164</c:v>
                </c:pt>
                <c:pt idx="2">
                  <c:v>5.8198008837061763E-2</c:v>
                </c:pt>
                <c:pt idx="3">
                  <c:v>-3.9536407383149862E-2</c:v>
                </c:pt>
                <c:pt idx="4">
                  <c:v>1.6947046129870243E-2</c:v>
                </c:pt>
                <c:pt idx="5">
                  <c:v>-3.4447123665173926E-2</c:v>
                </c:pt>
                <c:pt idx="6">
                  <c:v>7.3417292596127792E-3</c:v>
                </c:pt>
                <c:pt idx="7">
                  <c:v>3.6722126493604103E-2</c:v>
                </c:pt>
                <c:pt idx="8">
                  <c:v>4.5198506189290189E-3</c:v>
                </c:pt>
                <c:pt idx="9">
                  <c:v>-1.9205675842084546E-2</c:v>
                </c:pt>
                <c:pt idx="10">
                  <c:v>1.9774458179849966E-2</c:v>
                </c:pt>
                <c:pt idx="11">
                  <c:v>-5.6498132737083182E-4</c:v>
                </c:pt>
                <c:pt idx="12">
                  <c:v>-2.7676423076481788E-2</c:v>
                </c:pt>
                <c:pt idx="13">
                  <c:v>-8.471656660704192E-3</c:v>
                </c:pt>
                <c:pt idx="14">
                  <c:v>-1.0729613733900637E-2</c:v>
                </c:pt>
                <c:pt idx="15">
                  <c:v>7.9066562750629149E-3</c:v>
                </c:pt>
                <c:pt idx="16">
                  <c:v>-1.9762734258986257E-2</c:v>
                </c:pt>
                <c:pt idx="17">
                  <c:v>-1.4678733338222122E-2</c:v>
                </c:pt>
                <c:pt idx="18">
                  <c:v>5.6456985421922629E-4</c:v>
                </c:pt>
                <c:pt idx="19">
                  <c:v>-4.1760722347627705E-2</c:v>
                </c:pt>
                <c:pt idx="20">
                  <c:v>6.77246766147369E-3</c:v>
                </c:pt>
                <c:pt idx="21">
                  <c:v>-5.9223996435279196E-2</c:v>
                </c:pt>
                <c:pt idx="22">
                  <c:v>5.5870966285530226E-2</c:v>
                </c:pt>
                <c:pt idx="23">
                  <c:v>6.0422278315185554E-2</c:v>
                </c:pt>
                <c:pt idx="24">
                  <c:v>1.3554497551719896E-2</c:v>
                </c:pt>
                <c:pt idx="25">
                  <c:v>-6.8290590572520959E-2</c:v>
                </c:pt>
                <c:pt idx="26">
                  <c:v>-1.1287573510271117E-3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3EE-42CD-B38F-9FC9B427EAF2}"/>
            </c:ext>
          </c:extLst>
        </c:ser>
        <c:ser>
          <c:idx val="16"/>
          <c:order val="16"/>
          <c:tx>
            <c:strRef>
              <c:f>'SATORI H1(RTD UP LOAD DATA)'!$AY$1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DATA)'!$AY$2:$AY$37</c:f>
              <c:numCache>
                <c:formatCode>0.00000</c:formatCode>
                <c:ptCount val="36"/>
                <c:pt idx="0">
                  <c:v>-6.0759855605991453E-2</c:v>
                </c:pt>
                <c:pt idx="1">
                  <c:v>0.10196597556393613</c:v>
                </c:pt>
                <c:pt idx="2">
                  <c:v>2.5945442996083447E-2</c:v>
                </c:pt>
                <c:pt idx="3">
                  <c:v>-6.2587734592253863E-2</c:v>
                </c:pt>
                <c:pt idx="4">
                  <c:v>2.3252278276105327E-2</c:v>
                </c:pt>
                <c:pt idx="5">
                  <c:v>8.2345043633925433E-2</c:v>
                </c:pt>
                <c:pt idx="6">
                  <c:v>-0.20454829662181817</c:v>
                </c:pt>
                <c:pt idx="7">
                  <c:v>6.4353515310778681E-2</c:v>
                </c:pt>
                <c:pt idx="8">
                  <c:v>-8.0435423760754233E-3</c:v>
                </c:pt>
                <c:pt idx="9">
                  <c:v>-3.574779927594438E-3</c:v>
                </c:pt>
                <c:pt idx="10">
                  <c:v>1.8771117507179632E-2</c:v>
                </c:pt>
                <c:pt idx="11">
                  <c:v>2.8611791634636181E-2</c:v>
                </c:pt>
                <c:pt idx="12">
                  <c:v>-6.9692637598284757E-2</c:v>
                </c:pt>
                <c:pt idx="13">
                  <c:v>-0.11067080789690922</c:v>
                </c:pt>
                <c:pt idx="14">
                  <c:v>2.6775912389390079E-3</c:v>
                </c:pt>
                <c:pt idx="15">
                  <c:v>4.0180006428786691E-2</c:v>
                </c:pt>
                <c:pt idx="16">
                  <c:v>-8.4752567110651739E-2</c:v>
                </c:pt>
                <c:pt idx="17">
                  <c:v>3.1234382808602169E-2</c:v>
                </c:pt>
                <c:pt idx="18">
                  <c:v>-1.8737118231219919E-2</c:v>
                </c:pt>
                <c:pt idx="19">
                  <c:v>1.7848059469732187E-2</c:v>
                </c:pt>
                <c:pt idx="20">
                  <c:v>1.8743975150848254E-2</c:v>
                </c:pt>
                <c:pt idx="21">
                  <c:v>2.1426275756170586E-2</c:v>
                </c:pt>
                <c:pt idx="22">
                  <c:v>-0.10523499509497537</c:v>
                </c:pt>
                <c:pt idx="23">
                  <c:v>2.5869528371727409E-2</c:v>
                </c:pt>
                <c:pt idx="24">
                  <c:v>2.5876222428449881E-2</c:v>
                </c:pt>
                <c:pt idx="25">
                  <c:v>0.11165998195574454</c:v>
                </c:pt>
                <c:pt idx="26">
                  <c:v>-9.0139940025699292E-2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3EE-42CD-B38F-9FC9B427EAF2}"/>
            </c:ext>
          </c:extLst>
        </c:ser>
        <c:ser>
          <c:idx val="17"/>
          <c:order val="17"/>
          <c:tx>
            <c:strRef>
              <c:f>'SATORI H1(RTD UP LOAD DATA)'!$AZ$1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DATA)'!$AZ$2:$AZ$37</c:f>
              <c:numCache>
                <c:formatCode>0.00000</c:formatCode>
                <c:ptCount val="36"/>
                <c:pt idx="0">
                  <c:v>1.0503374208970004E-2</c:v>
                </c:pt>
                <c:pt idx="1">
                  <c:v>9.9792012437264748E-3</c:v>
                </c:pt>
                <c:pt idx="2">
                  <c:v>-2.205442191159411E-2</c:v>
                </c:pt>
                <c:pt idx="3">
                  <c:v>-2.5198702266834214E-2</c:v>
                </c:pt>
                <c:pt idx="4">
                  <c:v>-1.5748940883800768E-3</c:v>
                </c:pt>
                <c:pt idx="5">
                  <c:v>-4.0930486390614827E-2</c:v>
                </c:pt>
                <c:pt idx="6">
                  <c:v>-0.27160545513538692</c:v>
                </c:pt>
                <c:pt idx="7">
                  <c:v>-4.7077038958852048E-2</c:v>
                </c:pt>
                <c:pt idx="8">
                  <c:v>0.24382442543952629</c:v>
                </c:pt>
                <c:pt idx="9">
                  <c:v>-8.8537300922036211E-2</c:v>
                </c:pt>
                <c:pt idx="10">
                  <c:v>4.4550433711579428E-2</c:v>
                </c:pt>
                <c:pt idx="11">
                  <c:v>0.40203966721218198</c:v>
                </c:pt>
                <c:pt idx="12">
                  <c:v>5.9499362882928182E-2</c:v>
                </c:pt>
                <c:pt idx="13">
                  <c:v>-0.34108559674237315</c:v>
                </c:pt>
                <c:pt idx="14">
                  <c:v>5.4078177092908741E-2</c:v>
                </c:pt>
                <c:pt idx="15">
                  <c:v>6.6197678878214539E-2</c:v>
                </c:pt>
                <c:pt idx="16">
                  <c:v>-5.5659114179944104E-2</c:v>
                </c:pt>
                <c:pt idx="17">
                  <c:v>-1.7324835414071683E-2</c:v>
                </c:pt>
                <c:pt idx="18">
                  <c:v>-2.9391079807269661E-2</c:v>
                </c:pt>
                <c:pt idx="19">
                  <c:v>9.1931560892830361E-2</c:v>
                </c:pt>
                <c:pt idx="20">
                  <c:v>9.2542445959952341E-2</c:v>
                </c:pt>
                <c:pt idx="21">
                  <c:v>6.4189917973695637E-2</c:v>
                </c:pt>
                <c:pt idx="22">
                  <c:v>-8.9436967981543925E-3</c:v>
                </c:pt>
                <c:pt idx="23">
                  <c:v>0.16546868742226814</c:v>
                </c:pt>
                <c:pt idx="24">
                  <c:v>0.21229180088931002</c:v>
                </c:pt>
                <c:pt idx="25">
                  <c:v>7.2400581318536383E-2</c:v>
                </c:pt>
                <c:pt idx="26">
                  <c:v>-0.15407588765124058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3EE-42CD-B38F-9FC9B427EAF2}"/>
            </c:ext>
          </c:extLst>
        </c:ser>
        <c:ser>
          <c:idx val="18"/>
          <c:order val="18"/>
          <c:tx>
            <c:strRef>
              <c:f>'SATORI H1(RTD UP LOAD DATA)'!$BA$1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DATA)'!$BA$2:$BA$37</c:f>
              <c:numCache>
                <c:formatCode>0.00000</c:formatCode>
                <c:ptCount val="36"/>
                <c:pt idx="0">
                  <c:v>-5.5671847859923539E-3</c:v>
                </c:pt>
                <c:pt idx="1">
                  <c:v>-9.5663974726911086E-2</c:v>
                </c:pt>
                <c:pt idx="2">
                  <c:v>-3.4471638737232607E-2</c:v>
                </c:pt>
                <c:pt idx="3">
                  <c:v>7.5672427415672913E-2</c:v>
                </c:pt>
                <c:pt idx="4">
                  <c:v>-5.0052276822460905E-2</c:v>
                </c:pt>
                <c:pt idx="5">
                  <c:v>5.119074115291173E-2</c:v>
                </c:pt>
                <c:pt idx="6">
                  <c:v>-0.27633199791363267</c:v>
                </c:pt>
                <c:pt idx="7">
                  <c:v>-2.9954735067010987E-2</c:v>
                </c:pt>
                <c:pt idx="8">
                  <c:v>0.26362918386188361</c:v>
                </c:pt>
                <c:pt idx="9">
                  <c:v>-3.0024686964838891E-2</c:v>
                </c:pt>
                <c:pt idx="10">
                  <c:v>4.6726892439145559E-2</c:v>
                </c:pt>
                <c:pt idx="11">
                  <c:v>0.32816162518137842</c:v>
                </c:pt>
                <c:pt idx="12">
                  <c:v>0.14307750776866168</c:v>
                </c:pt>
                <c:pt idx="13">
                  <c:v>-0.31867005392877984</c:v>
                </c:pt>
                <c:pt idx="14">
                  <c:v>8.363721521528536E-2</c:v>
                </c:pt>
                <c:pt idx="15">
                  <c:v>0.14630006030689535</c:v>
                </c:pt>
                <c:pt idx="16">
                  <c:v>-8.7034144164252342E-2</c:v>
                </c:pt>
                <c:pt idx="17">
                  <c:v>4.1302479265045981E-2</c:v>
                </c:pt>
                <c:pt idx="18">
                  <c:v>-1.3393604553826056E-2</c:v>
                </c:pt>
                <c:pt idx="19">
                  <c:v>0.12628238081401796</c:v>
                </c:pt>
                <c:pt idx="20">
                  <c:v>0.23299056836256737</c:v>
                </c:pt>
                <c:pt idx="21">
                  <c:v>6.949737703447699E-2</c:v>
                </c:pt>
                <c:pt idx="22">
                  <c:v>4.3735211330785638E-2</c:v>
                </c:pt>
                <c:pt idx="23">
                  <c:v>0.19213051392104277</c:v>
                </c:pt>
                <c:pt idx="24">
                  <c:v>0.22296292959775832</c:v>
                </c:pt>
                <c:pt idx="25">
                  <c:v>6.1972529267943104E-2</c:v>
                </c:pt>
                <c:pt idx="26">
                  <c:v>-8.218684560132343E-2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3EE-42CD-B38F-9FC9B427EAF2}"/>
            </c:ext>
          </c:extLst>
        </c:ser>
        <c:ser>
          <c:idx val="19"/>
          <c:order val="19"/>
          <c:tx>
            <c:strRef>
              <c:f>'SATORI H1(RTD UP LOAD DATA)'!$BB$1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DATA)'!$BB$2:$BB$37</c:f>
              <c:numCache>
                <c:formatCode>0.00000</c:formatCode>
                <c:ptCount val="36"/>
                <c:pt idx="0">
                  <c:v>-7.5777668321137415E-2</c:v>
                </c:pt>
                <c:pt idx="1">
                  <c:v>-5.6830021405926412E-3</c:v>
                </c:pt>
                <c:pt idx="2">
                  <c:v>1.326209692698543E-2</c:v>
                </c:pt>
                <c:pt idx="3">
                  <c:v>3.9802126570749691E-2</c:v>
                </c:pt>
                <c:pt idx="4">
                  <c:v>-2.6527711984846797E-2</c:v>
                </c:pt>
                <c:pt idx="5">
                  <c:v>0.17462938708882028</c:v>
                </c:pt>
                <c:pt idx="6">
                  <c:v>-0.20836095694504761</c:v>
                </c:pt>
                <c:pt idx="7">
                  <c:v>8.1516587677732982E-2</c:v>
                </c:pt>
                <c:pt idx="8">
                  <c:v>1.1375701501582925E-2</c:v>
                </c:pt>
                <c:pt idx="9">
                  <c:v>5.5012804704545663E-2</c:v>
                </c:pt>
                <c:pt idx="10">
                  <c:v>2.0871281117193097E-2</c:v>
                </c:pt>
                <c:pt idx="11">
                  <c:v>-4.5516613563954256E-2</c:v>
                </c:pt>
                <c:pt idx="12">
                  <c:v>1.5174506828522189E-2</c:v>
                </c:pt>
                <c:pt idx="13">
                  <c:v>-8.9070820778132248E-2</c:v>
                </c:pt>
                <c:pt idx="14">
                  <c:v>3.2227488151659427E-2</c:v>
                </c:pt>
                <c:pt idx="15">
                  <c:v>0.12147439547507383</c:v>
                </c:pt>
                <c:pt idx="16">
                  <c:v>-0.12132701421800454</c:v>
                </c:pt>
                <c:pt idx="17">
                  <c:v>9.297736285838798E-2</c:v>
                </c:pt>
                <c:pt idx="18">
                  <c:v>0</c:v>
                </c:pt>
                <c:pt idx="19">
                  <c:v>5.1258685499485986E-2</c:v>
                </c:pt>
                <c:pt idx="20">
                  <c:v>0.1578216805156771</c:v>
                </c:pt>
                <c:pt idx="21">
                  <c:v>2.6627612834514904E-2</c:v>
                </c:pt>
                <c:pt idx="22">
                  <c:v>-5.1326895293132176E-2</c:v>
                </c:pt>
                <c:pt idx="23">
                  <c:v>5.1353253323695246E-2</c:v>
                </c:pt>
                <c:pt idx="24">
                  <c:v>3.6150538452740293E-2</c:v>
                </c:pt>
                <c:pt idx="25">
                  <c:v>0.10284930671950633</c:v>
                </c:pt>
                <c:pt idx="26">
                  <c:v>-1.9042541036694977E-2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3EE-42CD-B38F-9FC9B427EAF2}"/>
            </c:ext>
          </c:extLst>
        </c:ser>
        <c:ser>
          <c:idx val="20"/>
          <c:order val="20"/>
          <c:tx>
            <c:strRef>
              <c:f>'SATORI H1(RTD UP LOAD DATA)'!$BC$1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DATA)'!$BC$2:$BC$37</c:f>
              <c:numCache>
                <c:formatCode>0.00000</c:formatCode>
                <c:ptCount val="36"/>
                <c:pt idx="0">
                  <c:v>-6.5100987907556604E-3</c:v>
                </c:pt>
                <c:pt idx="1">
                  <c:v>4.3962485345836987E-2</c:v>
                </c:pt>
                <c:pt idx="2">
                  <c:v>1.4656309541263129E-2</c:v>
                </c:pt>
                <c:pt idx="3">
                  <c:v>9.6172654365257126E-2</c:v>
                </c:pt>
                <c:pt idx="4">
                  <c:v>-1.9556714471970174E-2</c:v>
                </c:pt>
                <c:pt idx="5">
                  <c:v>7.6655847862619919E-2</c:v>
                </c:pt>
                <c:pt idx="6">
                  <c:v>5.548393413730756E-2</c:v>
                </c:pt>
                <c:pt idx="7">
                  <c:v>0.13235726657733543</c:v>
                </c:pt>
                <c:pt idx="8">
                  <c:v>2.1247037672626212E-2</c:v>
                </c:pt>
                <c:pt idx="9">
                  <c:v>6.7054821405210893E-2</c:v>
                </c:pt>
                <c:pt idx="10">
                  <c:v>0</c:v>
                </c:pt>
                <c:pt idx="11">
                  <c:v>-0.12251098515167325</c:v>
                </c:pt>
                <c:pt idx="12">
                  <c:v>8.5013160691216658E-2</c:v>
                </c:pt>
                <c:pt idx="13">
                  <c:v>-9.8082487371796354E-3</c:v>
                </c:pt>
                <c:pt idx="14">
                  <c:v>2.9433406916843752E-2</c:v>
                </c:pt>
                <c:pt idx="15">
                  <c:v>9.6569333507936769E-2</c:v>
                </c:pt>
                <c:pt idx="16">
                  <c:v>-7.3600366366278189E-2</c:v>
                </c:pt>
                <c:pt idx="17">
                  <c:v>6.7103109656304658E-2</c:v>
                </c:pt>
                <c:pt idx="18">
                  <c:v>1.3095004255871305E-2</c:v>
                </c:pt>
                <c:pt idx="19">
                  <c:v>4.7491934559391526E-2</c:v>
                </c:pt>
                <c:pt idx="20">
                  <c:v>0.20512652203878914</c:v>
                </c:pt>
                <c:pt idx="21">
                  <c:v>1.641281512604861E-2</c:v>
                </c:pt>
                <c:pt idx="22">
                  <c:v>4.9240869922175653E-3</c:v>
                </c:pt>
                <c:pt idx="23">
                  <c:v>0.21383337445513081</c:v>
                </c:pt>
                <c:pt idx="24">
                  <c:v>0.10043797543385903</c:v>
                </c:pt>
                <c:pt idx="25">
                  <c:v>-5.9239756458783439E-2</c:v>
                </c:pt>
                <c:pt idx="26">
                  <c:v>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3EE-42CD-B38F-9FC9B427EAF2}"/>
            </c:ext>
          </c:extLst>
        </c:ser>
        <c:ser>
          <c:idx val="21"/>
          <c:order val="21"/>
          <c:tx>
            <c:strRef>
              <c:f>'SATORI H1(RTD UP LOAD DATA)'!$BD$1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DATA)'!$BD$2:$BD$37</c:f>
              <c:numCache>
                <c:formatCode>0.00000</c:formatCode>
                <c:ptCount val="36"/>
                <c:pt idx="0">
                  <c:v>5.6162321057282034E-2</c:v>
                </c:pt>
                <c:pt idx="1">
                  <c:v>8.8504042481949236E-2</c:v>
                </c:pt>
                <c:pt idx="2">
                  <c:v>4.5468686433572152E-2</c:v>
                </c:pt>
                <c:pt idx="3">
                  <c:v>6.2259045520949685E-2</c:v>
                </c:pt>
                <c:pt idx="4">
                  <c:v>-3.3512866546984793E-2</c:v>
                </c:pt>
                <c:pt idx="5">
                  <c:v>5.8681931952909598E-2</c:v>
                </c:pt>
                <c:pt idx="6">
                  <c:v>3.5929004287497293E-3</c:v>
                </c:pt>
                <c:pt idx="7">
                  <c:v>5.1524773830212867E-2</c:v>
                </c:pt>
                <c:pt idx="8">
                  <c:v>2.6368463317871581E-2</c:v>
                </c:pt>
                <c:pt idx="9">
                  <c:v>3.9568345323747298E-2</c:v>
                </c:pt>
                <c:pt idx="10">
                  <c:v>2.1587392962504854E-2</c:v>
                </c:pt>
                <c:pt idx="11">
                  <c:v>-7.4301327836627434E-2</c:v>
                </c:pt>
                <c:pt idx="12">
                  <c:v>5.6356943295318832E-2</c:v>
                </c:pt>
                <c:pt idx="13">
                  <c:v>1.3191662869059971E-2</c:v>
                </c:pt>
                <c:pt idx="14">
                  <c:v>1.9191555715491065E-2</c:v>
                </c:pt>
                <c:pt idx="15">
                  <c:v>8.7638210259674235E-2</c:v>
                </c:pt>
                <c:pt idx="16">
                  <c:v>-6.4786265311752106E-2</c:v>
                </c:pt>
                <c:pt idx="17">
                  <c:v>4.6811983867870353E-2</c:v>
                </c:pt>
                <c:pt idx="18">
                  <c:v>2.7614691015614604E-2</c:v>
                </c:pt>
                <c:pt idx="19">
                  <c:v>-7.2033135242150171E-3</c:v>
                </c:pt>
                <c:pt idx="20">
                  <c:v>0.14668221658470884</c:v>
                </c:pt>
                <c:pt idx="21">
                  <c:v>-5.40748395779833E-2</c:v>
                </c:pt>
                <c:pt idx="22">
                  <c:v>0.10826676931960494</c:v>
                </c:pt>
                <c:pt idx="23">
                  <c:v>8.5483463163849929E-2</c:v>
                </c:pt>
                <c:pt idx="24">
                  <c:v>2.6494851568615398E-2</c:v>
                </c:pt>
                <c:pt idx="25">
                  <c:v>-7.8219013237055171E-2</c:v>
                </c:pt>
                <c:pt idx="26">
                  <c:v>6.9844175236616873E-2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3EE-42CD-B38F-9FC9B427EAF2}"/>
            </c:ext>
          </c:extLst>
        </c:ser>
        <c:ser>
          <c:idx val="22"/>
          <c:order val="22"/>
          <c:tx>
            <c:strRef>
              <c:f>'SATORI H1(RTD UP LOAD DATA)'!$BE$1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DATA)'!$BE$2:$BE$37</c:f>
              <c:numCache>
                <c:formatCode>0.00000</c:formatCode>
                <c:ptCount val="36"/>
                <c:pt idx="0">
                  <c:v>-6.1500041931835864E-2</c:v>
                </c:pt>
                <c:pt idx="1">
                  <c:v>-0.18508873097958653</c:v>
                </c:pt>
                <c:pt idx="2">
                  <c:v>-8.0852764328121982E-2</c:v>
                </c:pt>
                <c:pt idx="3">
                  <c:v>1.4871685240773636E-2</c:v>
                </c:pt>
                <c:pt idx="4">
                  <c:v>-1.6727847218996034E-2</c:v>
                </c:pt>
                <c:pt idx="5">
                  <c:v>-5.5756381782533634E-3</c:v>
                </c:pt>
                <c:pt idx="6">
                  <c:v>-0.27985506843475066</c:v>
                </c:pt>
                <c:pt idx="7">
                  <c:v>-8.5181241609183611E-2</c:v>
                </c:pt>
                <c:pt idx="8">
                  <c:v>0.2385195084827475</c:v>
                </c:pt>
                <c:pt idx="9">
                  <c:v>-6.9558443003801262E-2</c:v>
                </c:pt>
                <c:pt idx="10">
                  <c:v>2.7831120759220843E-2</c:v>
                </c:pt>
                <c:pt idx="11">
                  <c:v>0.40051041792797037</c:v>
                </c:pt>
                <c:pt idx="12">
                  <c:v>8.7630163420926901E-2</c:v>
                </c:pt>
                <c:pt idx="13">
                  <c:v>-0.33263028793889071</c:v>
                </c:pt>
                <c:pt idx="14">
                  <c:v>6.6942494537667721E-2</c:v>
                </c:pt>
                <c:pt idx="15">
                  <c:v>7.5367065522826973E-2</c:v>
                </c:pt>
                <c:pt idx="16">
                  <c:v>-4.6501246233396409E-2</c:v>
                </c:pt>
                <c:pt idx="17">
                  <c:v>-1.1159053712245624E-2</c:v>
                </c:pt>
                <c:pt idx="18">
                  <c:v>-3.0677983433890107E-2</c:v>
                </c:pt>
                <c:pt idx="19">
                  <c:v>0.13404700954154569</c:v>
                </c:pt>
                <c:pt idx="20">
                  <c:v>8.5714551908545142E-2</c:v>
                </c:pt>
                <c:pt idx="21">
                  <c:v>0.12406716417910034</c:v>
                </c:pt>
                <c:pt idx="22">
                  <c:v>-6.5255896336341171E-2</c:v>
                </c:pt>
                <c:pt idx="23">
                  <c:v>0.10638694986747368</c:v>
                </c:pt>
                <c:pt idx="24">
                  <c:v>0.19729767637571904</c:v>
                </c:pt>
                <c:pt idx="25">
                  <c:v>0.14045601385831871</c:v>
                </c:pt>
                <c:pt idx="26">
                  <c:v>-0.15239626769385806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3EE-42CD-B38F-9FC9B427EAF2}"/>
            </c:ext>
          </c:extLst>
        </c:ser>
        <c:ser>
          <c:idx val="23"/>
          <c:order val="23"/>
          <c:tx>
            <c:strRef>
              <c:f>'SATORI H1(RTD UP LOAD DATA)'!$BF$1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DATA)'!$BF$2:$BF$37</c:f>
              <c:numCache>
                <c:formatCode>0.00000</c:formatCode>
                <c:ptCount val="36"/>
                <c:pt idx="0">
                  <c:v>-0.13159146399467253</c:v>
                </c:pt>
                <c:pt idx="1">
                  <c:v>-9.5035955269750838E-2</c:v>
                </c:pt>
                <c:pt idx="2">
                  <c:v>-3.3251524028173933E-2</c:v>
                </c:pt>
                <c:pt idx="3">
                  <c:v>-2.2162769712996723E-2</c:v>
                </c:pt>
                <c:pt idx="4">
                  <c:v>7.9159014628577187E-3</c:v>
                </c:pt>
                <c:pt idx="5">
                  <c:v>0.11729275637976905</c:v>
                </c:pt>
                <c:pt idx="6">
                  <c:v>-0.2119448310768075</c:v>
                </c:pt>
                <c:pt idx="7">
                  <c:v>2.5313251487161278E-2</c:v>
                </c:pt>
                <c:pt idx="8">
                  <c:v>-1.265502404455834E-2</c:v>
                </c:pt>
                <c:pt idx="9">
                  <c:v>1.5821282789624407E-2</c:v>
                </c:pt>
                <c:pt idx="10">
                  <c:v>1.5821533106486021E-3</c:v>
                </c:pt>
                <c:pt idx="11">
                  <c:v>2.6903842501741389E-2</c:v>
                </c:pt>
                <c:pt idx="12">
                  <c:v>-4.2711381792294945E-2</c:v>
                </c:pt>
                <c:pt idx="13">
                  <c:v>-0.10113939853663521</c:v>
                </c:pt>
                <c:pt idx="14">
                  <c:v>1.5805528773963393E-2</c:v>
                </c:pt>
                <c:pt idx="15">
                  <c:v>5.0603286050885869E-2</c:v>
                </c:pt>
                <c:pt idx="16">
                  <c:v>-7.7426287014504075E-2</c:v>
                </c:pt>
                <c:pt idx="17">
                  <c:v>3.7937466409537796E-2</c:v>
                </c:pt>
                <c:pt idx="18">
                  <c:v>-2.0545239035965942E-2</c:v>
                </c:pt>
                <c:pt idx="19">
                  <c:v>6.0091402185436842E-2</c:v>
                </c:pt>
                <c:pt idx="20">
                  <c:v>1.2652422148060064E-2</c:v>
                </c:pt>
                <c:pt idx="21">
                  <c:v>8.2308435031730673E-2</c:v>
                </c:pt>
                <c:pt idx="22">
                  <c:v>-0.16276864728191773</c:v>
                </c:pt>
                <c:pt idx="23">
                  <c:v>-3.4754036207386492E-2</c:v>
                </c:pt>
                <c:pt idx="24">
                  <c:v>1.1059325381154039E-2</c:v>
                </c:pt>
                <c:pt idx="25">
                  <c:v>0.18201962646406841</c:v>
                </c:pt>
                <c:pt idx="26">
                  <c:v>-8.8557150989943212E-2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3EE-42CD-B38F-9FC9B427EAF2}"/>
            </c:ext>
          </c:extLst>
        </c:ser>
        <c:ser>
          <c:idx val="24"/>
          <c:order val="24"/>
          <c:tx>
            <c:strRef>
              <c:f>'SATORI H1(RTD UP LOAD DATA)'!$BG$1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DATA)'!$BG$2:$BG$37</c:f>
              <c:numCache>
                <c:formatCode>0.00000</c:formatCode>
                <c:ptCount val="36"/>
                <c:pt idx="0">
                  <c:v>6.9944044764188515E-2</c:v>
                </c:pt>
                <c:pt idx="1">
                  <c:v>-8.8673827127150315E-2</c:v>
                </c:pt>
                <c:pt idx="2">
                  <c:v>-5.2824031412692679E-2</c:v>
                </c:pt>
                <c:pt idx="3">
                  <c:v>3.6403135366827245E-2</c:v>
                </c:pt>
                <c:pt idx="4">
                  <c:v>-2.4067247411301521E-2</c:v>
                </c:pt>
                <c:pt idx="5">
                  <c:v>-0.12311949626537995</c:v>
                </c:pt>
                <c:pt idx="6">
                  <c:v>-6.7377153871848117E-2</c:v>
                </c:pt>
                <c:pt idx="7">
                  <c:v>-0.11119499505474757</c:v>
                </c:pt>
                <c:pt idx="8">
                  <c:v>0.25111034187382131</c:v>
                </c:pt>
                <c:pt idx="9">
                  <c:v>-8.5000117241530365E-2</c:v>
                </c:pt>
                <c:pt idx="10">
                  <c:v>3.2838411559110998E-2</c:v>
                </c:pt>
                <c:pt idx="11">
                  <c:v>0.36666686285012501</c:v>
                </c:pt>
                <c:pt idx="12">
                  <c:v>0.1308291147819102</c:v>
                </c:pt>
                <c:pt idx="13">
                  <c:v>-0.22989451898540147</c:v>
                </c:pt>
                <c:pt idx="14">
                  <c:v>4.8824965440159067E-2</c:v>
                </c:pt>
                <c:pt idx="15">
                  <c:v>0.13135263765521593</c:v>
                </c:pt>
                <c:pt idx="16">
                  <c:v>-6.8280278771904943E-2</c:v>
                </c:pt>
                <c:pt idx="17">
                  <c:v>-5.7063858575761628E-2</c:v>
                </c:pt>
                <c:pt idx="18">
                  <c:v>-4.7060761325356665E-3</c:v>
                </c:pt>
                <c:pt idx="19">
                  <c:v>7.3586549556125938E-2</c:v>
                </c:pt>
                <c:pt idx="20">
                  <c:v>6.8924483508191539E-2</c:v>
                </c:pt>
                <c:pt idx="21">
                  <c:v>4.4791513186971207E-2</c:v>
                </c:pt>
                <c:pt idx="22">
                  <c:v>9.3205991139540853E-2</c:v>
                </c:pt>
                <c:pt idx="23">
                  <c:v>0.14118786847670953</c:v>
                </c:pt>
                <c:pt idx="24">
                  <c:v>0.18643134887519619</c:v>
                </c:pt>
                <c:pt idx="25">
                  <c:v>-3.3723819666321361E-2</c:v>
                </c:pt>
                <c:pt idx="26">
                  <c:v>-6.9765516915178724E-2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3EE-42CD-B38F-9FC9B427EAF2}"/>
            </c:ext>
          </c:extLst>
        </c:ser>
        <c:ser>
          <c:idx val="25"/>
          <c:order val="25"/>
          <c:tx>
            <c:strRef>
              <c:f>'SATORI H1(RTD UP LOAD DATA)'!$BH$1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DATA)'!$BH$2:$BH$37</c:f>
              <c:numCache>
                <c:formatCode>0.00000</c:formatCode>
                <c:ptCount val="36"/>
                <c:pt idx="0">
                  <c:v>6.3139192552518084E-2</c:v>
                </c:pt>
                <c:pt idx="1">
                  <c:v>4.4070012559948725E-2</c:v>
                </c:pt>
                <c:pt idx="2">
                  <c:v>3.0858528342078903E-2</c:v>
                </c:pt>
                <c:pt idx="3">
                  <c:v>-3.3786016995828526E-2</c:v>
                </c:pt>
                <c:pt idx="4">
                  <c:v>-1.3218867730545791E-2</c:v>
                </c:pt>
                <c:pt idx="5">
                  <c:v>-1.9824370759786811E-2</c:v>
                </c:pt>
                <c:pt idx="6">
                  <c:v>-5.2837056388868403E-2</c:v>
                </c:pt>
                <c:pt idx="7">
                  <c:v>-7.6994713029721232E-2</c:v>
                </c:pt>
                <c:pt idx="8">
                  <c:v>3.6665493370956173E-3</c:v>
                </c:pt>
                <c:pt idx="9">
                  <c:v>-2.7125105384698617E-2</c:v>
                </c:pt>
                <c:pt idx="10">
                  <c:v>1.9797914619659511E-2</c:v>
                </c:pt>
                <c:pt idx="11">
                  <c:v>5.0620281859604245E-2</c:v>
                </c:pt>
                <c:pt idx="12">
                  <c:v>-2.9336482115760142E-2</c:v>
                </c:pt>
                <c:pt idx="13">
                  <c:v>2.1273474178412816E-2</c:v>
                </c:pt>
                <c:pt idx="14">
                  <c:v>-9.5354756368570687E-3</c:v>
                </c:pt>
                <c:pt idx="15">
                  <c:v>-5.1342232653670602E-3</c:v>
                </c:pt>
                <c:pt idx="16">
                  <c:v>4.4009564745367252E-3</c:v>
                </c:pt>
                <c:pt idx="17">
                  <c:v>-2.1266765911567027E-2</c:v>
                </c:pt>
                <c:pt idx="18">
                  <c:v>1.6869590729056218E-2</c:v>
                </c:pt>
                <c:pt idx="19">
                  <c:v>-5.4246631577401366E-2</c:v>
                </c:pt>
                <c:pt idx="20">
                  <c:v>-5.8610634899712362E-2</c:v>
                </c:pt>
                <c:pt idx="21">
                  <c:v>-7.3209657818051305E-2</c:v>
                </c:pt>
                <c:pt idx="22">
                  <c:v>0.1070004690431532</c:v>
                </c:pt>
                <c:pt idx="23">
                  <c:v>-0.12882070500058437</c:v>
                </c:pt>
                <c:pt idx="24">
                  <c:v>-7.387090875846973E-2</c:v>
                </c:pt>
                <c:pt idx="25">
                  <c:v>-2.1205961068773233E-2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3EE-42CD-B38F-9FC9B427EAF2}"/>
            </c:ext>
          </c:extLst>
        </c:ser>
        <c:ser>
          <c:idx val="26"/>
          <c:order val="26"/>
          <c:tx>
            <c:strRef>
              <c:f>'SATORI H1(RTD UP LOAD DATA)'!$BI$1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DATA)'!$BI$2:$BI$37</c:f>
              <c:numCache>
                <c:formatCode>0.00000</c:formatCode>
                <c:ptCount val="36"/>
                <c:pt idx="0">
                  <c:v>-6.8674123822934766E-2</c:v>
                </c:pt>
                <c:pt idx="1">
                  <c:v>-5.0025594490209116E-2</c:v>
                </c:pt>
                <c:pt idx="2">
                  <c:v>1.1633994531969622E-3</c:v>
                </c:pt>
                <c:pt idx="3">
                  <c:v>-5.5812006557902041E-2</c:v>
                </c:pt>
                <c:pt idx="4">
                  <c:v>-8.1385885362184052E-3</c:v>
                </c:pt>
                <c:pt idx="5">
                  <c:v>9.8923479778878956E-2</c:v>
                </c:pt>
                <c:pt idx="6">
                  <c:v>-0.26464545633931025</c:v>
                </c:pt>
                <c:pt idx="7">
                  <c:v>-5.2205387595994163E-2</c:v>
                </c:pt>
                <c:pt idx="8">
                  <c:v>-6.9602338638647858E-3</c:v>
                </c:pt>
                <c:pt idx="9">
                  <c:v>-1.1599044238753449E-2</c:v>
                </c:pt>
                <c:pt idx="10">
                  <c:v>1.624129930394768E-2</c:v>
                </c:pt>
                <c:pt idx="11">
                  <c:v>8.2434487803177608E-2</c:v>
                </c:pt>
                <c:pt idx="12">
                  <c:v>-7.193326449396735E-2</c:v>
                </c:pt>
                <c:pt idx="13">
                  <c:v>-7.8832353725409976E-2</c:v>
                </c:pt>
                <c:pt idx="14">
                  <c:v>2.3186523992278891E-3</c:v>
                </c:pt>
                <c:pt idx="15">
                  <c:v>2.5511683191279409E-2</c:v>
                </c:pt>
                <c:pt idx="16">
                  <c:v>-6.1422213981090122E-2</c:v>
                </c:pt>
                <c:pt idx="17">
                  <c:v>2.5502515475389839E-2</c:v>
                </c:pt>
                <c:pt idx="18">
                  <c:v>-1.1591918114766378E-3</c:v>
                </c:pt>
                <c:pt idx="19">
                  <c:v>0</c:v>
                </c:pt>
                <c:pt idx="20">
                  <c:v>-4.287170930663485E-2</c:v>
                </c:pt>
                <c:pt idx="21">
                  <c:v>9.2704180958653945E-3</c:v>
                </c:pt>
                <c:pt idx="22">
                  <c:v>-5.3276505061269831E-2</c:v>
                </c:pt>
                <c:pt idx="23">
                  <c:v>-0.16419222052635027</c:v>
                </c:pt>
                <c:pt idx="24">
                  <c:v>-6.124547881252175E-2</c:v>
                </c:pt>
                <c:pt idx="25">
                  <c:v>0.15624638318557005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3EE-42CD-B38F-9FC9B427EAF2}"/>
            </c:ext>
          </c:extLst>
        </c:ser>
        <c:ser>
          <c:idx val="27"/>
          <c:order val="27"/>
          <c:tx>
            <c:strRef>
              <c:f>'SATORI H1(RTD UP LOAD DATA)'!$BJ$1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H1(RTD UP LOAD 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H1(RTD UP LOAD DATA)'!$BJ$2:$BJ$37</c:f>
              <c:numCache>
                <c:formatCode>0.00000</c:formatCode>
                <c:ptCount val="36"/>
                <c:pt idx="0">
                  <c:v>6.8413023103404565E-4</c:v>
                </c:pt>
                <c:pt idx="1">
                  <c:v>-0.14005028146691567</c:v>
                </c:pt>
                <c:pt idx="2">
                  <c:v>-4.9164208456245716E-2</c:v>
                </c:pt>
                <c:pt idx="3">
                  <c:v>-1.9798330113257618E-2</c:v>
                </c:pt>
                <c:pt idx="4">
                  <c:v>-3.0712111491781095E-2</c:v>
                </c:pt>
                <c:pt idx="5">
                  <c:v>-2.52458054435457E-2</c:v>
                </c:pt>
                <c:pt idx="6">
                  <c:v>-0.33322225924692389</c:v>
                </c:pt>
                <c:pt idx="7">
                  <c:v>-0.16091142403215158</c:v>
                </c:pt>
                <c:pt idx="8">
                  <c:v>0.24229224800925239</c:v>
                </c:pt>
                <c:pt idx="9">
                  <c:v>-9.6551348999126888E-2</c:v>
                </c:pt>
                <c:pt idx="10">
                  <c:v>4.5576681065274842E-2</c:v>
                </c:pt>
                <c:pt idx="11">
                  <c:v>0.45304833882274564</c:v>
                </c:pt>
                <c:pt idx="12">
                  <c:v>5.811687645720065E-2</c:v>
                </c:pt>
                <c:pt idx="13">
                  <c:v>-0.31013141392659366</c:v>
                </c:pt>
                <c:pt idx="14">
                  <c:v>5.455835015548044E-2</c:v>
                </c:pt>
                <c:pt idx="15">
                  <c:v>5.1174628301628076E-2</c:v>
                </c:pt>
                <c:pt idx="16">
                  <c:v>-3.0695352041592825E-2</c:v>
                </c:pt>
                <c:pt idx="17">
                  <c:v>-2.4550253003997165E-2</c:v>
                </c:pt>
                <c:pt idx="18">
                  <c:v>-1.2273619899629528E-2</c:v>
                </c:pt>
                <c:pt idx="19">
                  <c:v>7.915927391839353E-2</c:v>
                </c:pt>
                <c:pt idx="20">
                  <c:v>2.7303754266206171E-2</c:v>
                </c:pt>
                <c:pt idx="21">
                  <c:v>5.1904059443802518E-2</c:v>
                </c:pt>
                <c:pt idx="22">
                  <c:v>4.0310183445494141E-2</c:v>
                </c:pt>
                <c:pt idx="23">
                  <c:v>-2.1858371414702669E-2</c:v>
                </c:pt>
                <c:pt idx="24">
                  <c:v>0.12241994829638078</c:v>
                </c:pt>
                <c:pt idx="25">
                  <c:v>0.12119884142123959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3EE-42CD-B38F-9FC9B427E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 H1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H1(RTD UP LOAD DATA)'!$DT$1</c:f>
              <c:strCache>
                <c:ptCount val="1"/>
                <c:pt idx="0">
                  <c:v>EU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H1(RTD UP LOAD DATA)'!$DT$2:$DT$37</c:f>
              <c:numCache>
                <c:formatCode>0.00000</c:formatCode>
                <c:ptCount val="36"/>
                <c:pt idx="0">
                  <c:v>0.5975899560190564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A3-4EA8-9A78-10CE8B310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780576"/>
        <c:axId val="1467783456"/>
      </c:lineChart>
      <c:catAx>
        <c:axId val="1467780576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3456"/>
        <c:crosses val="autoZero"/>
        <c:auto val="1"/>
        <c:lblAlgn val="ctr"/>
        <c:lblOffset val="100"/>
        <c:noMultiLvlLbl val="0"/>
      </c:catAx>
      <c:valAx>
        <c:axId val="14677834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7DBA-47B0-B6BE-367279265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20432"/>
        <c:axId val="1465044432"/>
      </c:lineChart>
      <c:catAx>
        <c:axId val="1465020432"/>
        <c:scaling>
          <c:orientation val="maxMin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44432"/>
        <c:crosses val="autoZero"/>
        <c:auto val="1"/>
        <c:lblAlgn val="ctr"/>
        <c:lblOffset val="100"/>
        <c:noMultiLvlLbl val="0"/>
      </c:catAx>
      <c:valAx>
        <c:axId val="14650444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2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D17D-4198-9FFA-CD262E2C3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0973008"/>
        <c:axId val="1270967728"/>
      </c:lineChart>
      <c:catAx>
        <c:axId val="1270973008"/>
        <c:scaling>
          <c:orientation val="maxMin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67728"/>
        <c:crosses val="autoZero"/>
        <c:auto val="1"/>
        <c:lblAlgn val="ctr"/>
        <c:lblOffset val="100"/>
        <c:noMultiLvlLbl val="0"/>
      </c:catAx>
      <c:valAx>
        <c:axId val="12709677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7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 (Data)'!$CV$1</c:f>
              <c:strCache>
                <c:ptCount val="1"/>
                <c:pt idx="0">
                  <c:v>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'SATORI H1 (Data)'!$CU$2:$CU$37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H1 (Data)'!$CV$2:$CV$37</c:f>
              <c:numCache>
                <c:formatCode>0.00000</c:formatCode>
                <c:ptCount val="36"/>
                <c:pt idx="0">
                  <c:v>0.17895521374738821</c:v>
                </c:pt>
                <c:pt idx="1">
                  <c:v>-5.5202038443781243E-3</c:v>
                </c:pt>
                <c:pt idx="2">
                  <c:v>-0.65384444254071206</c:v>
                </c:pt>
                <c:pt idx="3">
                  <c:v>-0.49284303916643979</c:v>
                </c:pt>
                <c:pt idx="4">
                  <c:v>-0.6446750173128778</c:v>
                </c:pt>
                <c:pt idx="5">
                  <c:v>-0.3233939574744914</c:v>
                </c:pt>
                <c:pt idx="6">
                  <c:v>0.16916754428391123</c:v>
                </c:pt>
                <c:pt idx="7">
                  <c:v>0.53513651522769923</c:v>
                </c:pt>
                <c:pt idx="8">
                  <c:v>0.95528812084410841</c:v>
                </c:pt>
                <c:pt idx="9">
                  <c:v>0.75903648919468059</c:v>
                </c:pt>
                <c:pt idx="10">
                  <c:v>0.88985282933869658</c:v>
                </c:pt>
                <c:pt idx="11">
                  <c:v>0.79735216350217875</c:v>
                </c:pt>
                <c:pt idx="12">
                  <c:v>0.5238540661967549</c:v>
                </c:pt>
                <c:pt idx="13">
                  <c:v>0.51755123003840731</c:v>
                </c:pt>
                <c:pt idx="14">
                  <c:v>0.89967356669954746</c:v>
                </c:pt>
                <c:pt idx="15">
                  <c:v>0.86742843386710911</c:v>
                </c:pt>
                <c:pt idx="16">
                  <c:v>0.76147651104441949</c:v>
                </c:pt>
                <c:pt idx="17">
                  <c:v>0.87887549162340606</c:v>
                </c:pt>
                <c:pt idx="18">
                  <c:v>0.90154002357534391</c:v>
                </c:pt>
                <c:pt idx="19">
                  <c:v>0.7843896173512469</c:v>
                </c:pt>
                <c:pt idx="20">
                  <c:v>0.56674262210610116</c:v>
                </c:pt>
                <c:pt idx="21">
                  <c:v>0.80973839297736105</c:v>
                </c:pt>
                <c:pt idx="22">
                  <c:v>0.66264175086497423</c:v>
                </c:pt>
                <c:pt idx="23">
                  <c:v>0.27979708533703518</c:v>
                </c:pt>
                <c:pt idx="24">
                  <c:v>-0.12970418278175144</c:v>
                </c:pt>
                <c:pt idx="25">
                  <c:v>-0.2097346009877378</c:v>
                </c:pt>
                <c:pt idx="26">
                  <c:v>-0.38650396135468418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84E2-444C-9F90-8DB649C92364}"/>
            </c:ext>
          </c:extLst>
        </c:ser>
        <c:ser>
          <c:idx val="1"/>
          <c:order val="1"/>
          <c:tx>
            <c:strRef>
              <c:f>'SATORI H1 (Data)'!$CW$1</c:f>
              <c:strCache>
                <c:ptCount val="1"/>
                <c:pt idx="0">
                  <c:v>USD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H1 (Data)'!$CU$2:$CU$37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H1 (Data)'!$CW$2:$CW$37</c:f>
              <c:numCache>
                <c:formatCode>0.00000</c:formatCode>
                <c:ptCount val="36"/>
                <c:pt idx="0">
                  <c:v>-4.40052763053035</c:v>
                </c:pt>
                <c:pt idx="1">
                  <c:v>-4.447175913249839</c:v>
                </c:pt>
                <c:pt idx="2">
                  <c:v>-3.8359770948867054</c:v>
                </c:pt>
                <c:pt idx="3">
                  <c:v>-3.7580922683379052</c:v>
                </c:pt>
                <c:pt idx="4">
                  <c:v>-3.4645934726140375</c:v>
                </c:pt>
                <c:pt idx="5">
                  <c:v>-3.4181977390409184</c:v>
                </c:pt>
                <c:pt idx="6">
                  <c:v>-3.4450814499411582</c:v>
                </c:pt>
                <c:pt idx="7">
                  <c:v>-2.6719588571045496</c:v>
                </c:pt>
                <c:pt idx="8">
                  <c:v>-1.9182284366181905</c:v>
                </c:pt>
                <c:pt idx="9">
                  <c:v>-2.1495570294367403</c:v>
                </c:pt>
                <c:pt idx="10">
                  <c:v>-1.9200243445033673</c:v>
                </c:pt>
                <c:pt idx="11">
                  <c:v>-2.0517484287154435</c:v>
                </c:pt>
                <c:pt idx="12">
                  <c:v>-2.9915173591660076</c:v>
                </c:pt>
                <c:pt idx="13">
                  <c:v>-2.8260063003997677</c:v>
                </c:pt>
                <c:pt idx="14">
                  <c:v>-2.6338053248614512</c:v>
                </c:pt>
                <c:pt idx="15">
                  <c:v>-2.6378409182693949</c:v>
                </c:pt>
                <c:pt idx="16">
                  <c:v>-2.5336348048033468</c:v>
                </c:pt>
                <c:pt idx="17">
                  <c:v>-2.5904171047865567</c:v>
                </c:pt>
                <c:pt idx="18">
                  <c:v>-2.4834941053029884</c:v>
                </c:pt>
                <c:pt idx="19">
                  <c:v>-2.4466924972319024</c:v>
                </c:pt>
                <c:pt idx="20">
                  <c:v>-2.3291796826552988</c:v>
                </c:pt>
                <c:pt idx="21">
                  <c:v>-1.8415027126643091</c:v>
                </c:pt>
                <c:pt idx="22">
                  <c:v>-1.6760852367378831</c:v>
                </c:pt>
                <c:pt idx="23">
                  <c:v>-1.8095148097839351</c:v>
                </c:pt>
                <c:pt idx="24">
                  <c:v>-0.67623896836348774</c:v>
                </c:pt>
                <c:pt idx="25">
                  <c:v>-0.36081014073866646</c:v>
                </c:pt>
                <c:pt idx="26">
                  <c:v>-0.78334424261556224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84E2-444C-9F90-8DB649C92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'SATORI H1 (Data)'!$CX$1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H1 (Data)'!$CX$2:$CX$37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-0.84476334626626159</c:v>
                      </c:pt>
                      <c:pt idx="1">
                        <c:v>-0.77904250542965392</c:v>
                      </c:pt>
                      <c:pt idx="2">
                        <c:v>0.19100480371582154</c:v>
                      </c:pt>
                      <c:pt idx="3">
                        <c:v>0.51584960182478246</c:v>
                      </c:pt>
                      <c:pt idx="4">
                        <c:v>0.53723608030334791</c:v>
                      </c:pt>
                      <c:pt idx="5">
                        <c:v>0.47945383508377398</c:v>
                      </c:pt>
                      <c:pt idx="6">
                        <c:v>0.29743116245135592</c:v>
                      </c:pt>
                      <c:pt idx="7">
                        <c:v>0.6460997357335071</c:v>
                      </c:pt>
                      <c:pt idx="8">
                        <c:v>0.77663927226716756</c:v>
                      </c:pt>
                      <c:pt idx="9">
                        <c:v>0.57811826270030864</c:v>
                      </c:pt>
                      <c:pt idx="10">
                        <c:v>0.58936589419140606</c:v>
                      </c:pt>
                      <c:pt idx="11">
                        <c:v>0.61342672584519831</c:v>
                      </c:pt>
                      <c:pt idx="12">
                        <c:v>8.2871526468969003E-2</c:v>
                      </c:pt>
                      <c:pt idx="13">
                        <c:v>1.2337987890668312E-2</c:v>
                      </c:pt>
                      <c:pt idx="14">
                        <c:v>0.3827687510576594</c:v>
                      </c:pt>
                      <c:pt idx="15">
                        <c:v>0.29166835499942184</c:v>
                      </c:pt>
                      <c:pt idx="16">
                        <c:v>0.30655525117081284</c:v>
                      </c:pt>
                      <c:pt idx="17">
                        <c:v>0.31908418422112578</c:v>
                      </c:pt>
                      <c:pt idx="18">
                        <c:v>0.27169386096973802</c:v>
                      </c:pt>
                      <c:pt idx="19">
                        <c:v>0.44862651466100639</c:v>
                      </c:pt>
                      <c:pt idx="20">
                        <c:v>0.1206065688964772</c:v>
                      </c:pt>
                      <c:pt idx="21">
                        <c:v>0.14248468929974017</c:v>
                      </c:pt>
                      <c:pt idx="22">
                        <c:v>-0.26906260166045581</c:v>
                      </c:pt>
                      <c:pt idx="23">
                        <c:v>0.44818938907933203</c:v>
                      </c:pt>
                      <c:pt idx="24">
                        <c:v>0.55819302771406198</c:v>
                      </c:pt>
                      <c:pt idx="25">
                        <c:v>0.27511593725853634</c:v>
                      </c:pt>
                      <c:pt idx="26">
                        <c:v>-0.31168667755154122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84E2-444C-9F90-8DB649C92364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'SATORI H1 (Data)'!$CY$1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1.3743776936161261</c:v>
                      </c:pt>
                      <c:pt idx="1">
                        <c:v>1.0025799522501657</c:v>
                      </c:pt>
                      <c:pt idx="2">
                        <c:v>1.310258728166366</c:v>
                      </c:pt>
                      <c:pt idx="3">
                        <c:v>1.4164708742583263</c:v>
                      </c:pt>
                      <c:pt idx="4">
                        <c:v>1.2852416518693377</c:v>
                      </c:pt>
                      <c:pt idx="5">
                        <c:v>1.2718411769450915</c:v>
                      </c:pt>
                      <c:pt idx="6">
                        <c:v>1.9093422353592988</c:v>
                      </c:pt>
                      <c:pt idx="7">
                        <c:v>0.77394453282595232</c:v>
                      </c:pt>
                      <c:pt idx="8">
                        <c:v>1.0940911900241304</c:v>
                      </c:pt>
                      <c:pt idx="9">
                        <c:v>0.8105652384788985</c:v>
                      </c:pt>
                      <c:pt idx="10">
                        <c:v>0.92745061627390557</c:v>
                      </c:pt>
                      <c:pt idx="11">
                        <c:v>0.93680316765069049</c:v>
                      </c:pt>
                      <c:pt idx="12">
                        <c:v>0.61735965122472458</c:v>
                      </c:pt>
                      <c:pt idx="13">
                        <c:v>0.25118402104383797</c:v>
                      </c:pt>
                      <c:pt idx="14">
                        <c:v>-9.0404655725017047E-2</c:v>
                      </c:pt>
                      <c:pt idx="15">
                        <c:v>-8.1956038408901366E-2</c:v>
                      </c:pt>
                      <c:pt idx="16">
                        <c:v>7.4104721496005943E-2</c:v>
                      </c:pt>
                      <c:pt idx="17">
                        <c:v>-0.27699698348351687</c:v>
                      </c:pt>
                      <c:pt idx="18">
                        <c:v>-3.5985739959872864E-3</c:v>
                      </c:pt>
                      <c:pt idx="19">
                        <c:v>1.5108484279890921E-2</c:v>
                      </c:pt>
                      <c:pt idx="20">
                        <c:v>0.10289423722112773</c:v>
                      </c:pt>
                      <c:pt idx="21">
                        <c:v>0.22062856174811854</c:v>
                      </c:pt>
                      <c:pt idx="22">
                        <c:v>0.37587623326726372</c:v>
                      </c:pt>
                      <c:pt idx="23">
                        <c:v>-3.0877321281556958E-2</c:v>
                      </c:pt>
                      <c:pt idx="24">
                        <c:v>-0.16519275080423099</c:v>
                      </c:pt>
                      <c:pt idx="25">
                        <c:v>-0.36685597458047947</c:v>
                      </c:pt>
                      <c:pt idx="26">
                        <c:v>0.29644712625822583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4E2-444C-9F90-8DB649C92364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'SATORI H1 (Data)'!$CZ$1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-8.8445148387790218E-2</c:v>
                      </c:pt>
                      <c:pt idx="1">
                        <c:v>0.3228804605781016</c:v>
                      </c:pt>
                      <c:pt idx="2">
                        <c:v>-0.27044213004168166</c:v>
                      </c:pt>
                      <c:pt idx="3">
                        <c:v>-0.41922831357349966</c:v>
                      </c:pt>
                      <c:pt idx="4">
                        <c:v>-7.2903399465669094E-2</c:v>
                      </c:pt>
                      <c:pt idx="5">
                        <c:v>-0.26258473134355914</c:v>
                      </c:pt>
                      <c:pt idx="6">
                        <c:v>-0.1626211830870897</c:v>
                      </c:pt>
                      <c:pt idx="7">
                        <c:v>0.11939343463617465</c:v>
                      </c:pt>
                      <c:pt idx="8">
                        <c:v>-4.8112344133594609E-2</c:v>
                      </c:pt>
                      <c:pt idx="9">
                        <c:v>-0.28594092074555144</c:v>
                      </c:pt>
                      <c:pt idx="10">
                        <c:v>-0.12052343819431605</c:v>
                      </c:pt>
                      <c:pt idx="11">
                        <c:v>-0.24326304668960852</c:v>
                      </c:pt>
                      <c:pt idx="12">
                        <c:v>-0.78323567839884578</c:v>
                      </c:pt>
                      <c:pt idx="13">
                        <c:v>-0.62922222984996468</c:v>
                      </c:pt>
                      <c:pt idx="14">
                        <c:v>-0.18266882982729885</c:v>
                      </c:pt>
                      <c:pt idx="15">
                        <c:v>-0.18352900186676005</c:v>
                      </c:pt>
                      <c:pt idx="16">
                        <c:v>-0.27850163370211722</c:v>
                      </c:pt>
                      <c:pt idx="17">
                        <c:v>-6.7373442008846818E-2</c:v>
                      </c:pt>
                      <c:pt idx="18">
                        <c:v>6.9754421403859512E-3</c:v>
                      </c:pt>
                      <c:pt idx="19">
                        <c:v>0.16543353567881375</c:v>
                      </c:pt>
                      <c:pt idx="20">
                        <c:v>0.18074712532680712</c:v>
                      </c:pt>
                      <c:pt idx="21">
                        <c:v>0.14012886993131957</c:v>
                      </c:pt>
                      <c:pt idx="22">
                        <c:v>0.2053561574599771</c:v>
                      </c:pt>
                      <c:pt idx="23">
                        <c:v>0.47970837309580067</c:v>
                      </c:pt>
                      <c:pt idx="24">
                        <c:v>0.10207410172428373</c:v>
                      </c:pt>
                      <c:pt idx="25">
                        <c:v>-0.28833395603627859</c:v>
                      </c:pt>
                      <c:pt idx="26">
                        <c:v>-0.32482421375290776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4E2-444C-9F90-8DB649C92364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'SATORI H1 (Data)'!$DA$1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1.3299352146166934</c:v>
                      </c:pt>
                      <c:pt idx="1">
                        <c:v>1.7161782886744958</c:v>
                      </c:pt>
                      <c:pt idx="2">
                        <c:v>1.402958578450046</c:v>
                      </c:pt>
                      <c:pt idx="3">
                        <c:v>1.2812417496817123</c:v>
                      </c:pt>
                      <c:pt idx="4">
                        <c:v>1.2819328434812078</c:v>
                      </c:pt>
                      <c:pt idx="5">
                        <c:v>1.1540924240383563</c:v>
                      </c:pt>
                      <c:pt idx="6">
                        <c:v>0.89115743274516734</c:v>
                      </c:pt>
                      <c:pt idx="7">
                        <c:v>2.0308428487420698</c:v>
                      </c:pt>
                      <c:pt idx="8">
                        <c:v>1.3916752906183834</c:v>
                      </c:pt>
                      <c:pt idx="9">
                        <c:v>1.2296619687435006</c:v>
                      </c:pt>
                      <c:pt idx="10">
                        <c:v>1.4229143469857601</c:v>
                      </c:pt>
                      <c:pt idx="11">
                        <c:v>1.6335323126163785</c:v>
                      </c:pt>
                      <c:pt idx="12">
                        <c:v>1.4634322336637684</c:v>
                      </c:pt>
                      <c:pt idx="13">
                        <c:v>1.5240573064833578</c:v>
                      </c:pt>
                      <c:pt idx="14">
                        <c:v>2.6105912539306084</c:v>
                      </c:pt>
                      <c:pt idx="15">
                        <c:v>2.5209803075604857</c:v>
                      </c:pt>
                      <c:pt idx="16">
                        <c:v>2.2513081558695305</c:v>
                      </c:pt>
                      <c:pt idx="17">
                        <c:v>2.4299939340583969</c:v>
                      </c:pt>
                      <c:pt idx="18">
                        <c:v>2.5299973795176625</c:v>
                      </c:pt>
                      <c:pt idx="19">
                        <c:v>2.3594144023464647</c:v>
                      </c:pt>
                      <c:pt idx="20">
                        <c:v>2.1719758133808269</c:v>
                      </c:pt>
                      <c:pt idx="21">
                        <c:v>1.756202837339401</c:v>
                      </c:pt>
                      <c:pt idx="22">
                        <c:v>1.2347147870436619</c:v>
                      </c:pt>
                      <c:pt idx="23">
                        <c:v>1.3227759823472034</c:v>
                      </c:pt>
                      <c:pt idx="24">
                        <c:v>0.63302989708734947</c:v>
                      </c:pt>
                      <c:pt idx="25">
                        <c:v>0.46607155317749438</c:v>
                      </c:pt>
                      <c:pt idx="26">
                        <c:v>0.25965013908814683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4E2-444C-9F90-8DB649C92364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'SATORI H1 (Data)'!$DB$1</c15:sqref>
                        </c15:formulaRef>
                      </c:ext>
                    </c:extLst>
                    <c:strCache>
                      <c:ptCount val="1"/>
                      <c:pt idx="0">
                        <c:v>NZD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(Data)'!$DB$2:$DB$37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5.2043635075329613</c:v>
                      </c:pt>
                      <c:pt idx="1">
                        <c:v>5.4157095784495457</c:v>
                      </c:pt>
                      <c:pt idx="2">
                        <c:v>5.6849015095584692</c:v>
                      </c:pt>
                      <c:pt idx="3">
                        <c:v>5.642807914465406</c:v>
                      </c:pt>
                      <c:pt idx="4">
                        <c:v>5.1501689794569483</c:v>
                      </c:pt>
                      <c:pt idx="5">
                        <c:v>5.3577616091207627</c:v>
                      </c:pt>
                      <c:pt idx="6">
                        <c:v>4.7148381870548466</c:v>
                      </c:pt>
                      <c:pt idx="7">
                        <c:v>5.041158439097809</c:v>
                      </c:pt>
                      <c:pt idx="8">
                        <c:v>4.7374359363761984</c:v>
                      </c:pt>
                      <c:pt idx="9">
                        <c:v>4.3518540848972922</c:v>
                      </c:pt>
                      <c:pt idx="10">
                        <c:v>4.0331378485582672</c:v>
                      </c:pt>
                      <c:pt idx="11">
                        <c:v>3.8913341287423644</c:v>
                      </c:pt>
                      <c:pt idx="12">
                        <c:v>3.9658840493637948</c:v>
                      </c:pt>
                      <c:pt idx="13">
                        <c:v>3.4415684997817291</c:v>
                      </c:pt>
                      <c:pt idx="14">
                        <c:v>3.6932008418105147</c:v>
                      </c:pt>
                      <c:pt idx="15">
                        <c:v>3.4548728908726209</c:v>
                      </c:pt>
                      <c:pt idx="16">
                        <c:v>2.9749589047669716</c:v>
                      </c:pt>
                      <c:pt idx="17">
                        <c:v>3.3223244899068347</c:v>
                      </c:pt>
                      <c:pt idx="18">
                        <c:v>2.8545331972296282</c:v>
                      </c:pt>
                      <c:pt idx="19">
                        <c:v>2.8446589089843948</c:v>
                      </c:pt>
                      <c:pt idx="20">
                        <c:v>2.5548718631614697</c:v>
                      </c:pt>
                      <c:pt idx="21">
                        <c:v>1.4243635512236041</c:v>
                      </c:pt>
                      <c:pt idx="22">
                        <c:v>1.4521963213664226</c:v>
                      </c:pt>
                      <c:pt idx="23">
                        <c:v>1.272282154786132</c:v>
                      </c:pt>
                      <c:pt idx="24">
                        <c:v>0.71254427566661649</c:v>
                      </c:pt>
                      <c:pt idx="25">
                        <c:v>0.21196702680892116</c:v>
                      </c:pt>
                      <c:pt idx="26">
                        <c:v>0.25042131650317251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4E2-444C-9F90-8DB649C92364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'SATORI H1 (Data)'!$DC$1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'SATORI H1 (Data)'!$DC$2:$DC$37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-3.0713732026273077</c:v>
                      </c:pt>
                      <c:pt idx="1">
                        <c:v>-3.4812552220427331</c:v>
                      </c:pt>
                      <c:pt idx="2">
                        <c:v>-3.989469561766148</c:v>
                      </c:pt>
                      <c:pt idx="3">
                        <c:v>-4.3135646044687528</c:v>
                      </c:pt>
                      <c:pt idx="4">
                        <c:v>-4.1776029813216304</c:v>
                      </c:pt>
                      <c:pt idx="5">
                        <c:v>-4.3720838343952479</c:v>
                      </c:pt>
                      <c:pt idx="6">
                        <c:v>-4.6046379023123318</c:v>
                      </c:pt>
                      <c:pt idx="7">
                        <c:v>-6.4930757915278559</c:v>
                      </c:pt>
                      <c:pt idx="8">
                        <c:v>-7.0325614232345561</c:v>
                      </c:pt>
                      <c:pt idx="9">
                        <c:v>-5.3248554636441847</c:v>
                      </c:pt>
                      <c:pt idx="10">
                        <c:v>-5.8691124052517729</c:v>
                      </c:pt>
                      <c:pt idx="11">
                        <c:v>-5.6259578288638279</c:v>
                      </c:pt>
                      <c:pt idx="12">
                        <c:v>-2.9540731377669687</c:v>
                      </c:pt>
                      <c:pt idx="13">
                        <c:v>-2.3241837816097846</c:v>
                      </c:pt>
                      <c:pt idx="14">
                        <c:v>-4.6109294711694435</c:v>
                      </c:pt>
                      <c:pt idx="15">
                        <c:v>-4.1790034256134243</c:v>
                      </c:pt>
                      <c:pt idx="16">
                        <c:v>-3.5542497887520068</c:v>
                      </c:pt>
                      <c:pt idx="17">
                        <c:v>-3.9360469654260681</c:v>
                      </c:pt>
                      <c:pt idx="18">
                        <c:v>-4.0361410864385459</c:v>
                      </c:pt>
                      <c:pt idx="19">
                        <c:v>-4.1088875893387122</c:v>
                      </c:pt>
                      <c:pt idx="20">
                        <c:v>-3.3666985728917456</c:v>
                      </c:pt>
                      <c:pt idx="21">
                        <c:v>-2.6627366374575296</c:v>
                      </c:pt>
                      <c:pt idx="22">
                        <c:v>-2.0786382942379853</c:v>
                      </c:pt>
                      <c:pt idx="23">
                        <c:v>-1.8925930889321185</c:v>
                      </c:pt>
                      <c:pt idx="24">
                        <c:v>-0.93018359938756257</c:v>
                      </c:pt>
                      <c:pt idx="25">
                        <c:v>0.36604263057233571</c:v>
                      </c:pt>
                      <c:pt idx="26">
                        <c:v>0.91128336243520724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4E2-444C-9F90-8DB649C92364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 (Data)'!$BO$1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(Data)'!$BO$2:$BO$37</c:f>
              <c:numCache>
                <c:formatCode>0.00000</c:formatCode>
                <c:ptCount val="36"/>
                <c:pt idx="0">
                  <c:v>0.71730912260641277</c:v>
                </c:pt>
                <c:pt idx="1">
                  <c:v>0.77219223640728818</c:v>
                </c:pt>
                <c:pt idx="2">
                  <c:v>0.65635868031711575</c:v>
                </c:pt>
                <c:pt idx="3">
                  <c:v>0.63110653017080121</c:v>
                </c:pt>
                <c:pt idx="4">
                  <c:v>0.59544372202184692</c:v>
                </c:pt>
                <c:pt idx="5">
                  <c:v>0.57314949771222723</c:v>
                </c:pt>
                <c:pt idx="6">
                  <c:v>0.54341502653980034</c:v>
                </c:pt>
                <c:pt idx="7">
                  <c:v>0.58948222520831439</c:v>
                </c:pt>
                <c:pt idx="8">
                  <c:v>0.4153128790132441</c:v>
                </c:pt>
                <c:pt idx="9">
                  <c:v>0.42424384266421444</c:v>
                </c:pt>
                <c:pt idx="10">
                  <c:v>0.41828951237752404</c:v>
                </c:pt>
                <c:pt idx="11">
                  <c:v>0.46143977946278331</c:v>
                </c:pt>
                <c:pt idx="12">
                  <c:v>0.55954748983694602</c:v>
                </c:pt>
                <c:pt idx="13">
                  <c:v>0.54616737565996654</c:v>
                </c:pt>
                <c:pt idx="14">
                  <c:v>0.65606074938653436</c:v>
                </c:pt>
                <c:pt idx="15">
                  <c:v>0.64566434951128915</c:v>
                </c:pt>
                <c:pt idx="16">
                  <c:v>0.59811535175500941</c:v>
                </c:pt>
                <c:pt idx="17">
                  <c:v>0.62930964765519415</c:v>
                </c:pt>
                <c:pt idx="18">
                  <c:v>0.62782418292754438</c:v>
                </c:pt>
                <c:pt idx="19">
                  <c:v>0.60256490385708528</c:v>
                </c:pt>
                <c:pt idx="20">
                  <c:v>0.56391813532151136</c:v>
                </c:pt>
                <c:pt idx="21">
                  <c:v>0.45082289722627589</c:v>
                </c:pt>
                <c:pt idx="22">
                  <c:v>0.36592946082932143</c:v>
                </c:pt>
                <c:pt idx="23">
                  <c:v>0.39273072942271187</c:v>
                </c:pt>
                <c:pt idx="24">
                  <c:v>0.16589552818107611</c:v>
                </c:pt>
                <c:pt idx="25">
                  <c:v>0.10467225736517741</c:v>
                </c:pt>
                <c:pt idx="26">
                  <c:v>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4B-4FE8-8525-0B2FF1CB70AD}"/>
            </c:ext>
          </c:extLst>
        </c:ser>
        <c:ser>
          <c:idx val="1"/>
          <c:order val="1"/>
          <c:tx>
            <c:strRef>
              <c:f>'SATORI H1 (Data)'!$BP$1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(Data)'!$BP$2:$BP$37</c:f>
              <c:numCache>
                <c:formatCode>0.00000</c:formatCode>
                <c:ptCount val="36"/>
                <c:pt idx="0">
                  <c:v>-0.48435255753367396</c:v>
                </c:pt>
                <c:pt idx="1">
                  <c:v>-0.46430042198122745</c:v>
                </c:pt>
                <c:pt idx="2">
                  <c:v>-0.53818328571750929</c:v>
                </c:pt>
                <c:pt idx="3">
                  <c:v>-0.54821776784701393</c:v>
                </c:pt>
                <c:pt idx="4">
                  <c:v>-0.48349166864287235</c:v>
                </c:pt>
                <c:pt idx="5">
                  <c:v>-0.52635688944435821</c:v>
                </c:pt>
                <c:pt idx="6">
                  <c:v>-0.47804286652711026</c:v>
                </c:pt>
                <c:pt idx="7">
                  <c:v>-0.37695917651707767</c:v>
                </c:pt>
                <c:pt idx="8">
                  <c:v>-0.41886727024545201</c:v>
                </c:pt>
                <c:pt idx="9">
                  <c:v>-0.39245392877558383</c:v>
                </c:pt>
                <c:pt idx="10">
                  <c:v>-0.32691895403387067</c:v>
                </c:pt>
                <c:pt idx="11">
                  <c:v>-0.28233864579287304</c:v>
                </c:pt>
                <c:pt idx="12">
                  <c:v>-0.31601266310313642</c:v>
                </c:pt>
                <c:pt idx="13">
                  <c:v>-0.24234817302510869</c:v>
                </c:pt>
                <c:pt idx="14">
                  <c:v>-0.13514951028300692</c:v>
                </c:pt>
                <c:pt idx="15">
                  <c:v>-0.11698354603362655</c:v>
                </c:pt>
                <c:pt idx="16">
                  <c:v>-0.12970133822490482</c:v>
                </c:pt>
                <c:pt idx="17">
                  <c:v>-0.12243455650085357</c:v>
                </c:pt>
                <c:pt idx="18">
                  <c:v>-4.347070742165135E-2</c:v>
                </c:pt>
                <c:pt idx="19">
                  <c:v>-6.4350566527989053E-2</c:v>
                </c:pt>
                <c:pt idx="20">
                  <c:v>-4.8012476995252157E-2</c:v>
                </c:pt>
                <c:pt idx="21">
                  <c:v>3.8142038861713787E-2</c:v>
                </c:pt>
                <c:pt idx="22">
                  <c:v>-3.0829111232222553E-2</c:v>
                </c:pt>
                <c:pt idx="23">
                  <c:v>5.4583215226246314E-3</c:v>
                </c:pt>
                <c:pt idx="24">
                  <c:v>-1.1781180527960827E-2</c:v>
                </c:pt>
                <c:pt idx="25">
                  <c:v>3.084572521215748E-2</c:v>
                </c:pt>
                <c:pt idx="26">
                  <c:v>9.0723520073173163E-4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14B-4FE8-8525-0B2FF1CB70AD}"/>
            </c:ext>
          </c:extLst>
        </c:ser>
        <c:ser>
          <c:idx val="2"/>
          <c:order val="2"/>
          <c:tx>
            <c:strRef>
              <c:f>'SATORI H1 (Data)'!$BQ$1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(Data)'!$BQ$2:$BQ$37</c:f>
              <c:numCache>
                <c:formatCode>0.00000</c:formatCode>
                <c:ptCount val="36"/>
                <c:pt idx="0">
                  <c:v>0.55145131248566148</c:v>
                </c:pt>
                <c:pt idx="1">
                  <c:v>0.65090129320454171</c:v>
                </c:pt>
                <c:pt idx="2">
                  <c:v>0.67626475156280719</c:v>
                </c:pt>
                <c:pt idx="3">
                  <c:v>0.70060774433091066</c:v>
                </c:pt>
                <c:pt idx="4">
                  <c:v>0.68234716587636346</c:v>
                </c:pt>
                <c:pt idx="5">
                  <c:v>0.69147662155792833</c:v>
                </c:pt>
                <c:pt idx="6">
                  <c:v>0.68741892105681179</c:v>
                </c:pt>
                <c:pt idx="7">
                  <c:v>1.0663867138473284</c:v>
                </c:pt>
                <c:pt idx="8">
                  <c:v>1.0532474375182348</c:v>
                </c:pt>
                <c:pt idx="9">
                  <c:v>0.82024166302729784</c:v>
                </c:pt>
                <c:pt idx="10">
                  <c:v>0.9113347804362083</c:v>
                </c:pt>
                <c:pt idx="11">
                  <c:v>0.90931044795984706</c:v>
                </c:pt>
                <c:pt idx="12">
                  <c:v>0.55277342804050034</c:v>
                </c:pt>
                <c:pt idx="13">
                  <c:v>0.48161858493692183</c:v>
                </c:pt>
                <c:pt idx="14">
                  <c:v>0.90270105029379044</c:v>
                </c:pt>
                <c:pt idx="15">
                  <c:v>0.83787713837327338</c:v>
                </c:pt>
                <c:pt idx="16">
                  <c:v>0.73953177378572155</c:v>
                </c:pt>
                <c:pt idx="17">
                  <c:v>0.79931432741269615</c:v>
                </c:pt>
                <c:pt idx="18">
                  <c:v>0.82261396069672488</c:v>
                </c:pt>
                <c:pt idx="19">
                  <c:v>0.81045615234431001</c:v>
                </c:pt>
                <c:pt idx="20">
                  <c:v>0.69279238669807253</c:v>
                </c:pt>
                <c:pt idx="21">
                  <c:v>0.55363404075245559</c:v>
                </c:pt>
                <c:pt idx="22">
                  <c:v>0.41530035141330846</c:v>
                </c:pt>
                <c:pt idx="23">
                  <c:v>0.40207552943975278</c:v>
                </c:pt>
                <c:pt idx="24">
                  <c:v>0.19615899699260997</c:v>
                </c:pt>
                <c:pt idx="25">
                  <c:v>1.233171293861314E-2</c:v>
                </c:pt>
                <c:pt idx="26">
                  <c:v>-8.0689641084313243E-2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4B-4FE8-8525-0B2FF1CB70AD}"/>
            </c:ext>
          </c:extLst>
        </c:ser>
        <c:ser>
          <c:idx val="3"/>
          <c:order val="3"/>
          <c:tx>
            <c:strRef>
              <c:f>'SATORI H1 (Data)'!$BR$1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(Data)'!$BR$2:$BR$37</c:f>
              <c:numCache>
                <c:formatCode>0.00000</c:formatCode>
                <c:ptCount val="36"/>
                <c:pt idx="0">
                  <c:v>-4.7161317774334313E-2</c:v>
                </c:pt>
                <c:pt idx="1">
                  <c:v>5.6435208288813613E-2</c:v>
                </c:pt>
                <c:pt idx="2">
                  <c:v>-9.2190013554332359E-3</c:v>
                </c:pt>
                <c:pt idx="3">
                  <c:v>-3.1684697964854056E-2</c:v>
                </c:pt>
                <c:pt idx="4">
                  <c:v>-1.4406378799725112E-2</c:v>
                </c:pt>
                <c:pt idx="5">
                  <c:v>-2.8230945053972778E-2</c:v>
                </c:pt>
                <c:pt idx="6">
                  <c:v>-0.1562719181653619</c:v>
                </c:pt>
                <c:pt idx="7">
                  <c:v>0.15421209190812335</c:v>
                </c:pt>
                <c:pt idx="8">
                  <c:v>3.1593229327602751E-2</c:v>
                </c:pt>
                <c:pt idx="9">
                  <c:v>4.8860509558291826E-2</c:v>
                </c:pt>
                <c:pt idx="10">
                  <c:v>5.5766944629156795E-2</c:v>
                </c:pt>
                <c:pt idx="11">
                  <c:v>7.9933625680757681E-2</c:v>
                </c:pt>
                <c:pt idx="12">
                  <c:v>9.7192561494773497E-2</c:v>
                </c:pt>
                <c:pt idx="13">
                  <c:v>0.15583852958446856</c:v>
                </c:pt>
                <c:pt idx="14">
                  <c:v>0.34521616580724379</c:v>
                </c:pt>
                <c:pt idx="15">
                  <c:v>0.3314413496149527</c:v>
                </c:pt>
                <c:pt idx="16">
                  <c:v>0.25734685328520779</c:v>
                </c:pt>
                <c:pt idx="17">
                  <c:v>0.34858929996002835</c:v>
                </c:pt>
                <c:pt idx="18">
                  <c:v>0.32275929582723056</c:v>
                </c:pt>
                <c:pt idx="19">
                  <c:v>0.30036827979182462</c:v>
                </c:pt>
                <c:pt idx="20">
                  <c:v>0.25729008425126504</c:v>
                </c:pt>
                <c:pt idx="21">
                  <c:v>0.1917683241298884</c:v>
                </c:pt>
                <c:pt idx="22">
                  <c:v>9.5116615465752202E-2</c:v>
                </c:pt>
                <c:pt idx="23">
                  <c:v>0.17789236217195437</c:v>
                </c:pt>
                <c:pt idx="24">
                  <c:v>0.11231859168016214</c:v>
                </c:pt>
                <c:pt idx="25">
                  <c:v>0.11576972365145217</c:v>
                </c:pt>
                <c:pt idx="26">
                  <c:v>-1.7275632720046469E-2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14B-4FE8-8525-0B2FF1CB70AD}"/>
            </c:ext>
          </c:extLst>
        </c:ser>
        <c:ser>
          <c:idx val="4"/>
          <c:order val="4"/>
          <c:tx>
            <c:strRef>
              <c:f>'SATORI H1 (Data)'!$BS$1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(Data)'!$BS$2:$BS$37</c:f>
              <c:numCache>
                <c:formatCode>0.00000</c:formatCode>
                <c:ptCount val="36"/>
                <c:pt idx="0">
                  <c:v>0.2721204132710025</c:v>
                </c:pt>
                <c:pt idx="1">
                  <c:v>0.31241532848832071</c:v>
                </c:pt>
                <c:pt idx="2">
                  <c:v>0.15206801839626047</c:v>
                </c:pt>
                <c:pt idx="3">
                  <c:v>9.6406354003353456E-2</c:v>
                </c:pt>
                <c:pt idx="4">
                  <c:v>9.3132031242447302E-2</c:v>
                </c:pt>
                <c:pt idx="5">
                  <c:v>8.2216430666104789E-2</c:v>
                </c:pt>
                <c:pt idx="6">
                  <c:v>7.3483187576274672E-2</c:v>
                </c:pt>
                <c:pt idx="7">
                  <c:v>0.17272524003279652</c:v>
                </c:pt>
                <c:pt idx="8">
                  <c:v>7.5570031858653186E-2</c:v>
                </c:pt>
                <c:pt idx="9">
                  <c:v>8.2119392204465957E-2</c:v>
                </c:pt>
                <c:pt idx="10">
                  <c:v>0.10394582838396417</c:v>
                </c:pt>
                <c:pt idx="11">
                  <c:v>0.12685833533953927</c:v>
                </c:pt>
                <c:pt idx="12">
                  <c:v>0.17266235955024728</c:v>
                </c:pt>
                <c:pt idx="13">
                  <c:v>0.18901826403176336</c:v>
                </c:pt>
                <c:pt idx="14">
                  <c:v>0.27835066772706707</c:v>
                </c:pt>
                <c:pt idx="15">
                  <c:v>0.27835066772706701</c:v>
                </c:pt>
                <c:pt idx="16">
                  <c:v>0.23584524556103417</c:v>
                </c:pt>
                <c:pt idx="17">
                  <c:v>0.25981691540576285</c:v>
                </c:pt>
                <c:pt idx="18">
                  <c:v>0.28269372921029068</c:v>
                </c:pt>
                <c:pt idx="19">
                  <c:v>0.23909984979096593</c:v>
                </c:pt>
                <c:pt idx="20">
                  <c:v>0.2565343614067026</c:v>
                </c:pt>
                <c:pt idx="21">
                  <c:v>0.20202181261797741</c:v>
                </c:pt>
                <c:pt idx="22">
                  <c:v>0.18893708903276218</c:v>
                </c:pt>
                <c:pt idx="23">
                  <c:v>0.10927494382940452</c:v>
                </c:pt>
                <c:pt idx="24">
                  <c:v>7.6844518255608681E-3</c:v>
                </c:pt>
                <c:pt idx="25">
                  <c:v>2.4067330625021706E-2</c:v>
                </c:pt>
                <c:pt idx="26">
                  <c:v>7.1009537127055558E-2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14B-4FE8-8525-0B2FF1CB70AD}"/>
            </c:ext>
          </c:extLst>
        </c:ser>
        <c:ser>
          <c:idx val="5"/>
          <c:order val="5"/>
          <c:tx>
            <c:strRef>
              <c:f>'SATORI H1 (Data)'!$BT$1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(Data)'!$BT$2:$BT$37</c:f>
              <c:numCache>
                <c:formatCode>0.00000</c:formatCode>
                <c:ptCount val="36"/>
                <c:pt idx="0">
                  <c:v>0.57236109420115144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14B-4FE8-8525-0B2FF1CB70AD}"/>
            </c:ext>
          </c:extLst>
        </c:ser>
        <c:ser>
          <c:idx val="6"/>
          <c:order val="6"/>
          <c:tx>
            <c:strRef>
              <c:f>'SATORI H1 (Data)'!$BU$1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(Data)'!$BU$2:$BU$37</c:f>
              <c:numCache>
                <c:formatCode>0.00000</c:formatCode>
                <c:ptCount val="36"/>
                <c:pt idx="0">
                  <c:v>0.12748263649123842</c:v>
                </c:pt>
                <c:pt idx="1">
                  <c:v>9.6389960470294356E-2</c:v>
                </c:pt>
                <c:pt idx="2">
                  <c:v>-0.10578960149608393</c:v>
                </c:pt>
                <c:pt idx="3">
                  <c:v>-0.12634322324312922</c:v>
                </c:pt>
                <c:pt idx="4">
                  <c:v>-0.14822767334659384</c:v>
                </c:pt>
                <c:pt idx="5">
                  <c:v>-0.10050256994219955</c:v>
                </c:pt>
                <c:pt idx="6">
                  <c:v>-1.7053334893518277E-2</c:v>
                </c:pt>
                <c:pt idx="7">
                  <c:v>-1.5066487821139112E-2</c:v>
                </c:pt>
                <c:pt idx="8">
                  <c:v>2.2669361235461954E-2</c:v>
                </c:pt>
                <c:pt idx="9">
                  <c:v>2.3331389292215357E-2</c:v>
                </c:pt>
                <c:pt idx="10">
                  <c:v>3.7232045932760485E-2</c:v>
                </c:pt>
                <c:pt idx="11">
                  <c:v>2.2005199015538088E-2</c:v>
                </c:pt>
                <c:pt idx="12">
                  <c:v>5.5096086446953595E-2</c:v>
                </c:pt>
                <c:pt idx="13">
                  <c:v>6.3698977018183112E-2</c:v>
                </c:pt>
                <c:pt idx="14">
                  <c:v>6.3698977018183112E-2</c:v>
                </c:pt>
                <c:pt idx="15">
                  <c:v>7.097781610952289E-2</c:v>
                </c:pt>
                <c:pt idx="16">
                  <c:v>6.3036633799822092E-2</c:v>
                </c:pt>
                <c:pt idx="17">
                  <c:v>7.0315521056479258E-2</c:v>
                </c:pt>
                <c:pt idx="18">
                  <c:v>7.8917102424128277E-2</c:v>
                </c:pt>
                <c:pt idx="19">
                  <c:v>4.1850402220930352E-2</c:v>
                </c:pt>
                <c:pt idx="20">
                  <c:v>5.5086757193496524E-2</c:v>
                </c:pt>
                <c:pt idx="21">
                  <c:v>8.4198260868823621E-2</c:v>
                </c:pt>
                <c:pt idx="22">
                  <c:v>0.11594618237209009</c:v>
                </c:pt>
                <c:pt idx="23">
                  <c:v>-2.2480914897792928E-2</c:v>
                </c:pt>
                <c:pt idx="24">
                  <c:v>-8.5441938710315302E-2</c:v>
                </c:pt>
                <c:pt idx="25">
                  <c:v>-6.092628844925798E-2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14B-4FE8-8525-0B2FF1CB70AD}"/>
            </c:ext>
          </c:extLst>
        </c:ser>
        <c:ser>
          <c:idx val="7"/>
          <c:order val="7"/>
          <c:tx>
            <c:strRef>
              <c:f>'SATORI H1 (Data)'!$BV$1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(Data)'!$BV$2:$BV$37</c:f>
              <c:numCache>
                <c:formatCode>0.00000</c:formatCode>
                <c:ptCount val="36"/>
                <c:pt idx="0">
                  <c:v>3.5385628333623013E-2</c:v>
                </c:pt>
                <c:pt idx="1">
                  <c:v>-3.9738796494996335E-2</c:v>
                </c:pt>
                <c:pt idx="2">
                  <c:v>-4.6782207384116599E-2</c:v>
                </c:pt>
                <c:pt idx="3">
                  <c:v>-5.7125179883019267E-3</c:v>
                </c:pt>
                <c:pt idx="4">
                  <c:v>-6.9117357891079367E-2</c:v>
                </c:pt>
                <c:pt idx="5">
                  <c:v>-4.5800318485153535E-3</c:v>
                </c:pt>
                <c:pt idx="6">
                  <c:v>4.2334185505061482E-2</c:v>
                </c:pt>
                <c:pt idx="7">
                  <c:v>5.5233931028256841E-2</c:v>
                </c:pt>
                <c:pt idx="8">
                  <c:v>0.1290597489714484</c:v>
                </c:pt>
                <c:pt idx="9">
                  <c:v>0.13257514052747488</c:v>
                </c:pt>
                <c:pt idx="10">
                  <c:v>0.13023149123115324</c:v>
                </c:pt>
                <c:pt idx="11">
                  <c:v>0.13140330214775142</c:v>
                </c:pt>
                <c:pt idx="12">
                  <c:v>0.16654527572098343</c:v>
                </c:pt>
                <c:pt idx="13">
                  <c:v>0.14428373780020834</c:v>
                </c:pt>
                <c:pt idx="14">
                  <c:v>0.13725328421878405</c:v>
                </c:pt>
                <c:pt idx="15">
                  <c:v>0.13139422963583222</c:v>
                </c:pt>
                <c:pt idx="16">
                  <c:v>0.11381397577696845</c:v>
                </c:pt>
                <c:pt idx="17">
                  <c:v>0.11381397577696845</c:v>
                </c:pt>
                <c:pt idx="18">
                  <c:v>0.11029780137470804</c:v>
                </c:pt>
                <c:pt idx="19">
                  <c:v>7.8642214163566149E-2</c:v>
                </c:pt>
                <c:pt idx="20">
                  <c:v>4.8149761045721377E-2</c:v>
                </c:pt>
                <c:pt idx="21">
                  <c:v>8.5664855009306762E-2</c:v>
                </c:pt>
                <c:pt idx="22">
                  <c:v>5.9866574112934015E-2</c:v>
                </c:pt>
                <c:pt idx="23">
                  <c:v>-2.2286300650880456E-2</c:v>
                </c:pt>
                <c:pt idx="24">
                  <c:v>-2.8154707495789553E-2</c:v>
                </c:pt>
                <c:pt idx="25">
                  <c:v>1.1734541178480353E-2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14B-4FE8-8525-0B2FF1CB70AD}"/>
            </c:ext>
          </c:extLst>
        </c:ser>
        <c:ser>
          <c:idx val="8"/>
          <c:order val="8"/>
          <c:tx>
            <c:strRef>
              <c:f>'SATORI H1 (Data)'!$BW$1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(Data)'!$BW$2:$BW$37</c:f>
              <c:numCache>
                <c:formatCode>0.00000</c:formatCode>
                <c:ptCount val="36"/>
                <c:pt idx="0">
                  <c:v>-0.19020355713305048</c:v>
                </c:pt>
                <c:pt idx="1">
                  <c:v>-0.15769039454626951</c:v>
                </c:pt>
                <c:pt idx="2">
                  <c:v>-0.26478375475793858</c:v>
                </c:pt>
                <c:pt idx="3">
                  <c:v>-0.25533523345151954</c:v>
                </c:pt>
                <c:pt idx="4">
                  <c:v>-0.25638508017389328</c:v>
                </c:pt>
                <c:pt idx="5">
                  <c:v>-0.21650681382905784</c:v>
                </c:pt>
                <c:pt idx="6">
                  <c:v>-0.24694949236487135</c:v>
                </c:pt>
                <c:pt idx="7">
                  <c:v>-3.2213355939338023E-2</c:v>
                </c:pt>
                <c:pt idx="8">
                  <c:v>-2.4881440109730216E-2</c:v>
                </c:pt>
                <c:pt idx="9">
                  <c:v>-1.3361185407366021E-2</c:v>
                </c:pt>
                <c:pt idx="10">
                  <c:v>-1.2313900493509949E-2</c:v>
                </c:pt>
                <c:pt idx="11">
                  <c:v>-2.2787846552686623E-2</c:v>
                </c:pt>
                <c:pt idx="12">
                  <c:v>-2.1740462917001671E-2</c:v>
                </c:pt>
                <c:pt idx="13">
                  <c:v>2.8508689128549675E-2</c:v>
                </c:pt>
                <c:pt idx="14">
                  <c:v>0.13204026625957949</c:v>
                </c:pt>
                <c:pt idx="15">
                  <c:v>0.12576523148542218</c:v>
                </c:pt>
                <c:pt idx="16">
                  <c:v>9.9612415350183656E-2</c:v>
                </c:pt>
                <c:pt idx="17">
                  <c:v>0.1602501571170446</c:v>
                </c:pt>
                <c:pt idx="18">
                  <c:v>0.1194598714804545</c:v>
                </c:pt>
                <c:pt idx="19">
                  <c:v>0.10795359532982116</c:v>
                </c:pt>
                <c:pt idx="20">
                  <c:v>5.876623334223622E-2</c:v>
                </c:pt>
                <c:pt idx="21">
                  <c:v>7.1323131788320976E-2</c:v>
                </c:pt>
                <c:pt idx="22">
                  <c:v>2.5259962432891716E-2</c:v>
                </c:pt>
                <c:pt idx="23">
                  <c:v>4.6193383686591996E-2</c:v>
                </c:pt>
                <c:pt idx="24">
                  <c:v>1.7925276393421105E-2</c:v>
                </c:pt>
                <c:pt idx="25">
                  <c:v>3.0487301391851795E-2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14B-4FE8-8525-0B2FF1CB70AD}"/>
            </c:ext>
          </c:extLst>
        </c:ser>
        <c:ser>
          <c:idx val="9"/>
          <c:order val="9"/>
          <c:tx>
            <c:strRef>
              <c:f>'SATORI H1 (Data)'!$BX$1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(Data)'!$BX$2:$BX$37</c:f>
              <c:numCache>
                <c:formatCode>0.00000</c:formatCode>
                <c:ptCount val="36"/>
                <c:pt idx="0">
                  <c:v>0.40625392203891875</c:v>
                </c:pt>
                <c:pt idx="1">
                  <c:v>0.43461030006641954</c:v>
                </c:pt>
                <c:pt idx="2">
                  <c:v>0.41796356837473242</c:v>
                </c:pt>
                <c:pt idx="3">
                  <c:v>0.47834855346334626</c:v>
                </c:pt>
                <c:pt idx="4">
                  <c:v>0.44259772441395284</c:v>
                </c:pt>
                <c:pt idx="5">
                  <c:v>0.50481474477308619</c:v>
                </c:pt>
                <c:pt idx="6">
                  <c:v>0.59774582806640519</c:v>
                </c:pt>
                <c:pt idx="7">
                  <c:v>0.87882398988887067</c:v>
                </c:pt>
                <c:pt idx="8">
                  <c:v>0.99712946320271856</c:v>
                </c:pt>
                <c:pt idx="9">
                  <c:v>0.76180498577051436</c:v>
                </c:pt>
                <c:pt idx="10">
                  <c:v>0.84529691283785768</c:v>
                </c:pt>
                <c:pt idx="11">
                  <c:v>0.80169020846060579</c:v>
                </c:pt>
                <c:pt idx="12">
                  <c:v>0.43676944927749528</c:v>
                </c:pt>
                <c:pt idx="13">
                  <c:v>0.35718796153551774</c:v>
                </c:pt>
                <c:pt idx="14">
                  <c:v>0.6904393142162687</c:v>
                </c:pt>
                <c:pt idx="15">
                  <c:v>0.63137838302226867</c:v>
                </c:pt>
                <c:pt idx="16">
                  <c:v>0.57536218141318307</c:v>
                </c:pt>
                <c:pt idx="17">
                  <c:v>0.60920666906917953</c:v>
                </c:pt>
                <c:pt idx="18">
                  <c:v>0.61720563535659867</c:v>
                </c:pt>
                <c:pt idx="19">
                  <c:v>0.61166758278202815</c:v>
                </c:pt>
                <c:pt idx="20">
                  <c:v>0.49214910670421275</c:v>
                </c:pt>
                <c:pt idx="21">
                  <c:v>0.43482132122107658</c:v>
                </c:pt>
                <c:pt idx="22">
                  <c:v>0.343506699158726</c:v>
                </c:pt>
                <c:pt idx="23">
                  <c:v>0.27373810860773962</c:v>
                </c:pt>
                <c:pt idx="24">
                  <c:v>0.10056079978311802</c:v>
                </c:pt>
                <c:pt idx="25">
                  <c:v>-7.0434442088419008E-2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14B-4FE8-8525-0B2FF1CB70AD}"/>
            </c:ext>
          </c:extLst>
        </c:ser>
        <c:ser>
          <c:idx val="10"/>
          <c:order val="10"/>
          <c:tx>
            <c:strRef>
              <c:f>'SATORI H1 (Data)'!$BY$1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(Data)'!$BY$2:$BY$37</c:f>
              <c:numCache>
                <c:formatCode>0.00000</c:formatCode>
                <c:ptCount val="36"/>
                <c:pt idx="0">
                  <c:v>-0.14397666845401672</c:v>
                </c:pt>
                <c:pt idx="1">
                  <c:v>-0.21504814692299698</c:v>
                </c:pt>
                <c:pt idx="2">
                  <c:v>-0.256979670921203</c:v>
                </c:pt>
                <c:pt idx="3">
                  <c:v>-0.22174530161641201</c:v>
                </c:pt>
                <c:pt idx="4">
                  <c:v>-0.24058101169230364</c:v>
                </c:pt>
                <c:pt idx="5">
                  <c:v>-0.18471271512880927</c:v>
                </c:pt>
                <c:pt idx="6">
                  <c:v>-9.0069175460425296E-2</c:v>
                </c:pt>
                <c:pt idx="7">
                  <c:v>-0.18723379053673264</c:v>
                </c:pt>
                <c:pt idx="8">
                  <c:v>-5.5022033393957892E-2</c:v>
                </c:pt>
                <c:pt idx="9">
                  <c:v>-5.8054505101003274E-2</c:v>
                </c:pt>
                <c:pt idx="10">
                  <c:v>-6.7759356313499372E-2</c:v>
                </c:pt>
                <c:pt idx="11">
                  <c:v>-0.10416579782654706</c:v>
                </c:pt>
                <c:pt idx="12">
                  <c:v>-0.11751660858487972</c:v>
                </c:pt>
                <c:pt idx="13">
                  <c:v>-0.12540634646350907</c:v>
                </c:pt>
                <c:pt idx="14">
                  <c:v>-0.21470073853271421</c:v>
                </c:pt>
                <c:pt idx="15">
                  <c:v>-0.20680457910318356</c:v>
                </c:pt>
                <c:pt idx="16">
                  <c:v>-0.20923422565034103</c:v>
                </c:pt>
                <c:pt idx="17">
                  <c:v>-0.19830201145183349</c:v>
                </c:pt>
                <c:pt idx="18">
                  <c:v>-0.20255360883770931</c:v>
                </c:pt>
                <c:pt idx="19">
                  <c:v>-0.19769487648097633</c:v>
                </c:pt>
                <c:pt idx="20">
                  <c:v>-0.20073167642266271</c:v>
                </c:pt>
                <c:pt idx="21">
                  <c:v>-0.11819889088047658</c:v>
                </c:pt>
                <c:pt idx="22">
                  <c:v>-7.2098890273891936E-2</c:v>
                </c:pt>
                <c:pt idx="23">
                  <c:v>-0.13097168861330971</c:v>
                </c:pt>
                <c:pt idx="24">
                  <c:v>-9.4568781234444385E-2</c:v>
                </c:pt>
                <c:pt idx="25">
                  <c:v>-8.4862281519576574E-2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14B-4FE8-8525-0B2FF1CB70AD}"/>
            </c:ext>
          </c:extLst>
        </c:ser>
        <c:ser>
          <c:idx val="11"/>
          <c:order val="11"/>
          <c:tx>
            <c:strRef>
              <c:f>'SATORI H1 (Data)'!$BZ$1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(Data)'!$BZ$2:$BZ$37</c:f>
              <c:numCache>
                <c:formatCode>0.00000</c:formatCode>
                <c:ptCount val="36"/>
                <c:pt idx="0">
                  <c:v>-0.62834784173047631</c:v>
                </c:pt>
                <c:pt idx="1">
                  <c:v>-0.6792846358129514</c:v>
                </c:pt>
                <c:pt idx="2">
                  <c:v>-0.79568874654097543</c:v>
                </c:pt>
                <c:pt idx="3">
                  <c:v>-0.77019720308344086</c:v>
                </c:pt>
                <c:pt idx="4">
                  <c:v>-0.72422273829821304</c:v>
                </c:pt>
                <c:pt idx="5">
                  <c:v>-0.709269425862596</c:v>
                </c:pt>
                <c:pt idx="6">
                  <c:v>-0.56824286309471161</c:v>
                </c:pt>
                <c:pt idx="7">
                  <c:v>-0.56437169555057953</c:v>
                </c:pt>
                <c:pt idx="8">
                  <c:v>-0.47210191418024411</c:v>
                </c:pt>
                <c:pt idx="9">
                  <c:v>-0.45111080225894712</c:v>
                </c:pt>
                <c:pt idx="10">
                  <c:v>-0.39314266817037213</c:v>
                </c:pt>
                <c:pt idx="11">
                  <c:v>-0.3865181774280913</c:v>
                </c:pt>
                <c:pt idx="12">
                  <c:v>-0.43401624436723207</c:v>
                </c:pt>
                <c:pt idx="13">
                  <c:v>-0.36778376837649968</c:v>
                </c:pt>
                <c:pt idx="14">
                  <c:v>-0.34957315434770808</c:v>
                </c:pt>
                <c:pt idx="15">
                  <c:v>-0.32309200285896889</c:v>
                </c:pt>
                <c:pt idx="16">
                  <c:v>-0.30268361445975972</c:v>
                </c:pt>
                <c:pt idx="17">
                  <c:v>-0.31150964241619983</c:v>
                </c:pt>
                <c:pt idx="18">
                  <c:v>-0.24425643962023069</c:v>
                </c:pt>
                <c:pt idx="19">
                  <c:v>-0.2624511896078342</c:v>
                </c:pt>
                <c:pt idx="20">
                  <c:v>-0.24866918779963096</c:v>
                </c:pt>
                <c:pt idx="21">
                  <c:v>-8.0261575335262778E-2</c:v>
                </c:pt>
                <c:pt idx="22">
                  <c:v>-0.10228048958261106</c:v>
                </c:pt>
                <c:pt idx="23">
                  <c:v>-0.12430425322357724</c:v>
                </c:pt>
                <c:pt idx="24">
                  <c:v>-0.10888999503474939</c:v>
                </c:pt>
                <c:pt idx="25">
                  <c:v>-5.3869362297478955E-2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14B-4FE8-8525-0B2FF1CB70AD}"/>
            </c:ext>
          </c:extLst>
        </c:ser>
        <c:ser>
          <c:idx val="12"/>
          <c:order val="12"/>
          <c:tx>
            <c:strRef>
              <c:f>'SATORI H1 (Data)'!$CA$1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(Data)'!$CA$2:$CA$37</c:f>
              <c:numCache>
                <c:formatCode>0.00000</c:formatCode>
                <c:ptCount val="36"/>
                <c:pt idx="0">
                  <c:v>0.54039569407981003</c:v>
                </c:pt>
                <c:pt idx="1">
                  <c:v>0.59796754374819827</c:v>
                </c:pt>
                <c:pt idx="2">
                  <c:v>0.44959616942949898</c:v>
                </c:pt>
                <c:pt idx="3">
                  <c:v>0.41883616666110207</c:v>
                </c:pt>
                <c:pt idx="4">
                  <c:v>0.42344995419619924</c:v>
                </c:pt>
                <c:pt idx="5">
                  <c:v>0.39575956353092701</c:v>
                </c:pt>
                <c:pt idx="6">
                  <c:v>0.41114074772829667</c:v>
                </c:pt>
                <c:pt idx="7">
                  <c:v>0.34957813470319365</c:v>
                </c:pt>
                <c:pt idx="8">
                  <c:v>0.23401484068705661</c:v>
                </c:pt>
                <c:pt idx="9">
                  <c:v>0.23324441279139832</c:v>
                </c:pt>
                <c:pt idx="10">
                  <c:v>0.22553954022999134</c:v>
                </c:pt>
                <c:pt idx="11">
                  <c:v>0.22708049099662439</c:v>
                </c:pt>
                <c:pt idx="12">
                  <c:v>0.27713632250099773</c:v>
                </c:pt>
                <c:pt idx="13">
                  <c:v>0.2748259999799586</c:v>
                </c:pt>
                <c:pt idx="14">
                  <c:v>0.3071600569802887</c:v>
                </c:pt>
                <c:pt idx="15">
                  <c:v>0.30639019255340921</c:v>
                </c:pt>
                <c:pt idx="16">
                  <c:v>0.29099053288588955</c:v>
                </c:pt>
                <c:pt idx="17">
                  <c:v>0.31716310249337853</c:v>
                </c:pt>
                <c:pt idx="18">
                  <c:v>0.31177434190831199</c:v>
                </c:pt>
                <c:pt idx="19">
                  <c:v>0.32793801059928906</c:v>
                </c:pt>
                <c:pt idx="20">
                  <c:v>0.31408151767764225</c:v>
                </c:pt>
                <c:pt idx="21">
                  <c:v>0.24860523549797398</c:v>
                </c:pt>
                <c:pt idx="22">
                  <c:v>0.23627876903367157</c:v>
                </c:pt>
                <c:pt idx="23">
                  <c:v>0.28632997526774484</c:v>
                </c:pt>
                <c:pt idx="24">
                  <c:v>9.9637593396956894E-2</c:v>
                </c:pt>
                <c:pt idx="25">
                  <c:v>9.2956840168496174E-3</c:v>
                </c:pt>
                <c:pt idx="26">
                  <c:v>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14B-4FE8-8525-0B2FF1CB70AD}"/>
            </c:ext>
          </c:extLst>
        </c:ser>
        <c:ser>
          <c:idx val="13"/>
          <c:order val="13"/>
          <c:tx>
            <c:strRef>
              <c:f>'SATORI H1 (Data)'!$CB$1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(Data)'!$CB$2:$CB$37</c:f>
              <c:numCache>
                <c:formatCode>0.00000</c:formatCode>
                <c:ptCount val="36"/>
                <c:pt idx="0">
                  <c:v>-0.17659157310760826</c:v>
                </c:pt>
                <c:pt idx="1">
                  <c:v>-0.17348649734376223</c:v>
                </c:pt>
                <c:pt idx="2">
                  <c:v>-0.20868974432560225</c:v>
                </c:pt>
                <c:pt idx="3">
                  <c:v>-0.21127828537210308</c:v>
                </c:pt>
                <c:pt idx="4">
                  <c:v>-0.16832696009084391</c:v>
                </c:pt>
                <c:pt idx="5">
                  <c:v>-0.17712499347161781</c:v>
                </c:pt>
                <c:pt idx="6">
                  <c:v>-0.13108590680432741</c:v>
                </c:pt>
                <c:pt idx="7">
                  <c:v>-0.23776196372585179</c:v>
                </c:pt>
                <c:pt idx="8">
                  <c:v>-0.17979694975214253</c:v>
                </c:pt>
                <c:pt idx="9">
                  <c:v>-0.18859598496381128</c:v>
                </c:pt>
                <c:pt idx="10">
                  <c:v>-0.19273687887927793</c:v>
                </c:pt>
                <c:pt idx="11">
                  <c:v>-0.2341629721397773</c:v>
                </c:pt>
                <c:pt idx="12">
                  <c:v>-0.27975244925955806</c:v>
                </c:pt>
                <c:pt idx="13">
                  <c:v>-0.26835637883183711</c:v>
                </c:pt>
                <c:pt idx="14">
                  <c:v>-0.34871139246626537</c:v>
                </c:pt>
                <c:pt idx="15">
                  <c:v>-0.33782576926434632</c:v>
                </c:pt>
                <c:pt idx="16">
                  <c:v>-0.34093604405712163</c:v>
                </c:pt>
                <c:pt idx="17">
                  <c:v>-0.31709628867373552</c:v>
                </c:pt>
                <c:pt idx="18">
                  <c:v>-0.31502330943981444</c:v>
                </c:pt>
                <c:pt idx="19">
                  <c:v>-0.27358090660929135</c:v>
                </c:pt>
                <c:pt idx="20">
                  <c:v>-0.24872164627586471</c:v>
                </c:pt>
                <c:pt idx="21">
                  <c:v>-0.20161483287061327</c:v>
                </c:pt>
                <c:pt idx="22">
                  <c:v>-0.12816149126084828</c:v>
                </c:pt>
                <c:pt idx="23">
                  <c:v>-0.10437240734744546</c:v>
                </c:pt>
                <c:pt idx="24">
                  <c:v>-6.8184727701456865E-2</c:v>
                </c:pt>
                <c:pt idx="25">
                  <c:v>-9.3522521865495895E-2</c:v>
                </c:pt>
                <c:pt idx="26">
                  <c:v>-7.2326004298234617E-2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F14B-4FE8-8525-0B2FF1CB70AD}"/>
            </c:ext>
          </c:extLst>
        </c:ser>
        <c:ser>
          <c:idx val="14"/>
          <c:order val="14"/>
          <c:tx>
            <c:strRef>
              <c:f>'SATORI H1 (Data)'!$CC$1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(Data)'!$CC$2:$CC$37</c:f>
              <c:numCache>
                <c:formatCode>0.00000</c:formatCode>
                <c:ptCount val="36"/>
                <c:pt idx="0">
                  <c:v>-0.66117697796433295</c:v>
                </c:pt>
                <c:pt idx="1">
                  <c:v>-0.63759251729379263</c:v>
                </c:pt>
                <c:pt idx="2">
                  <c:v>-0.74761702489869231</c:v>
                </c:pt>
                <c:pt idx="3">
                  <c:v>-0.759895945298247</c:v>
                </c:pt>
                <c:pt idx="4">
                  <c:v>-0.65186382815178823</c:v>
                </c:pt>
                <c:pt idx="5">
                  <c:v>-0.70189497962347258</c:v>
                </c:pt>
                <c:pt idx="6">
                  <c:v>-0.60947005129994947</c:v>
                </c:pt>
                <c:pt idx="7">
                  <c:v>-0.61512904060445472</c:v>
                </c:pt>
                <c:pt idx="8">
                  <c:v>-0.5972121185430741</c:v>
                </c:pt>
                <c:pt idx="9">
                  <c:v>-0.58165510680929755</c:v>
                </c:pt>
                <c:pt idx="10">
                  <c:v>-0.51805326376922545</c:v>
                </c:pt>
                <c:pt idx="11">
                  <c:v>-0.51663990945544425</c:v>
                </c:pt>
                <c:pt idx="12">
                  <c:v>-0.59585044445659474</c:v>
                </c:pt>
                <c:pt idx="13">
                  <c:v>-0.51105397952700882</c:v>
                </c:pt>
                <c:pt idx="14">
                  <c:v>-0.48373813775165581</c:v>
                </c:pt>
                <c:pt idx="15">
                  <c:v>-0.45454696855116122</c:v>
                </c:pt>
                <c:pt idx="16">
                  <c:v>-0.43430557820302301</c:v>
                </c:pt>
                <c:pt idx="17">
                  <c:v>-0.43336412705020994</c:v>
                </c:pt>
                <c:pt idx="18">
                  <c:v>-0.35998482189578379</c:v>
                </c:pt>
                <c:pt idx="19">
                  <c:v>-0.33835201527426839</c:v>
                </c:pt>
                <c:pt idx="20">
                  <c:v>-0.29651474814096457</c:v>
                </c:pt>
                <c:pt idx="21">
                  <c:v>-0.16318955202617566</c:v>
                </c:pt>
                <c:pt idx="22">
                  <c:v>-0.15849522324476656</c:v>
                </c:pt>
                <c:pt idx="23">
                  <c:v>-9.8443898127833107E-2</c:v>
                </c:pt>
                <c:pt idx="24">
                  <c:v>-7.9681380010278621E-2</c:v>
                </c:pt>
                <c:pt idx="25">
                  <c:v>-6.2797964682944935E-2</c:v>
                </c:pt>
                <c:pt idx="26">
                  <c:v>-7.170945018067075E-2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F14B-4FE8-8525-0B2FF1CB70AD}"/>
            </c:ext>
          </c:extLst>
        </c:ser>
        <c:ser>
          <c:idx val="15"/>
          <c:order val="15"/>
          <c:tx>
            <c:strRef>
              <c:f>'SATORI H1 (Data)'!$CD$1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(Data)'!$CD$2:$CD$37</c:f>
              <c:numCache>
                <c:formatCode>0.00000</c:formatCode>
                <c:ptCount val="36"/>
                <c:pt idx="0">
                  <c:v>9.5105141656639428E-2</c:v>
                </c:pt>
                <c:pt idx="1">
                  <c:v>0.13793893526539189</c:v>
                </c:pt>
                <c:pt idx="2">
                  <c:v>-5.6882760530409748E-2</c:v>
                </c:pt>
                <c:pt idx="3">
                  <c:v>-0.11508076936747152</c:v>
                </c:pt>
                <c:pt idx="4">
                  <c:v>-7.5544361984321642E-2</c:v>
                </c:pt>
                <c:pt idx="5">
                  <c:v>-9.2491408114191903E-2</c:v>
                </c:pt>
                <c:pt idx="6">
                  <c:v>-5.8044284449017977E-2</c:v>
                </c:pt>
                <c:pt idx="7">
                  <c:v>-6.538601370863073E-2</c:v>
                </c:pt>
                <c:pt idx="8">
                  <c:v>-0.10210814020223483</c:v>
                </c:pt>
                <c:pt idx="9">
                  <c:v>-0.10662799082116388</c:v>
                </c:pt>
                <c:pt idx="10">
                  <c:v>-8.7422314979079305E-2</c:v>
                </c:pt>
                <c:pt idx="11">
                  <c:v>-0.10719677315892928</c:v>
                </c:pt>
                <c:pt idx="12">
                  <c:v>-0.10663179183155848</c:v>
                </c:pt>
                <c:pt idx="13">
                  <c:v>-7.895536875507668E-2</c:v>
                </c:pt>
                <c:pt idx="14">
                  <c:v>-7.0483712094372472E-2</c:v>
                </c:pt>
                <c:pt idx="15">
                  <c:v>-5.9754098360471866E-2</c:v>
                </c:pt>
                <c:pt idx="16">
                  <c:v>-6.7660754635534753E-2</c:v>
                </c:pt>
                <c:pt idx="17">
                  <c:v>-4.78980203765485E-2</c:v>
                </c:pt>
                <c:pt idx="18">
                  <c:v>-3.3219287038326377E-2</c:v>
                </c:pt>
                <c:pt idx="19">
                  <c:v>-3.3783856892545601E-2</c:v>
                </c:pt>
                <c:pt idx="20">
                  <c:v>7.9768654550820932E-3</c:v>
                </c:pt>
                <c:pt idx="21">
                  <c:v>1.2043977936083972E-3</c:v>
                </c:pt>
                <c:pt idx="22">
                  <c:v>6.04283942288876E-2</c:v>
                </c:pt>
                <c:pt idx="23">
                  <c:v>4.5574279433573811E-3</c:v>
                </c:pt>
                <c:pt idx="24">
                  <c:v>-5.586485037182818E-2</c:v>
                </c:pt>
                <c:pt idx="25">
                  <c:v>-6.9419347923548078E-2</c:v>
                </c:pt>
                <c:pt idx="26">
                  <c:v>-1.1287573510271117E-3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F14B-4FE8-8525-0B2FF1CB70AD}"/>
            </c:ext>
          </c:extLst>
        </c:ser>
        <c:ser>
          <c:idx val="16"/>
          <c:order val="16"/>
          <c:tx>
            <c:strRef>
              <c:f>'SATORI H1 (Data)'!$CE$1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(Data)'!$CE$2:$CE$37</c:f>
              <c:numCache>
                <c:formatCode>0.00000</c:formatCode>
                <c:ptCount val="36"/>
                <c:pt idx="0">
                  <c:v>-0.22444450554263107</c:v>
                </c:pt>
                <c:pt idx="1">
                  <c:v>-0.11722123094383666</c:v>
                </c:pt>
                <c:pt idx="2">
                  <c:v>-0.21918720650777276</c:v>
                </c:pt>
                <c:pt idx="3">
                  <c:v>-0.24513264950385621</c:v>
                </c:pt>
                <c:pt idx="4">
                  <c:v>-0.18254491491160235</c:v>
                </c:pt>
                <c:pt idx="5">
                  <c:v>-0.20579719318770773</c:v>
                </c:pt>
                <c:pt idx="6">
                  <c:v>-0.28814223682163315</c:v>
                </c:pt>
                <c:pt idx="7">
                  <c:v>-8.3593940199814948E-2</c:v>
                </c:pt>
                <c:pt idx="8">
                  <c:v>-0.14794745551059366</c:v>
                </c:pt>
                <c:pt idx="9">
                  <c:v>-0.13990391313451819</c:v>
                </c:pt>
                <c:pt idx="10">
                  <c:v>-0.13632913320692375</c:v>
                </c:pt>
                <c:pt idx="11">
                  <c:v>-0.15510025071410338</c:v>
                </c:pt>
                <c:pt idx="12">
                  <c:v>-0.18371204234873956</c:v>
                </c:pt>
                <c:pt idx="13">
                  <c:v>-0.11401940475045481</c:v>
                </c:pt>
                <c:pt idx="14">
                  <c:v>-3.3485968535455972E-3</c:v>
                </c:pt>
                <c:pt idx="15">
                  <c:v>-6.0261880924846051E-3</c:v>
                </c:pt>
                <c:pt idx="16">
                  <c:v>-4.6206194521271296E-2</c:v>
                </c:pt>
                <c:pt idx="17">
                  <c:v>3.854637258938045E-2</c:v>
                </c:pt>
                <c:pt idx="18">
                  <c:v>7.3119897807782767E-3</c:v>
                </c:pt>
                <c:pt idx="19">
                  <c:v>2.6049108011998199E-2</c:v>
                </c:pt>
                <c:pt idx="20">
                  <c:v>8.2010485422660054E-3</c:v>
                </c:pt>
                <c:pt idx="21">
                  <c:v>-1.0542926608582241E-2</c:v>
                </c:pt>
                <c:pt idx="22">
                  <c:v>-3.1969202364752813E-2</c:v>
                </c:pt>
                <c:pt idx="23">
                  <c:v>7.3265792730222545E-2</c:v>
                </c:pt>
                <c:pt idx="24">
                  <c:v>4.739626435849513E-2</c:v>
                </c:pt>
                <c:pt idx="25">
                  <c:v>2.1520041930045253E-2</c:v>
                </c:pt>
                <c:pt idx="26">
                  <c:v>-9.0139940025699292E-2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F14B-4FE8-8525-0B2FF1CB70AD}"/>
            </c:ext>
          </c:extLst>
        </c:ser>
        <c:ser>
          <c:idx val="17"/>
          <c:order val="17"/>
          <c:tx>
            <c:strRef>
              <c:f>'SATORI H1 (Data)'!$CF$1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(Data)'!$CF$2:$CF$37</c:f>
              <c:numCache>
                <c:formatCode>0.00000</c:formatCode>
                <c:ptCount val="36"/>
                <c:pt idx="0">
                  <c:v>0.37365270082395563</c:v>
                </c:pt>
                <c:pt idx="1">
                  <c:v>0.47553543065090659</c:v>
                </c:pt>
                <c:pt idx="2">
                  <c:v>0.46555622940717989</c:v>
                </c:pt>
                <c:pt idx="3">
                  <c:v>0.48761065131877407</c:v>
                </c:pt>
                <c:pt idx="4">
                  <c:v>0.51280935358560842</c:v>
                </c:pt>
                <c:pt idx="5">
                  <c:v>0.51438424767398849</c:v>
                </c:pt>
                <c:pt idx="6">
                  <c:v>0.55531473406460319</c:v>
                </c:pt>
                <c:pt idx="7">
                  <c:v>0.82692018919999</c:v>
                </c:pt>
                <c:pt idx="8">
                  <c:v>0.87399722815884229</c:v>
                </c:pt>
                <c:pt idx="9">
                  <c:v>0.63017280271931608</c:v>
                </c:pt>
                <c:pt idx="10">
                  <c:v>0.71871010364135224</c:v>
                </c:pt>
                <c:pt idx="11">
                  <c:v>0.67415966992977272</c:v>
                </c:pt>
                <c:pt idx="12">
                  <c:v>0.27212000271759068</c:v>
                </c:pt>
                <c:pt idx="13">
                  <c:v>0.21262063983466251</c:v>
                </c:pt>
                <c:pt idx="14">
                  <c:v>0.55370623657703577</c:v>
                </c:pt>
                <c:pt idx="15">
                  <c:v>0.49962805948412697</c:v>
                </c:pt>
                <c:pt idx="16">
                  <c:v>0.43343038060591238</c:v>
                </c:pt>
                <c:pt idx="17">
                  <c:v>0.48908949478585662</c:v>
                </c:pt>
                <c:pt idx="18">
                  <c:v>0.50641433019992832</c:v>
                </c:pt>
                <c:pt idx="19">
                  <c:v>0.53580541000719795</c:v>
                </c:pt>
                <c:pt idx="20">
                  <c:v>0.44387384911436745</c:v>
                </c:pt>
                <c:pt idx="21">
                  <c:v>0.35133140315441513</c:v>
                </c:pt>
                <c:pt idx="22">
                  <c:v>0.28714148518071958</c:v>
                </c:pt>
                <c:pt idx="23">
                  <c:v>0.29608518197887401</c:v>
                </c:pt>
                <c:pt idx="24">
                  <c:v>0.13061649455660582</c:v>
                </c:pt>
                <c:pt idx="25">
                  <c:v>-8.1675306332704201E-2</c:v>
                </c:pt>
                <c:pt idx="26">
                  <c:v>-0.15407588765124058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F14B-4FE8-8525-0B2FF1CB70AD}"/>
            </c:ext>
          </c:extLst>
        </c:ser>
        <c:ser>
          <c:idx val="18"/>
          <c:order val="18"/>
          <c:tx>
            <c:strRef>
              <c:f>'SATORI H1 (Data)'!$CG$1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(Data)'!$CG$2:$CG$37</c:f>
              <c:numCache>
                <c:formatCode>0.00000</c:formatCode>
                <c:ptCount val="36"/>
                <c:pt idx="0">
                  <c:v>1.0346585344084367</c:v>
                </c:pt>
                <c:pt idx="1">
                  <c:v>1.1114856844552041</c:v>
                </c:pt>
                <c:pt idx="2">
                  <c:v>1.2071496591821149</c:v>
                </c:pt>
                <c:pt idx="3">
                  <c:v>1.2416212979193477</c:v>
                </c:pt>
                <c:pt idx="4">
                  <c:v>1.1659488705036749</c:v>
                </c:pt>
                <c:pt idx="5">
                  <c:v>1.2160011473261356</c:v>
                </c:pt>
                <c:pt idx="6">
                  <c:v>1.1648104061732236</c:v>
                </c:pt>
                <c:pt idx="7">
                  <c:v>1.4411424040868561</c:v>
                </c:pt>
                <c:pt idx="8">
                  <c:v>1.4710971391538674</c:v>
                </c:pt>
                <c:pt idx="9">
                  <c:v>1.2074679552919843</c:v>
                </c:pt>
                <c:pt idx="10">
                  <c:v>1.2374926422568229</c:v>
                </c:pt>
                <c:pt idx="11">
                  <c:v>1.1907657498176774</c:v>
                </c:pt>
                <c:pt idx="12">
                  <c:v>0.86260412463629887</c:v>
                </c:pt>
                <c:pt idx="13">
                  <c:v>0.71952661686763708</c:v>
                </c:pt>
                <c:pt idx="14">
                  <c:v>1.0381966707964172</c:v>
                </c:pt>
                <c:pt idx="15">
                  <c:v>0.95455945558113164</c:v>
                </c:pt>
                <c:pt idx="16">
                  <c:v>0.80825939527423629</c:v>
                </c:pt>
                <c:pt idx="17">
                  <c:v>0.89529353943848855</c:v>
                </c:pt>
                <c:pt idx="18">
                  <c:v>0.85399106017344262</c:v>
                </c:pt>
                <c:pt idx="19">
                  <c:v>0.86738466472726872</c:v>
                </c:pt>
                <c:pt idx="20">
                  <c:v>0.74110228391325073</c:v>
                </c:pt>
                <c:pt idx="21">
                  <c:v>0.50811171555068335</c:v>
                </c:pt>
                <c:pt idx="22">
                  <c:v>0.43861433851620635</c:v>
                </c:pt>
                <c:pt idx="23">
                  <c:v>0.39487912718542073</c:v>
                </c:pt>
                <c:pt idx="24">
                  <c:v>0.20274861326437799</c:v>
                </c:pt>
                <c:pt idx="25">
                  <c:v>-2.0214316333380326E-2</c:v>
                </c:pt>
                <c:pt idx="26">
                  <c:v>-8.218684560132343E-2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F14B-4FE8-8525-0B2FF1CB70AD}"/>
            </c:ext>
          </c:extLst>
        </c:ser>
        <c:ser>
          <c:idx val="19"/>
          <c:order val="19"/>
          <c:tx>
            <c:strRef>
              <c:f>'SATORI H1 (Data)'!$CH$1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(Data)'!$CH$2:$CH$37</c:f>
              <c:numCache>
                <c:formatCode>0.00000</c:formatCode>
                <c:ptCount val="36"/>
                <c:pt idx="0">
                  <c:v>0.43796270854926966</c:v>
                </c:pt>
                <c:pt idx="1">
                  <c:v>0.51752926028646806</c:v>
                </c:pt>
                <c:pt idx="2">
                  <c:v>0.52321226242706076</c:v>
                </c:pt>
                <c:pt idx="3">
                  <c:v>0.50995016550007533</c:v>
                </c:pt>
                <c:pt idx="4">
                  <c:v>0.47014803892932555</c:v>
                </c:pt>
                <c:pt idx="5">
                  <c:v>0.49667575091417238</c:v>
                </c:pt>
                <c:pt idx="6">
                  <c:v>0.32204636382535212</c:v>
                </c:pt>
                <c:pt idx="7">
                  <c:v>0.53040732077039976</c:v>
                </c:pt>
                <c:pt idx="8">
                  <c:v>0.44889073309266675</c:v>
                </c:pt>
                <c:pt idx="9">
                  <c:v>0.43751503159108379</c:v>
                </c:pt>
                <c:pt idx="10">
                  <c:v>0.38250222688653818</c:v>
                </c:pt>
                <c:pt idx="11">
                  <c:v>0.36163094576934512</c:v>
                </c:pt>
                <c:pt idx="12">
                  <c:v>0.40714755933329927</c:v>
                </c:pt>
                <c:pt idx="13">
                  <c:v>0.39197305250477721</c:v>
                </c:pt>
                <c:pt idx="14">
                  <c:v>0.48104387328290943</c:v>
                </c:pt>
                <c:pt idx="15">
                  <c:v>0.44881638513124994</c:v>
                </c:pt>
                <c:pt idx="16">
                  <c:v>0.32734198965617622</c:v>
                </c:pt>
                <c:pt idx="17">
                  <c:v>0.44866900387418063</c:v>
                </c:pt>
                <c:pt idx="18">
                  <c:v>0.35569164101579265</c:v>
                </c:pt>
                <c:pt idx="19">
                  <c:v>0.35569164101579276</c:v>
                </c:pt>
                <c:pt idx="20">
                  <c:v>0.30443295551630672</c:v>
                </c:pt>
                <c:pt idx="21">
                  <c:v>0.14661127500062962</c:v>
                </c:pt>
                <c:pt idx="22">
                  <c:v>0.11998366216611472</c:v>
                </c:pt>
                <c:pt idx="23">
                  <c:v>0.17131055745924689</c:v>
                </c:pt>
                <c:pt idx="24">
                  <c:v>0.11995730413555164</c:v>
                </c:pt>
                <c:pt idx="25">
                  <c:v>8.3806765682811354E-2</c:v>
                </c:pt>
                <c:pt idx="26">
                  <c:v>-1.9042541036694977E-2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F14B-4FE8-8525-0B2FF1CB70AD}"/>
            </c:ext>
          </c:extLst>
        </c:ser>
        <c:ser>
          <c:idx val="20"/>
          <c:order val="20"/>
          <c:tx>
            <c:strRef>
              <c:f>'SATORI H1 (Data)'!$CI$1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(Data)'!$CI$2:$CI$37</c:f>
              <c:numCache>
                <c:formatCode>0.00000</c:formatCode>
                <c:ptCount val="36"/>
                <c:pt idx="0">
                  <c:v>1.2015596102495656</c:v>
                </c:pt>
                <c:pt idx="1">
                  <c:v>1.2324825795056278</c:v>
                </c:pt>
                <c:pt idx="2">
                  <c:v>1.1885200941597909</c:v>
                </c:pt>
                <c:pt idx="3">
                  <c:v>1.1738637846185278</c:v>
                </c:pt>
                <c:pt idx="4">
                  <c:v>1.0776911302532708</c:v>
                </c:pt>
                <c:pt idx="5">
                  <c:v>1.0972478447252407</c:v>
                </c:pt>
                <c:pt idx="6">
                  <c:v>1.0205919968626209</c:v>
                </c:pt>
                <c:pt idx="7">
                  <c:v>0.96510806272531324</c:v>
                </c:pt>
                <c:pt idx="8">
                  <c:v>0.83275079614797787</c:v>
                </c:pt>
                <c:pt idx="9">
                  <c:v>0.81150375847535161</c:v>
                </c:pt>
                <c:pt idx="10">
                  <c:v>0.7444489370701407</c:v>
                </c:pt>
                <c:pt idx="11">
                  <c:v>0.7444489370701407</c:v>
                </c:pt>
                <c:pt idx="12">
                  <c:v>0.86695992222181395</c:v>
                </c:pt>
                <c:pt idx="13">
                  <c:v>0.78194676153059728</c:v>
                </c:pt>
                <c:pt idx="14">
                  <c:v>0.79175501026777695</c:v>
                </c:pt>
                <c:pt idx="15">
                  <c:v>0.76232160335093313</c:v>
                </c:pt>
                <c:pt idx="16">
                  <c:v>0.6657522698429964</c:v>
                </c:pt>
                <c:pt idx="17">
                  <c:v>0.73935263620927461</c:v>
                </c:pt>
                <c:pt idx="18">
                  <c:v>0.67224952655296999</c:v>
                </c:pt>
                <c:pt idx="19">
                  <c:v>0.6591545222970987</c:v>
                </c:pt>
                <c:pt idx="20">
                  <c:v>0.61166258773770721</c:v>
                </c:pt>
                <c:pt idx="21">
                  <c:v>0.40653606569891798</c:v>
                </c:pt>
                <c:pt idx="22">
                  <c:v>0.39012325057286945</c:v>
                </c:pt>
                <c:pt idx="23">
                  <c:v>0.38519916358065187</c:v>
                </c:pt>
                <c:pt idx="24">
                  <c:v>0.17136578912552103</c:v>
                </c:pt>
                <c:pt idx="25">
                  <c:v>7.0927813691662012E-2</c:v>
                </c:pt>
                <c:pt idx="26">
                  <c:v>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F14B-4FE8-8525-0B2FF1CB70AD}"/>
            </c:ext>
          </c:extLst>
        </c:ser>
        <c:ser>
          <c:idx val="21"/>
          <c:order val="21"/>
          <c:tx>
            <c:strRef>
              <c:f>'SATORI H1 (Data)'!$CJ$1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(Data)'!$CJ$2:$CJ$37</c:f>
              <c:numCache>
                <c:formatCode>0.00000</c:formatCode>
                <c:ptCount val="36"/>
                <c:pt idx="0">
                  <c:v>0.75630527709720696</c:v>
                </c:pt>
                <c:pt idx="1">
                  <c:v>0.77303447911427425</c:v>
                </c:pt>
                <c:pt idx="2">
                  <c:v>0.68453043663232516</c:v>
                </c:pt>
                <c:pt idx="3">
                  <c:v>0.639061750198753</c:v>
                </c:pt>
                <c:pt idx="4">
                  <c:v>0.57680270467780326</c:v>
                </c:pt>
                <c:pt idx="5">
                  <c:v>0.61031557122478797</c:v>
                </c:pt>
                <c:pt idx="6">
                  <c:v>0.55163363927187836</c:v>
                </c:pt>
                <c:pt idx="7">
                  <c:v>0.54804073884312854</c:v>
                </c:pt>
                <c:pt idx="8">
                  <c:v>0.49651596501291573</c:v>
                </c:pt>
                <c:pt idx="9">
                  <c:v>0.47014750169504416</c:v>
                </c:pt>
                <c:pt idx="10">
                  <c:v>0.4305791563712969</c:v>
                </c:pt>
                <c:pt idx="11">
                  <c:v>0.40899176340879195</c:v>
                </c:pt>
                <c:pt idx="12">
                  <c:v>0.48329309124541942</c:v>
                </c:pt>
                <c:pt idx="13">
                  <c:v>0.42693614795010065</c:v>
                </c:pt>
                <c:pt idx="14">
                  <c:v>0.41374448508104061</c:v>
                </c:pt>
                <c:pt idx="15">
                  <c:v>0.39455292936554953</c:v>
                </c:pt>
                <c:pt idx="16">
                  <c:v>0.30691471910587531</c:v>
                </c:pt>
                <c:pt idx="17">
                  <c:v>0.37170098441762744</c:v>
                </c:pt>
                <c:pt idx="18">
                  <c:v>0.32488900054975706</c:v>
                </c:pt>
                <c:pt idx="19">
                  <c:v>0.29727430953414258</c:v>
                </c:pt>
                <c:pt idx="20">
                  <c:v>0.30447762305835746</c:v>
                </c:pt>
                <c:pt idx="21">
                  <c:v>0.15779540647364865</c:v>
                </c:pt>
                <c:pt idx="22">
                  <c:v>0.21187024605163196</c:v>
                </c:pt>
                <c:pt idx="23">
                  <c:v>0.10360347673202702</c:v>
                </c:pt>
                <c:pt idx="24">
                  <c:v>1.81200135681771E-2</c:v>
                </c:pt>
                <c:pt idx="25">
                  <c:v>-8.3748380004382977E-3</c:v>
                </c:pt>
                <c:pt idx="26">
                  <c:v>6.9844175236616873E-2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F14B-4FE8-8525-0B2FF1CB70AD}"/>
            </c:ext>
          </c:extLst>
        </c:ser>
        <c:ser>
          <c:idx val="22"/>
          <c:order val="22"/>
          <c:tx>
            <c:strRef>
              <c:f>'SATORI H1 (Data)'!$CK$1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(Data)'!$CK$2:$CK$37</c:f>
              <c:numCache>
                <c:formatCode>0.00000</c:formatCode>
                <c:ptCount val="36"/>
                <c:pt idx="0">
                  <c:v>0.279476767041133</c:v>
                </c:pt>
                <c:pt idx="1">
                  <c:v>0.33818135252152104</c:v>
                </c:pt>
                <c:pt idx="2">
                  <c:v>0.5232700835011076</c:v>
                </c:pt>
                <c:pt idx="3">
                  <c:v>0.60412284782922954</c:v>
                </c:pt>
                <c:pt idx="4">
                  <c:v>0.589251162588456</c:v>
                </c:pt>
                <c:pt idx="5">
                  <c:v>0.60597900980745201</c:v>
                </c:pt>
                <c:pt idx="6">
                  <c:v>0.61155464798570525</c:v>
                </c:pt>
                <c:pt idx="7">
                  <c:v>0.89140971642045597</c:v>
                </c:pt>
                <c:pt idx="8">
                  <c:v>0.97659095802963958</c:v>
                </c:pt>
                <c:pt idx="9">
                  <c:v>0.73807144954689208</c:v>
                </c:pt>
                <c:pt idx="10">
                  <c:v>0.8076298925506934</c:v>
                </c:pt>
                <c:pt idx="11">
                  <c:v>0.7797987717914725</c:v>
                </c:pt>
                <c:pt idx="12">
                  <c:v>0.37928835386350213</c:v>
                </c:pt>
                <c:pt idx="13">
                  <c:v>0.29165819044257524</c:v>
                </c:pt>
                <c:pt idx="14">
                  <c:v>0.62428847838146606</c:v>
                </c:pt>
                <c:pt idx="15">
                  <c:v>0.5573459838437983</c:v>
                </c:pt>
                <c:pt idx="16">
                  <c:v>0.48197891832097134</c:v>
                </c:pt>
                <c:pt idx="17">
                  <c:v>0.52848016455436775</c:v>
                </c:pt>
                <c:pt idx="18">
                  <c:v>0.53963921826661343</c:v>
                </c:pt>
                <c:pt idx="19">
                  <c:v>0.57031720170050337</c:v>
                </c:pt>
                <c:pt idx="20">
                  <c:v>0.43627019215895768</c:v>
                </c:pt>
                <c:pt idx="21">
                  <c:v>0.35055564025041253</c:v>
                </c:pt>
                <c:pt idx="22">
                  <c:v>0.22648847607131223</c:v>
                </c:pt>
                <c:pt idx="23">
                  <c:v>0.29174437240765339</c:v>
                </c:pt>
                <c:pt idx="24">
                  <c:v>0.1853574225401797</c:v>
                </c:pt>
                <c:pt idx="25">
                  <c:v>-1.1940253835539344E-2</c:v>
                </c:pt>
                <c:pt idx="26">
                  <c:v>-0.15239626769385806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F14B-4FE8-8525-0B2FF1CB70AD}"/>
            </c:ext>
          </c:extLst>
        </c:ser>
        <c:ser>
          <c:idx val="23"/>
          <c:order val="23"/>
          <c:tx>
            <c:strRef>
              <c:f>'SATORI H1 (Data)'!$CL$1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(Data)'!$CL$2:$CL$37</c:f>
              <c:numCache>
                <c:formatCode>0.00000</c:formatCode>
                <c:ptCount val="36"/>
                <c:pt idx="0">
                  <c:v>-0.31747769829853945</c:v>
                </c:pt>
                <c:pt idx="1">
                  <c:v>-0.25564556461429533</c:v>
                </c:pt>
                <c:pt idx="2">
                  <c:v>-0.16060960934454455</c:v>
                </c:pt>
                <c:pt idx="3">
                  <c:v>-0.12735808531637063</c:v>
                </c:pt>
                <c:pt idx="4">
                  <c:v>-0.1051953156033739</c:v>
                </c:pt>
                <c:pt idx="5">
                  <c:v>-0.11311121706623159</c:v>
                </c:pt>
                <c:pt idx="6">
                  <c:v>-0.23040397344600069</c:v>
                </c:pt>
                <c:pt idx="7">
                  <c:v>-1.8459142369193202E-2</c:v>
                </c:pt>
                <c:pt idx="8">
                  <c:v>-4.377239385635448E-2</c:v>
                </c:pt>
                <c:pt idx="9">
                  <c:v>-3.1117369811796143E-2</c:v>
                </c:pt>
                <c:pt idx="10">
                  <c:v>-4.6938652601420543E-2</c:v>
                </c:pt>
                <c:pt idx="11">
                  <c:v>-4.8520805912069136E-2</c:v>
                </c:pt>
                <c:pt idx="12">
                  <c:v>-7.5424648413810524E-2</c:v>
                </c:pt>
                <c:pt idx="13">
                  <c:v>-3.2713266621515594E-2</c:v>
                </c:pt>
                <c:pt idx="14">
                  <c:v>6.8426131915119634E-2</c:v>
                </c:pt>
                <c:pt idx="15">
                  <c:v>5.2620603141156234E-2</c:v>
                </c:pt>
                <c:pt idx="16">
                  <c:v>2.0173170902703652E-3</c:v>
                </c:pt>
                <c:pt idx="17">
                  <c:v>7.9443604104774468E-2</c:v>
                </c:pt>
                <c:pt idx="18">
                  <c:v>4.1506137695236672E-2</c:v>
                </c:pt>
                <c:pt idx="19">
                  <c:v>6.2051376731202583E-2</c:v>
                </c:pt>
                <c:pt idx="20">
                  <c:v>1.9599745457657448E-3</c:v>
                </c:pt>
                <c:pt idx="21">
                  <c:v>-1.0692447602294305E-2</c:v>
                </c:pt>
                <c:pt idx="22">
                  <c:v>-9.3000882634024978E-2</c:v>
                </c:pt>
                <c:pt idx="23">
                  <c:v>6.9767764647892749E-2</c:v>
                </c:pt>
                <c:pt idx="24">
                  <c:v>0.10452180085527923</c:v>
                </c:pt>
                <c:pt idx="25">
                  <c:v>9.3462475474125201E-2</c:v>
                </c:pt>
                <c:pt idx="26">
                  <c:v>-8.8557150989943212E-2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F14B-4FE8-8525-0B2FF1CB70AD}"/>
            </c:ext>
          </c:extLst>
        </c:ser>
        <c:ser>
          <c:idx val="24"/>
          <c:order val="24"/>
          <c:tx>
            <c:strRef>
              <c:f>'SATORI H1 (Data)'!$CM$1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(Data)'!$CM$2:$CM$37</c:f>
              <c:numCache>
                <c:formatCode>0.00000</c:formatCode>
                <c:ptCount val="36"/>
                <c:pt idx="0">
                  <c:v>0.59163781700226037</c:v>
                </c:pt>
                <c:pt idx="1">
                  <c:v>0.59046228683815072</c:v>
                </c:pt>
                <c:pt idx="2">
                  <c:v>0.67913611396530105</c:v>
                </c:pt>
                <c:pt idx="3">
                  <c:v>0.7319601453779937</c:v>
                </c:pt>
                <c:pt idx="4">
                  <c:v>0.69555701001116643</c:v>
                </c:pt>
                <c:pt idx="5">
                  <c:v>0.71962425742246794</c:v>
                </c:pt>
                <c:pt idx="6">
                  <c:v>0.84274375368784793</c:v>
                </c:pt>
                <c:pt idx="7">
                  <c:v>0.91012090755969599</c:v>
                </c:pt>
                <c:pt idx="8">
                  <c:v>1.0213159026144436</c:v>
                </c:pt>
                <c:pt idx="9">
                  <c:v>0.7702055607406223</c:v>
                </c:pt>
                <c:pt idx="10">
                  <c:v>0.85520567798215275</c:v>
                </c:pt>
                <c:pt idx="11">
                  <c:v>0.8223672664230417</c:v>
                </c:pt>
                <c:pt idx="12">
                  <c:v>0.45570040357291663</c:v>
                </c:pt>
                <c:pt idx="13">
                  <c:v>0.32487128879100646</c:v>
                </c:pt>
                <c:pt idx="14">
                  <c:v>0.55476580777640794</c:v>
                </c:pt>
                <c:pt idx="15">
                  <c:v>0.50594084233624881</c:v>
                </c:pt>
                <c:pt idx="16">
                  <c:v>0.37458820468103299</c:v>
                </c:pt>
                <c:pt idx="17">
                  <c:v>0.44286848345293789</c:v>
                </c:pt>
                <c:pt idx="18">
                  <c:v>0.49993234202869957</c:v>
                </c:pt>
                <c:pt idx="19">
                  <c:v>0.50463841816123522</c:v>
                </c:pt>
                <c:pt idx="20">
                  <c:v>0.43105186860510919</c:v>
                </c:pt>
                <c:pt idx="21">
                  <c:v>0.36212738509691766</c:v>
                </c:pt>
                <c:pt idx="22">
                  <c:v>0.31733587190994644</c:v>
                </c:pt>
                <c:pt idx="23">
                  <c:v>0.22412988077040563</c:v>
                </c:pt>
                <c:pt idx="24">
                  <c:v>8.2942012293696105E-2</c:v>
                </c:pt>
                <c:pt idx="25">
                  <c:v>-0.10348933658150009</c:v>
                </c:pt>
                <c:pt idx="26">
                  <c:v>-6.9765516915178724E-2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F14B-4FE8-8525-0B2FF1CB70AD}"/>
            </c:ext>
          </c:extLst>
        </c:ser>
        <c:ser>
          <c:idx val="25"/>
          <c:order val="25"/>
          <c:tx>
            <c:strRef>
              <c:f>'SATORI H1 (Data)'!$CN$1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(Data)'!$CN$2:$CN$37</c:f>
              <c:numCache>
                <c:formatCode>0.00000</c:formatCode>
                <c:ptCount val="36"/>
                <c:pt idx="0">
                  <c:v>-0.4442510535072321</c:v>
                </c:pt>
                <c:pt idx="1">
                  <c:v>-0.45820041000140171</c:v>
                </c:pt>
                <c:pt idx="2">
                  <c:v>-0.50227042256135046</c:v>
                </c:pt>
                <c:pt idx="3">
                  <c:v>-0.53312895090342938</c:v>
                </c:pt>
                <c:pt idx="4">
                  <c:v>-0.49934293390760082</c:v>
                </c:pt>
                <c:pt idx="5">
                  <c:v>-0.486124066177055</c:v>
                </c:pt>
                <c:pt idx="6">
                  <c:v>-0.46629969541726812</c:v>
                </c:pt>
                <c:pt idx="7">
                  <c:v>-0.41346263902839975</c:v>
                </c:pt>
                <c:pt idx="8">
                  <c:v>-0.33646792599867859</c:v>
                </c:pt>
                <c:pt idx="9">
                  <c:v>-0.34013447533577412</c:v>
                </c:pt>
                <c:pt idx="10">
                  <c:v>-0.31300936995107548</c:v>
                </c:pt>
                <c:pt idx="11">
                  <c:v>-0.33280728457073505</c:v>
                </c:pt>
                <c:pt idx="12">
                  <c:v>-0.38342756643033921</c:v>
                </c:pt>
                <c:pt idx="13">
                  <c:v>-0.35409108431457914</c:v>
                </c:pt>
                <c:pt idx="14">
                  <c:v>-0.37536455849299194</c:v>
                </c:pt>
                <c:pt idx="15">
                  <c:v>-0.36582908285613486</c:v>
                </c:pt>
                <c:pt idx="16">
                  <c:v>-0.36069485959076786</c:v>
                </c:pt>
                <c:pt idx="17">
                  <c:v>-0.3650958160653045</c:v>
                </c:pt>
                <c:pt idx="18">
                  <c:v>-0.34382905015373755</c:v>
                </c:pt>
                <c:pt idx="19">
                  <c:v>-0.3606986408827938</c:v>
                </c:pt>
                <c:pt idx="20">
                  <c:v>-0.3064520093053924</c:v>
                </c:pt>
                <c:pt idx="21">
                  <c:v>-0.24784137440568002</c:v>
                </c:pt>
                <c:pt idx="22">
                  <c:v>-0.17463171658762872</c:v>
                </c:pt>
                <c:pt idx="23">
                  <c:v>-0.28163218563078191</c:v>
                </c:pt>
                <c:pt idx="24">
                  <c:v>-0.15281148063019756</c:v>
                </c:pt>
                <c:pt idx="25">
                  <c:v>-7.8940571871727816E-2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F14B-4FE8-8525-0B2FF1CB70AD}"/>
            </c:ext>
          </c:extLst>
        </c:ser>
        <c:ser>
          <c:idx val="26"/>
          <c:order val="26"/>
          <c:tx>
            <c:strRef>
              <c:f>'SATORI H1 (Data)'!$CO$1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(Data)'!$CO$2:$CO$37</c:f>
              <c:numCache>
                <c:formatCode>0.00000</c:formatCode>
                <c:ptCount val="36"/>
                <c:pt idx="0">
                  <c:v>-0.75889320471311938</c:v>
                </c:pt>
                <c:pt idx="1">
                  <c:v>-0.71117050849719043</c:v>
                </c:pt>
                <c:pt idx="2">
                  <c:v>-0.66114491400698128</c:v>
                </c:pt>
                <c:pt idx="3">
                  <c:v>-0.66230831346017827</c:v>
                </c:pt>
                <c:pt idx="4">
                  <c:v>-0.60649630690227618</c:v>
                </c:pt>
                <c:pt idx="5">
                  <c:v>-0.59835771836605778</c:v>
                </c:pt>
                <c:pt idx="6">
                  <c:v>-0.69728119814493672</c:v>
                </c:pt>
                <c:pt idx="7">
                  <c:v>-0.43263574180562647</c:v>
                </c:pt>
                <c:pt idx="8">
                  <c:v>-0.38043035420963234</c:v>
                </c:pt>
                <c:pt idx="9">
                  <c:v>-0.37347012034576754</c:v>
                </c:pt>
                <c:pt idx="10">
                  <c:v>-0.36187107610701408</c:v>
                </c:pt>
                <c:pt idx="11">
                  <c:v>-0.37811237541096177</c:v>
                </c:pt>
                <c:pt idx="12">
                  <c:v>-0.4605468632141394</c:v>
                </c:pt>
                <c:pt idx="13">
                  <c:v>-0.38861359872017204</c:v>
                </c:pt>
                <c:pt idx="14">
                  <c:v>-0.30978124499476206</c:v>
                </c:pt>
                <c:pt idx="15">
                  <c:v>-0.31209989739399002</c:v>
                </c:pt>
                <c:pt idx="16">
                  <c:v>-0.33761158058526936</c:v>
                </c:pt>
                <c:pt idx="17">
                  <c:v>-0.27618936660417925</c:v>
                </c:pt>
                <c:pt idx="18">
                  <c:v>-0.3016918820795691</c:v>
                </c:pt>
                <c:pt idx="19">
                  <c:v>-0.30053269026809248</c:v>
                </c:pt>
                <c:pt idx="20">
                  <c:v>-0.30053269026809248</c:v>
                </c:pt>
                <c:pt idx="21">
                  <c:v>-0.25766098096145762</c:v>
                </c:pt>
                <c:pt idx="22">
                  <c:v>-0.26693139905732305</c:v>
                </c:pt>
                <c:pt idx="23">
                  <c:v>-0.2136548939960532</c:v>
                </c:pt>
                <c:pt idx="24">
                  <c:v>-4.9462673469702914E-2</c:v>
                </c:pt>
                <c:pt idx="25">
                  <c:v>1.1782805342818836E-2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F14B-4FE8-8525-0B2FF1CB70AD}"/>
            </c:ext>
          </c:extLst>
        </c:ser>
        <c:ser>
          <c:idx val="27"/>
          <c:order val="27"/>
          <c:tx>
            <c:strRef>
              <c:f>'SATORI H1 (Data)'!$CP$1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(Data)'!$CP$2:$CP$37</c:f>
              <c:numCache>
                <c:formatCode>0.00000</c:formatCode>
                <c:ptCount val="36"/>
                <c:pt idx="0">
                  <c:v>-0.1657578511730585</c:v>
                </c:pt>
                <c:pt idx="1">
                  <c:v>-0.11992112569401064</c:v>
                </c:pt>
                <c:pt idx="2">
                  <c:v>2.0129155772905007E-2</c:v>
                </c:pt>
                <c:pt idx="3">
                  <c:v>6.9293364229150708E-2</c:v>
                </c:pt>
                <c:pt idx="4">
                  <c:v>8.9091694342408323E-2</c:v>
                </c:pt>
                <c:pt idx="5">
                  <c:v>0.11980380583418944</c:v>
                </c:pt>
                <c:pt idx="6">
                  <c:v>0.14504961127773508</c:v>
                </c:pt>
                <c:pt idx="7">
                  <c:v>0.47827187052465897</c:v>
                </c:pt>
                <c:pt idx="8">
                  <c:v>0.63918329455681056</c:v>
                </c:pt>
                <c:pt idx="9">
                  <c:v>0.39689104654755808</c:v>
                </c:pt>
                <c:pt idx="10">
                  <c:v>0.49344239554668501</c:v>
                </c:pt>
                <c:pt idx="11">
                  <c:v>0.44786571448141022</c:v>
                </c:pt>
                <c:pt idx="12">
                  <c:v>-5.1826243413354289E-3</c:v>
                </c:pt>
                <c:pt idx="13">
                  <c:v>-6.3299500798536079E-2</c:v>
                </c:pt>
                <c:pt idx="14">
                  <c:v>0.24683191312805752</c:v>
                </c:pt>
                <c:pt idx="15">
                  <c:v>0.19227356297257711</c:v>
                </c:pt>
                <c:pt idx="16">
                  <c:v>0.14109893467094906</c:v>
                </c:pt>
                <c:pt idx="17">
                  <c:v>0.17179428671254188</c:v>
                </c:pt>
                <c:pt idx="18">
                  <c:v>0.19634453971653901</c:v>
                </c:pt>
                <c:pt idx="19">
                  <c:v>0.20861815961616856</c:v>
                </c:pt>
                <c:pt idx="20">
                  <c:v>0.12945888569777503</c:v>
                </c:pt>
                <c:pt idx="21">
                  <c:v>0.10215513143156887</c:v>
                </c:pt>
                <c:pt idx="22">
                  <c:v>5.0251071987766349E-2</c:v>
                </c:pt>
                <c:pt idx="23">
                  <c:v>9.9408885422721874E-3</c:v>
                </c:pt>
                <c:pt idx="24">
                  <c:v>3.1799259956974871E-2</c:v>
                </c:pt>
                <c:pt idx="25">
                  <c:v>-9.0620688339405911E-2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F14B-4FE8-8525-0B2FF1CB7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indicator of Portfolio Performance h1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852482574040504E-2"/>
          <c:y val="7.5077407108097419E-2"/>
          <c:w val="0.92817833154824492"/>
          <c:h val="0.915511642433800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 (Data)'!$DY$1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H1 (Data)'!$DX$2:$DX$37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(Data)'!$DY$2:$DY$37</c:f>
              <c:numCache>
                <c:formatCode>0.00000</c:formatCode>
                <c:ptCount val="36"/>
                <c:pt idx="0">
                  <c:v>8.2757367101602686</c:v>
                </c:pt>
                <c:pt idx="1">
                  <c:v>8.8969648004922792</c:v>
                </c:pt>
                <c:pt idx="2">
                  <c:v>9.674371071324618</c:v>
                </c:pt>
                <c:pt idx="3">
                  <c:v>9.9563725189341596</c:v>
                </c:pt>
                <c:pt idx="4">
                  <c:v>9.3277719607785787</c:v>
                </c:pt>
                <c:pt idx="5">
                  <c:v>9.7298454435160107</c:v>
                </c:pt>
                <c:pt idx="6">
                  <c:v>9.3194760893671784</c:v>
                </c:pt>
                <c:pt idx="7">
                  <c:v>11.534234230625664</c:v>
                </c:pt>
                <c:pt idx="8">
                  <c:v>11.769997359610755</c:v>
                </c:pt>
                <c:pt idx="9">
                  <c:v>9.6767095485414778</c:v>
                </c:pt>
                <c:pt idx="10">
                  <c:v>9.9022502538100401</c:v>
                </c:pt>
                <c:pt idx="11">
                  <c:v>9.5172919576061918</c:v>
                </c:pt>
                <c:pt idx="12">
                  <c:v>6.9199571871307635</c:v>
                </c:pt>
                <c:pt idx="13">
                  <c:v>5.7657522813915136</c:v>
                </c:pt>
                <c:pt idx="14">
                  <c:v>8.3041303129799573</c:v>
                </c:pt>
                <c:pt idx="15">
                  <c:v>7.6338763164860453</c:v>
                </c:pt>
                <c:pt idx="16">
                  <c:v>6.5292086935189779</c:v>
                </c:pt>
                <c:pt idx="17">
                  <c:v>7.2583714553329024</c:v>
                </c:pt>
                <c:pt idx="18">
                  <c:v>6.890674283668174</c:v>
                </c:pt>
                <c:pt idx="19">
                  <c:v>6.9535464983231066</c:v>
                </c:pt>
                <c:pt idx="20">
                  <c:v>5.9215704360532158</c:v>
                </c:pt>
                <c:pt idx="21">
                  <c:v>4.0871001886811342</c:v>
                </c:pt>
                <c:pt idx="22">
                  <c:v>3.5308346156044079</c:v>
                </c:pt>
                <c:pt idx="23">
                  <c:v>3.1648752437182504</c:v>
                </c:pt>
                <c:pt idx="24">
                  <c:v>1.6427278750541792</c:v>
                </c:pt>
                <c:pt idx="25">
                  <c:v>-0.15407560376341456</c:v>
                </c:pt>
                <c:pt idx="26">
                  <c:v>-0.66086204593203468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27-4A2C-B923-2ECBD9937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EU/UE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H1 (Data)'!$DH$1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H1 (Data)'!$DG$2:$DG$37</c:f>
              <c:numCache>
                <c:formatCode>0.00000</c:formatCode>
                <c:ptCount val="36"/>
                <c:pt idx="0">
                  <c:v>-0.4442510535072321</c:v>
                </c:pt>
                <c:pt idx="1">
                  <c:v>-0.45820041000140171</c:v>
                </c:pt>
                <c:pt idx="2">
                  <c:v>-0.50227042256135046</c:v>
                </c:pt>
                <c:pt idx="3">
                  <c:v>-0.53312895090342938</c:v>
                </c:pt>
                <c:pt idx="4">
                  <c:v>-0.49934293390760082</c:v>
                </c:pt>
                <c:pt idx="5">
                  <c:v>-0.486124066177055</c:v>
                </c:pt>
                <c:pt idx="6">
                  <c:v>-0.46629969541726812</c:v>
                </c:pt>
                <c:pt idx="7">
                  <c:v>-0.41346263902839975</c:v>
                </c:pt>
                <c:pt idx="8">
                  <c:v>-0.33646792599867859</c:v>
                </c:pt>
                <c:pt idx="9">
                  <c:v>-0.34013447533577412</c:v>
                </c:pt>
                <c:pt idx="10">
                  <c:v>-0.31300936995107548</c:v>
                </c:pt>
                <c:pt idx="11">
                  <c:v>-0.33280728457073505</c:v>
                </c:pt>
                <c:pt idx="12">
                  <c:v>-0.38342756643033921</c:v>
                </c:pt>
                <c:pt idx="13">
                  <c:v>-0.35409108431457914</c:v>
                </c:pt>
                <c:pt idx="14">
                  <c:v>-0.37536455849299194</c:v>
                </c:pt>
                <c:pt idx="15">
                  <c:v>-0.36582908285613486</c:v>
                </c:pt>
                <c:pt idx="16">
                  <c:v>-0.36069485959076786</c:v>
                </c:pt>
                <c:pt idx="17">
                  <c:v>-0.3650958160653045</c:v>
                </c:pt>
                <c:pt idx="18">
                  <c:v>-0.34382905015373755</c:v>
                </c:pt>
                <c:pt idx="19">
                  <c:v>-0.3606986408827938</c:v>
                </c:pt>
                <c:pt idx="20">
                  <c:v>-0.3064520093053924</c:v>
                </c:pt>
                <c:pt idx="21">
                  <c:v>-0.24784137440568002</c:v>
                </c:pt>
                <c:pt idx="22">
                  <c:v>-0.17463171658762872</c:v>
                </c:pt>
                <c:pt idx="23">
                  <c:v>-0.28163218563078191</c:v>
                </c:pt>
                <c:pt idx="24">
                  <c:v>-0.15281148063019756</c:v>
                </c:pt>
                <c:pt idx="25">
                  <c:v>-7.8940571871727816E-2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(Data)'!$DH$2:$DH$37</c:f>
              <c:numCache>
                <c:formatCode>0.00000</c:formatCode>
                <c:ptCount val="36"/>
                <c:pt idx="0">
                  <c:v>0.12748263649123842</c:v>
                </c:pt>
                <c:pt idx="1">
                  <c:v>9.6389960470294356E-2</c:v>
                </c:pt>
                <c:pt idx="2">
                  <c:v>-0.10578960149608393</c:v>
                </c:pt>
                <c:pt idx="3">
                  <c:v>-0.12634322324312922</c:v>
                </c:pt>
                <c:pt idx="4">
                  <c:v>-0.14822767334659384</c:v>
                </c:pt>
                <c:pt idx="5">
                  <c:v>-0.10050256994219955</c:v>
                </c:pt>
                <c:pt idx="6">
                  <c:v>-1.7053334893518277E-2</c:v>
                </c:pt>
                <c:pt idx="7">
                  <c:v>-1.5066487821139112E-2</c:v>
                </c:pt>
                <c:pt idx="8">
                  <c:v>2.2669361235461954E-2</c:v>
                </c:pt>
                <c:pt idx="9">
                  <c:v>2.3331389292215357E-2</c:v>
                </c:pt>
                <c:pt idx="10">
                  <c:v>3.7232045932760485E-2</c:v>
                </c:pt>
                <c:pt idx="11">
                  <c:v>2.2005199015538088E-2</c:v>
                </c:pt>
                <c:pt idx="12">
                  <c:v>5.5096086446953595E-2</c:v>
                </c:pt>
                <c:pt idx="13">
                  <c:v>6.3698977018183112E-2</c:v>
                </c:pt>
                <c:pt idx="14">
                  <c:v>6.3698977018183112E-2</c:v>
                </c:pt>
                <c:pt idx="15">
                  <c:v>7.097781610952289E-2</c:v>
                </c:pt>
                <c:pt idx="16">
                  <c:v>6.3036633799822092E-2</c:v>
                </c:pt>
                <c:pt idx="17">
                  <c:v>7.0315521056479258E-2</c:v>
                </c:pt>
                <c:pt idx="18">
                  <c:v>7.8917102424128277E-2</c:v>
                </c:pt>
                <c:pt idx="19">
                  <c:v>4.1850402220930352E-2</c:v>
                </c:pt>
                <c:pt idx="20">
                  <c:v>5.5086757193496524E-2</c:v>
                </c:pt>
                <c:pt idx="21">
                  <c:v>8.4198260868823621E-2</c:v>
                </c:pt>
                <c:pt idx="22">
                  <c:v>0.11594618237209009</c:v>
                </c:pt>
                <c:pt idx="23">
                  <c:v>-2.2480914897792928E-2</c:v>
                </c:pt>
                <c:pt idx="24">
                  <c:v>-8.5441938710315302E-2</c:v>
                </c:pt>
                <c:pt idx="25">
                  <c:v>-6.092628844925798E-2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63-4AA5-87B6-0736C76F4DA4}"/>
            </c:ext>
          </c:extLst>
        </c:ser>
        <c:ser>
          <c:idx val="1"/>
          <c:order val="1"/>
          <c:tx>
            <c:strRef>
              <c:f>'SATORI H1 (Data)'!$DJ$1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H1 (Data)'!$DI$2:$DI$37</c:f>
              <c:numCache>
                <c:formatCode>0.00000</c:formatCode>
                <c:ptCount val="36"/>
                <c:pt idx="0">
                  <c:v>-0.75889320471311938</c:v>
                </c:pt>
                <c:pt idx="1">
                  <c:v>-0.71117050849719043</c:v>
                </c:pt>
                <c:pt idx="2">
                  <c:v>-0.66114491400698128</c:v>
                </c:pt>
                <c:pt idx="3">
                  <c:v>-0.66230831346017827</c:v>
                </c:pt>
                <c:pt idx="4">
                  <c:v>-0.60649630690227618</c:v>
                </c:pt>
                <c:pt idx="5">
                  <c:v>-0.59835771836605778</c:v>
                </c:pt>
                <c:pt idx="6">
                  <c:v>-0.69728119814493672</c:v>
                </c:pt>
                <c:pt idx="7">
                  <c:v>-0.43263574180562647</c:v>
                </c:pt>
                <c:pt idx="8">
                  <c:v>-0.38043035420963234</c:v>
                </c:pt>
                <c:pt idx="9">
                  <c:v>-0.37347012034576754</c:v>
                </c:pt>
                <c:pt idx="10">
                  <c:v>-0.36187107610701408</c:v>
                </c:pt>
                <c:pt idx="11">
                  <c:v>-0.37811237541096177</c:v>
                </c:pt>
                <c:pt idx="12">
                  <c:v>-0.4605468632141394</c:v>
                </c:pt>
                <c:pt idx="13">
                  <c:v>-0.38861359872017204</c:v>
                </c:pt>
                <c:pt idx="14">
                  <c:v>-0.30978124499476206</c:v>
                </c:pt>
                <c:pt idx="15">
                  <c:v>-0.31209989739399002</c:v>
                </c:pt>
                <c:pt idx="16">
                  <c:v>-0.33761158058526936</c:v>
                </c:pt>
                <c:pt idx="17">
                  <c:v>-0.27618936660417925</c:v>
                </c:pt>
                <c:pt idx="18">
                  <c:v>-0.3016918820795691</c:v>
                </c:pt>
                <c:pt idx="19">
                  <c:v>-0.30053269026809248</c:v>
                </c:pt>
                <c:pt idx="20">
                  <c:v>-0.30053269026809248</c:v>
                </c:pt>
                <c:pt idx="21">
                  <c:v>-0.25766098096145762</c:v>
                </c:pt>
                <c:pt idx="22">
                  <c:v>-0.26693139905732305</c:v>
                </c:pt>
                <c:pt idx="23">
                  <c:v>-0.2136548939960532</c:v>
                </c:pt>
                <c:pt idx="24">
                  <c:v>-4.9462673469702914E-2</c:v>
                </c:pt>
                <c:pt idx="25">
                  <c:v>1.1782805342818836E-2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(Data)'!$DJ$2:$DJ$37</c:f>
              <c:numCache>
                <c:formatCode>0.00000</c:formatCode>
                <c:ptCount val="36"/>
                <c:pt idx="0">
                  <c:v>-0.19020355713305048</c:v>
                </c:pt>
                <c:pt idx="1">
                  <c:v>-0.15769039454626951</c:v>
                </c:pt>
                <c:pt idx="2">
                  <c:v>-0.26478375475793858</c:v>
                </c:pt>
                <c:pt idx="3">
                  <c:v>-0.25533523345151954</c:v>
                </c:pt>
                <c:pt idx="4">
                  <c:v>-0.25638508017389328</c:v>
                </c:pt>
                <c:pt idx="5">
                  <c:v>-0.21650681382905784</c:v>
                </c:pt>
                <c:pt idx="6">
                  <c:v>-0.24694949236487135</c:v>
                </c:pt>
                <c:pt idx="7">
                  <c:v>-3.2213355939338023E-2</c:v>
                </c:pt>
                <c:pt idx="8">
                  <c:v>-2.4881440109730216E-2</c:v>
                </c:pt>
                <c:pt idx="9">
                  <c:v>-1.3361185407366021E-2</c:v>
                </c:pt>
                <c:pt idx="10">
                  <c:v>-1.2313900493509949E-2</c:v>
                </c:pt>
                <c:pt idx="11">
                  <c:v>-2.2787846552686623E-2</c:v>
                </c:pt>
                <c:pt idx="12">
                  <c:v>-2.1740462917001671E-2</c:v>
                </c:pt>
                <c:pt idx="13">
                  <c:v>2.8508689128549675E-2</c:v>
                </c:pt>
                <c:pt idx="14">
                  <c:v>0.13204026625957949</c:v>
                </c:pt>
                <c:pt idx="15">
                  <c:v>0.12576523148542218</c:v>
                </c:pt>
                <c:pt idx="16">
                  <c:v>9.9612415350183656E-2</c:v>
                </c:pt>
                <c:pt idx="17">
                  <c:v>0.1602501571170446</c:v>
                </c:pt>
                <c:pt idx="18">
                  <c:v>0.1194598714804545</c:v>
                </c:pt>
                <c:pt idx="19">
                  <c:v>0.10795359532982116</c:v>
                </c:pt>
                <c:pt idx="20">
                  <c:v>5.876623334223622E-2</c:v>
                </c:pt>
                <c:pt idx="21">
                  <c:v>7.1323131788320976E-2</c:v>
                </c:pt>
                <c:pt idx="22">
                  <c:v>2.5259962432891716E-2</c:v>
                </c:pt>
                <c:pt idx="23">
                  <c:v>4.6193383686591996E-2</c:v>
                </c:pt>
                <c:pt idx="24">
                  <c:v>1.7925276393421105E-2</c:v>
                </c:pt>
                <c:pt idx="25">
                  <c:v>3.0487301391851795E-2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763-4AA5-87B6-0736C76F4DA4}"/>
            </c:ext>
          </c:extLst>
        </c:ser>
        <c:ser>
          <c:idx val="2"/>
          <c:order val="2"/>
          <c:tx>
            <c:strRef>
              <c:f>'SATORI H1 (Data)'!$DL$1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H1 (Data)'!$DK$2:$DK$37</c:f>
              <c:numCache>
                <c:formatCode>0.00000</c:formatCode>
                <c:ptCount val="36"/>
                <c:pt idx="0">
                  <c:v>-0.54039569407981003</c:v>
                </c:pt>
                <c:pt idx="1">
                  <c:v>-0.59796754374819827</c:v>
                </c:pt>
                <c:pt idx="2">
                  <c:v>-0.44959616942949898</c:v>
                </c:pt>
                <c:pt idx="3">
                  <c:v>-0.41883616666110207</c:v>
                </c:pt>
                <c:pt idx="4">
                  <c:v>-0.42344995419619924</c:v>
                </c:pt>
                <c:pt idx="5">
                  <c:v>-0.39575956353092701</c:v>
                </c:pt>
                <c:pt idx="6">
                  <c:v>-0.41114074772829667</c:v>
                </c:pt>
                <c:pt idx="7">
                  <c:v>-0.34957813470319365</c:v>
                </c:pt>
                <c:pt idx="8">
                  <c:v>-0.23401484068705661</c:v>
                </c:pt>
                <c:pt idx="9">
                  <c:v>-0.23324441279139832</c:v>
                </c:pt>
                <c:pt idx="10">
                  <c:v>-0.22553954022999134</c:v>
                </c:pt>
                <c:pt idx="11">
                  <c:v>-0.22708049099662439</c:v>
                </c:pt>
                <c:pt idx="12">
                  <c:v>-0.27713632250099773</c:v>
                </c:pt>
                <c:pt idx="13">
                  <c:v>-0.2748259999799586</c:v>
                </c:pt>
                <c:pt idx="14">
                  <c:v>-0.3071600569802887</c:v>
                </c:pt>
                <c:pt idx="15">
                  <c:v>-0.30639019255340921</c:v>
                </c:pt>
                <c:pt idx="16">
                  <c:v>-0.29099053288588955</c:v>
                </c:pt>
                <c:pt idx="17">
                  <c:v>-0.31716310249337853</c:v>
                </c:pt>
                <c:pt idx="18">
                  <c:v>-0.31177434190831199</c:v>
                </c:pt>
                <c:pt idx="19">
                  <c:v>-0.32793801059928906</c:v>
                </c:pt>
                <c:pt idx="20">
                  <c:v>-0.31408151767764225</c:v>
                </c:pt>
                <c:pt idx="21">
                  <c:v>-0.24860523549797398</c:v>
                </c:pt>
                <c:pt idx="22">
                  <c:v>-0.23627876903367157</c:v>
                </c:pt>
                <c:pt idx="23">
                  <c:v>-0.28632997526774484</c:v>
                </c:pt>
                <c:pt idx="24">
                  <c:v>-9.9637593396956894E-2</c:v>
                </c:pt>
                <c:pt idx="25">
                  <c:v>-9.2956840168496174E-3</c:v>
                </c:pt>
                <c:pt idx="26">
                  <c:v>-5.8689071477101361E-2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(Data)'!$DL$2:$DL$37</c:f>
              <c:numCache>
                <c:formatCode>0.00000</c:formatCode>
                <c:ptCount val="36"/>
                <c:pt idx="0">
                  <c:v>3.5385628333623013E-2</c:v>
                </c:pt>
                <c:pt idx="1">
                  <c:v>-3.9738796494996335E-2</c:v>
                </c:pt>
                <c:pt idx="2">
                  <c:v>-4.6782207384116599E-2</c:v>
                </c:pt>
                <c:pt idx="3">
                  <c:v>-5.7125179883019267E-3</c:v>
                </c:pt>
                <c:pt idx="4">
                  <c:v>-6.9117357891079367E-2</c:v>
                </c:pt>
                <c:pt idx="5">
                  <c:v>-4.5800318485153535E-3</c:v>
                </c:pt>
                <c:pt idx="6">
                  <c:v>4.2334185505061482E-2</c:v>
                </c:pt>
                <c:pt idx="7">
                  <c:v>5.5233931028256841E-2</c:v>
                </c:pt>
                <c:pt idx="8">
                  <c:v>0.1290597489714484</c:v>
                </c:pt>
                <c:pt idx="9">
                  <c:v>0.13257514052747488</c:v>
                </c:pt>
                <c:pt idx="10">
                  <c:v>0.13023149123115324</c:v>
                </c:pt>
                <c:pt idx="11">
                  <c:v>0.13140330214775142</c:v>
                </c:pt>
                <c:pt idx="12">
                  <c:v>0.16654527572098343</c:v>
                </c:pt>
                <c:pt idx="13">
                  <c:v>0.14428373780020834</c:v>
                </c:pt>
                <c:pt idx="14">
                  <c:v>0.13725328421878405</c:v>
                </c:pt>
                <c:pt idx="15">
                  <c:v>0.13139422963583222</c:v>
                </c:pt>
                <c:pt idx="16">
                  <c:v>0.11381397577696845</c:v>
                </c:pt>
                <c:pt idx="17">
                  <c:v>0.11381397577696845</c:v>
                </c:pt>
                <c:pt idx="18">
                  <c:v>0.11029780137470804</c:v>
                </c:pt>
                <c:pt idx="19">
                  <c:v>7.8642214163566149E-2</c:v>
                </c:pt>
                <c:pt idx="20">
                  <c:v>4.8149761045721377E-2</c:v>
                </c:pt>
                <c:pt idx="21">
                  <c:v>8.5664855009306762E-2</c:v>
                </c:pt>
                <c:pt idx="22">
                  <c:v>5.9866574112934015E-2</c:v>
                </c:pt>
                <c:pt idx="23">
                  <c:v>-2.2286300650880456E-2</c:v>
                </c:pt>
                <c:pt idx="24">
                  <c:v>-2.8154707495789553E-2</c:v>
                </c:pt>
                <c:pt idx="25">
                  <c:v>1.1734541178480353E-2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763-4AA5-87B6-0736C76F4DA4}"/>
            </c:ext>
          </c:extLst>
        </c:ser>
        <c:ser>
          <c:idx val="3"/>
          <c:order val="3"/>
          <c:tx>
            <c:strRef>
              <c:f>'SATORI H1 (Data)'!$DN$1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H1 (Data)'!$DM$2:$DM$37</c:f>
              <c:numCache>
                <c:formatCode>0.00000</c:formatCode>
                <c:ptCount val="36"/>
                <c:pt idx="0">
                  <c:v>-0.71730912260641277</c:v>
                </c:pt>
                <c:pt idx="1">
                  <c:v>-0.77219223640728818</c:v>
                </c:pt>
                <c:pt idx="2">
                  <c:v>-0.65635868031711575</c:v>
                </c:pt>
                <c:pt idx="3">
                  <c:v>-0.63110653017080121</c:v>
                </c:pt>
                <c:pt idx="4">
                  <c:v>-0.59544372202184692</c:v>
                </c:pt>
                <c:pt idx="5">
                  <c:v>-0.57314949771222723</c:v>
                </c:pt>
                <c:pt idx="6">
                  <c:v>-0.54341502653980034</c:v>
                </c:pt>
                <c:pt idx="7">
                  <c:v>-0.58948222520831439</c:v>
                </c:pt>
                <c:pt idx="8">
                  <c:v>-0.4153128790132441</c:v>
                </c:pt>
                <c:pt idx="9">
                  <c:v>-0.42424384266421444</c:v>
                </c:pt>
                <c:pt idx="10">
                  <c:v>-0.41828951237752404</c:v>
                </c:pt>
                <c:pt idx="11">
                  <c:v>-0.46143977946278331</c:v>
                </c:pt>
                <c:pt idx="12">
                  <c:v>-0.55954748983694602</c:v>
                </c:pt>
                <c:pt idx="13">
                  <c:v>-0.54616737565996654</c:v>
                </c:pt>
                <c:pt idx="14">
                  <c:v>-0.65606074938653436</c:v>
                </c:pt>
                <c:pt idx="15">
                  <c:v>-0.64566434951128915</c:v>
                </c:pt>
                <c:pt idx="16">
                  <c:v>-0.59811535175500941</c:v>
                </c:pt>
                <c:pt idx="17">
                  <c:v>-0.62930964765519415</c:v>
                </c:pt>
                <c:pt idx="18">
                  <c:v>-0.62782418292754438</c:v>
                </c:pt>
                <c:pt idx="19">
                  <c:v>-0.60256490385708528</c:v>
                </c:pt>
                <c:pt idx="20">
                  <c:v>-0.56391813532151136</c:v>
                </c:pt>
                <c:pt idx="21">
                  <c:v>-0.45082289722627589</c:v>
                </c:pt>
                <c:pt idx="22">
                  <c:v>-0.36592946082932143</c:v>
                </c:pt>
                <c:pt idx="23">
                  <c:v>-0.39273072942271187</c:v>
                </c:pt>
                <c:pt idx="24">
                  <c:v>-0.16589552818107611</c:v>
                </c:pt>
                <c:pt idx="25">
                  <c:v>-0.10467225736517741</c:v>
                </c:pt>
                <c:pt idx="26">
                  <c:v>-0.13154354390265657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(Data)'!$DN$2:$DN$37</c:f>
              <c:numCache>
                <c:formatCode>0.00000</c:formatCode>
                <c:ptCount val="36"/>
                <c:pt idx="0">
                  <c:v>-0.14397666845401672</c:v>
                </c:pt>
                <c:pt idx="1">
                  <c:v>-0.21504814692299698</c:v>
                </c:pt>
                <c:pt idx="2">
                  <c:v>-0.256979670921203</c:v>
                </c:pt>
                <c:pt idx="3">
                  <c:v>-0.22174530161641201</c:v>
                </c:pt>
                <c:pt idx="4">
                  <c:v>-0.24058101169230364</c:v>
                </c:pt>
                <c:pt idx="5">
                  <c:v>-0.18471271512880927</c:v>
                </c:pt>
                <c:pt idx="6">
                  <c:v>-9.0069175460425296E-2</c:v>
                </c:pt>
                <c:pt idx="7">
                  <c:v>-0.18723379053673264</c:v>
                </c:pt>
                <c:pt idx="8">
                  <c:v>-5.5022033393957892E-2</c:v>
                </c:pt>
                <c:pt idx="9">
                  <c:v>-5.8054505101003274E-2</c:v>
                </c:pt>
                <c:pt idx="10">
                  <c:v>-6.7759356313499372E-2</c:v>
                </c:pt>
                <c:pt idx="11">
                  <c:v>-0.10416579782654706</c:v>
                </c:pt>
                <c:pt idx="12">
                  <c:v>-0.11751660858487972</c:v>
                </c:pt>
                <c:pt idx="13">
                  <c:v>-0.12540634646350907</c:v>
                </c:pt>
                <c:pt idx="14">
                  <c:v>-0.21470073853271421</c:v>
                </c:pt>
                <c:pt idx="15">
                  <c:v>-0.20680457910318356</c:v>
                </c:pt>
                <c:pt idx="16">
                  <c:v>-0.20923422565034103</c:v>
                </c:pt>
                <c:pt idx="17">
                  <c:v>-0.19830201145183349</c:v>
                </c:pt>
                <c:pt idx="18">
                  <c:v>-0.20255360883770931</c:v>
                </c:pt>
                <c:pt idx="19">
                  <c:v>-0.19769487648097633</c:v>
                </c:pt>
                <c:pt idx="20">
                  <c:v>-0.20073167642266271</c:v>
                </c:pt>
                <c:pt idx="21">
                  <c:v>-0.11819889088047658</c:v>
                </c:pt>
                <c:pt idx="22">
                  <c:v>-7.2098890273891936E-2</c:v>
                </c:pt>
                <c:pt idx="23">
                  <c:v>-0.13097168861330971</c:v>
                </c:pt>
                <c:pt idx="24">
                  <c:v>-9.4568781234444385E-2</c:v>
                </c:pt>
                <c:pt idx="25">
                  <c:v>-8.4862281519576574E-2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763-4AA5-87B6-0736C76F4DA4}"/>
            </c:ext>
          </c:extLst>
        </c:ser>
        <c:ser>
          <c:idx val="4"/>
          <c:order val="4"/>
          <c:tx>
            <c:strRef>
              <c:f>'SATORI H1 (Data)'!$DP$1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H1 (Data)'!$DO$2:$DO$37</c:f>
              <c:numCache>
                <c:formatCode>0.00000</c:formatCode>
                <c:ptCount val="36"/>
                <c:pt idx="0">
                  <c:v>-1.2015596102495656</c:v>
                </c:pt>
                <c:pt idx="1">
                  <c:v>-1.2324825795056278</c:v>
                </c:pt>
                <c:pt idx="2">
                  <c:v>-1.1885200941597909</c:v>
                </c:pt>
                <c:pt idx="3">
                  <c:v>-1.1738637846185278</c:v>
                </c:pt>
                <c:pt idx="4">
                  <c:v>-1.0776911302532708</c:v>
                </c:pt>
                <c:pt idx="5">
                  <c:v>-1.0972478447252407</c:v>
                </c:pt>
                <c:pt idx="6">
                  <c:v>-1.0205919968626209</c:v>
                </c:pt>
                <c:pt idx="7">
                  <c:v>-0.96510806272531324</c:v>
                </c:pt>
                <c:pt idx="8">
                  <c:v>-0.83275079614797787</c:v>
                </c:pt>
                <c:pt idx="9">
                  <c:v>-0.81150375847535161</c:v>
                </c:pt>
                <c:pt idx="10">
                  <c:v>-0.7444489370701407</c:v>
                </c:pt>
                <c:pt idx="11">
                  <c:v>-0.7444489370701407</c:v>
                </c:pt>
                <c:pt idx="12">
                  <c:v>-0.86695992222181395</c:v>
                </c:pt>
                <c:pt idx="13">
                  <c:v>-0.78194676153059728</c:v>
                </c:pt>
                <c:pt idx="14">
                  <c:v>-0.79175501026777695</c:v>
                </c:pt>
                <c:pt idx="15">
                  <c:v>-0.76232160335093313</c:v>
                </c:pt>
                <c:pt idx="16">
                  <c:v>-0.6657522698429964</c:v>
                </c:pt>
                <c:pt idx="17">
                  <c:v>-0.73935263620927461</c:v>
                </c:pt>
                <c:pt idx="18">
                  <c:v>-0.67224952655296999</c:v>
                </c:pt>
                <c:pt idx="19">
                  <c:v>-0.6591545222970987</c:v>
                </c:pt>
                <c:pt idx="20">
                  <c:v>-0.61166258773770721</c:v>
                </c:pt>
                <c:pt idx="21">
                  <c:v>-0.40653606569891798</c:v>
                </c:pt>
                <c:pt idx="22">
                  <c:v>-0.39012325057286945</c:v>
                </c:pt>
                <c:pt idx="23">
                  <c:v>-0.38519916358065187</c:v>
                </c:pt>
                <c:pt idx="24">
                  <c:v>-0.17136578912552103</c:v>
                </c:pt>
                <c:pt idx="25">
                  <c:v>-7.0927813691662012E-2</c:v>
                </c:pt>
                <c:pt idx="26">
                  <c:v>-0.13016757015044544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(Data)'!$DP$2:$DP$37</c:f>
              <c:numCache>
                <c:formatCode>0.00000</c:formatCode>
                <c:ptCount val="36"/>
                <c:pt idx="0">
                  <c:v>-0.62834784173047631</c:v>
                </c:pt>
                <c:pt idx="1">
                  <c:v>-0.6792846358129514</c:v>
                </c:pt>
                <c:pt idx="2">
                  <c:v>-0.79568874654097543</c:v>
                </c:pt>
                <c:pt idx="3">
                  <c:v>-0.77019720308344086</c:v>
                </c:pt>
                <c:pt idx="4">
                  <c:v>-0.72422273829821304</c:v>
                </c:pt>
                <c:pt idx="5">
                  <c:v>-0.709269425862596</c:v>
                </c:pt>
                <c:pt idx="6">
                  <c:v>-0.56824286309471161</c:v>
                </c:pt>
                <c:pt idx="7">
                  <c:v>-0.56437169555057953</c:v>
                </c:pt>
                <c:pt idx="8">
                  <c:v>-0.47210191418024411</c:v>
                </c:pt>
                <c:pt idx="9">
                  <c:v>-0.45111080225894712</c:v>
                </c:pt>
                <c:pt idx="10">
                  <c:v>-0.39314266817037213</c:v>
                </c:pt>
                <c:pt idx="11">
                  <c:v>-0.3865181774280913</c:v>
                </c:pt>
                <c:pt idx="12">
                  <c:v>-0.43401624436723207</c:v>
                </c:pt>
                <c:pt idx="13">
                  <c:v>-0.36778376837649968</c:v>
                </c:pt>
                <c:pt idx="14">
                  <c:v>-0.34957315434770808</c:v>
                </c:pt>
                <c:pt idx="15">
                  <c:v>-0.32309200285896889</c:v>
                </c:pt>
                <c:pt idx="16">
                  <c:v>-0.30268361445975972</c:v>
                </c:pt>
                <c:pt idx="17">
                  <c:v>-0.31150964241619983</c:v>
                </c:pt>
                <c:pt idx="18">
                  <c:v>-0.24425643962023069</c:v>
                </c:pt>
                <c:pt idx="19">
                  <c:v>-0.2624511896078342</c:v>
                </c:pt>
                <c:pt idx="20">
                  <c:v>-0.24866918779963096</c:v>
                </c:pt>
                <c:pt idx="21">
                  <c:v>-8.0261575335262778E-2</c:v>
                </c:pt>
                <c:pt idx="22">
                  <c:v>-0.10228048958261106</c:v>
                </c:pt>
                <c:pt idx="23">
                  <c:v>-0.12430425322357724</c:v>
                </c:pt>
                <c:pt idx="24">
                  <c:v>-0.10888999503474939</c:v>
                </c:pt>
                <c:pt idx="25">
                  <c:v>-5.3869362297478955E-2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763-4AA5-87B6-0736C76F4DA4}"/>
            </c:ext>
          </c:extLst>
        </c:ser>
        <c:ser>
          <c:idx val="5"/>
          <c:order val="5"/>
          <c:tx>
            <c:strRef>
              <c:f>'SATORI H1 (Data)'!$DR$1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H1 (Data)'!$DQ$2:$DQ$37</c:f>
              <c:numCache>
                <c:formatCode>0.00000</c:formatCode>
                <c:ptCount val="36"/>
                <c:pt idx="0">
                  <c:v>-0.1657578511730585</c:v>
                </c:pt>
                <c:pt idx="1">
                  <c:v>-0.11992112569401064</c:v>
                </c:pt>
                <c:pt idx="2">
                  <c:v>2.0129155772905007E-2</c:v>
                </c:pt>
                <c:pt idx="3">
                  <c:v>6.9293364229150708E-2</c:v>
                </c:pt>
                <c:pt idx="4">
                  <c:v>8.9091694342408323E-2</c:v>
                </c:pt>
                <c:pt idx="5">
                  <c:v>0.11980380583418944</c:v>
                </c:pt>
                <c:pt idx="6">
                  <c:v>0.14504961127773508</c:v>
                </c:pt>
                <c:pt idx="7">
                  <c:v>0.47827187052465897</c:v>
                </c:pt>
                <c:pt idx="8">
                  <c:v>0.63918329455681056</c:v>
                </c:pt>
                <c:pt idx="9">
                  <c:v>0.39689104654755808</c:v>
                </c:pt>
                <c:pt idx="10">
                  <c:v>0.49344239554668501</c:v>
                </c:pt>
                <c:pt idx="11">
                  <c:v>0.44786571448141022</c:v>
                </c:pt>
                <c:pt idx="12">
                  <c:v>-5.1826243413354289E-3</c:v>
                </c:pt>
                <c:pt idx="13">
                  <c:v>-6.3299500798536079E-2</c:v>
                </c:pt>
                <c:pt idx="14">
                  <c:v>0.24683191312805752</c:v>
                </c:pt>
                <c:pt idx="15">
                  <c:v>0.19227356297257711</c:v>
                </c:pt>
                <c:pt idx="16">
                  <c:v>0.14109893467094906</c:v>
                </c:pt>
                <c:pt idx="17">
                  <c:v>0.17179428671254188</c:v>
                </c:pt>
                <c:pt idx="18">
                  <c:v>0.19634453971653901</c:v>
                </c:pt>
                <c:pt idx="19">
                  <c:v>0.20861815961616856</c:v>
                </c:pt>
                <c:pt idx="20">
                  <c:v>0.12945888569777503</c:v>
                </c:pt>
                <c:pt idx="21">
                  <c:v>0.10215513143156887</c:v>
                </c:pt>
                <c:pt idx="22">
                  <c:v>5.0251071987766349E-2</c:v>
                </c:pt>
                <c:pt idx="23">
                  <c:v>9.9408885422721874E-3</c:v>
                </c:pt>
                <c:pt idx="24">
                  <c:v>3.1799259956974871E-2</c:v>
                </c:pt>
                <c:pt idx="25">
                  <c:v>-9.0620688339405911E-2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(Data)'!$DR$2:$DR$37</c:f>
              <c:numCache>
                <c:formatCode>0.00000</c:formatCode>
                <c:ptCount val="36"/>
                <c:pt idx="0">
                  <c:v>0.40625392203891875</c:v>
                </c:pt>
                <c:pt idx="1">
                  <c:v>0.43461030006641954</c:v>
                </c:pt>
                <c:pt idx="2">
                  <c:v>0.41796356837473242</c:v>
                </c:pt>
                <c:pt idx="3">
                  <c:v>0.47834855346334626</c:v>
                </c:pt>
                <c:pt idx="4">
                  <c:v>0.44259772441395284</c:v>
                </c:pt>
                <c:pt idx="5">
                  <c:v>0.50481474477308619</c:v>
                </c:pt>
                <c:pt idx="6">
                  <c:v>0.59774582806640519</c:v>
                </c:pt>
                <c:pt idx="7">
                  <c:v>0.87882398988887067</c:v>
                </c:pt>
                <c:pt idx="8">
                  <c:v>0.99712946320271856</c:v>
                </c:pt>
                <c:pt idx="9">
                  <c:v>0.76180498577051436</c:v>
                </c:pt>
                <c:pt idx="10">
                  <c:v>0.84529691283785768</c:v>
                </c:pt>
                <c:pt idx="11">
                  <c:v>0.80169020846060579</c:v>
                </c:pt>
                <c:pt idx="12">
                  <c:v>0.43676944927749528</c:v>
                </c:pt>
                <c:pt idx="13">
                  <c:v>0.35718796153551774</c:v>
                </c:pt>
                <c:pt idx="14">
                  <c:v>0.6904393142162687</c:v>
                </c:pt>
                <c:pt idx="15">
                  <c:v>0.63137838302226867</c:v>
                </c:pt>
                <c:pt idx="16">
                  <c:v>0.57536218141318307</c:v>
                </c:pt>
                <c:pt idx="17">
                  <c:v>0.60920666906917953</c:v>
                </c:pt>
                <c:pt idx="18">
                  <c:v>0.61720563535659867</c:v>
                </c:pt>
                <c:pt idx="19">
                  <c:v>0.61166758278202815</c:v>
                </c:pt>
                <c:pt idx="20">
                  <c:v>0.49214910670421275</c:v>
                </c:pt>
                <c:pt idx="21">
                  <c:v>0.43482132122107658</c:v>
                </c:pt>
                <c:pt idx="22">
                  <c:v>0.343506699158726</c:v>
                </c:pt>
                <c:pt idx="23">
                  <c:v>0.27373810860773962</c:v>
                </c:pt>
                <c:pt idx="24">
                  <c:v>0.10056079978311802</c:v>
                </c:pt>
                <c:pt idx="25">
                  <c:v>-7.0434442088419008E-2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763-4AA5-87B6-0736C76F4DA4}"/>
            </c:ext>
          </c:extLst>
        </c:ser>
        <c:ser>
          <c:idx val="6"/>
          <c:order val="6"/>
          <c:tx>
            <c:strRef>
              <c:f>'SATORI H1 (Data)'!$DT$1</c:f>
              <c:strCache>
                <c:ptCount val="1"/>
                <c:pt idx="0">
                  <c:v>EU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H1 (Data)'!$DS$2:$DS$37</c:f>
              <c:numCache>
                <c:formatCode>0.00000</c:formatCode>
                <c:ptCount val="36"/>
                <c:pt idx="0">
                  <c:v>-0.57236109420115144</c:v>
                </c:pt>
                <c:pt idx="1">
                  <c:v>-0.55524150939612227</c:v>
                </c:pt>
                <c:pt idx="2">
                  <c:v>-0.39821597018487309</c:v>
                </c:pt>
                <c:pt idx="3">
                  <c:v>-0.40814188675301744</c:v>
                </c:pt>
                <c:pt idx="4">
                  <c:v>-0.35126111967525248</c:v>
                </c:pt>
                <c:pt idx="5">
                  <c:v>-0.38736285436360041</c:v>
                </c:pt>
                <c:pt idx="6">
                  <c:v>-0.45140239652597108</c:v>
                </c:pt>
                <c:pt idx="7">
                  <c:v>-0.39996392415836113</c:v>
                </c:pt>
                <c:pt idx="8">
                  <c:v>-0.35843493511841162</c:v>
                </c:pt>
                <c:pt idx="9">
                  <c:v>-0.36385146637179233</c:v>
                </c:pt>
                <c:pt idx="10">
                  <c:v>-0.3503083043143066</c:v>
                </c:pt>
                <c:pt idx="11">
                  <c:v>-0.35572527568560836</c:v>
                </c:pt>
                <c:pt idx="12">
                  <c:v>-0.43871657062043601</c:v>
                </c:pt>
                <c:pt idx="13">
                  <c:v>-0.41706197939595741</c:v>
                </c:pt>
                <c:pt idx="14">
                  <c:v>-0.44051561786715454</c:v>
                </c:pt>
                <c:pt idx="15">
                  <c:v>-0.43780935557621559</c:v>
                </c:pt>
                <c:pt idx="16">
                  <c:v>-0.42156914481436303</c:v>
                </c:pt>
                <c:pt idx="17">
                  <c:v>-0.43510082247176746</c:v>
                </c:pt>
                <c:pt idx="18">
                  <c:v>-0.42246966139739439</c:v>
                </c:pt>
                <c:pt idx="19">
                  <c:v>-0.40442188894371145</c:v>
                </c:pt>
                <c:pt idx="20">
                  <c:v>-0.36199162804272811</c:v>
                </c:pt>
                <c:pt idx="21">
                  <c:v>-0.33219129030557243</c:v>
                </c:pt>
                <c:pt idx="22">
                  <c:v>-0.29244171264483543</c:v>
                </c:pt>
                <c:pt idx="23">
                  <c:v>-0.25990875042826389</c:v>
                </c:pt>
                <c:pt idx="24">
                  <c:v>-6.8865163517008054E-2</c:v>
                </c:pt>
                <c:pt idx="25">
                  <c:v>-1.8135930796662567E-2</c:v>
                </c:pt>
                <c:pt idx="26">
                  <c:v>-4.8926338679007614E-2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 (Data)'!$DT$2:$DT$37</c:f>
              <c:numCache>
                <c:formatCode>0.00000</c:formatCode>
                <c:ptCount val="36"/>
                <c:pt idx="0">
                  <c:v>0.57236109420115144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763-4AA5-87B6-0736C76F4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 (Data)'!$AI$1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(Data)'!$AI$2:$AI$37</c:f>
              <c:numCache>
                <c:formatCode>0.00000</c:formatCode>
                <c:ptCount val="36"/>
                <c:pt idx="0">
                  <c:v>-5.4883113800875377E-2</c:v>
                </c:pt>
                <c:pt idx="1">
                  <c:v>0.1158335560901724</c:v>
                </c:pt>
                <c:pt idx="2">
                  <c:v>2.5252150146314448E-2</c:v>
                </c:pt>
                <c:pt idx="3">
                  <c:v>3.5662808148954332E-2</c:v>
                </c:pt>
                <c:pt idx="4">
                  <c:v>2.2294224309619734E-2</c:v>
                </c:pt>
                <c:pt idx="5">
                  <c:v>2.9734471172426925E-2</c:v>
                </c:pt>
                <c:pt idx="6">
                  <c:v>-4.6067198668514178E-2</c:v>
                </c:pt>
                <c:pt idx="7">
                  <c:v>0.17416934619507032</c:v>
                </c:pt>
                <c:pt idx="8">
                  <c:v>-8.9309636509703472E-3</c:v>
                </c:pt>
                <c:pt idx="9">
                  <c:v>5.9543302866904308E-3</c:v>
                </c:pt>
                <c:pt idx="10">
                  <c:v>-4.3150267085259195E-2</c:v>
                </c:pt>
                <c:pt idx="11">
                  <c:v>-9.8107710374162729E-2</c:v>
                </c:pt>
                <c:pt idx="12">
                  <c:v>1.3380114176979438E-2</c:v>
                </c:pt>
                <c:pt idx="13">
                  <c:v>-0.10989337372656791</c:v>
                </c:pt>
                <c:pt idx="14">
                  <c:v>1.0396399875245354E-2</c:v>
                </c:pt>
                <c:pt idx="15">
                  <c:v>4.7548997756279736E-2</c:v>
                </c:pt>
                <c:pt idx="16">
                  <c:v>-3.1194295900184712E-2</c:v>
                </c:pt>
                <c:pt idx="17">
                  <c:v>1.4854647276497739E-3</c:v>
                </c:pt>
                <c:pt idx="18">
                  <c:v>2.5259279070459051E-2</c:v>
                </c:pt>
                <c:pt idx="19">
                  <c:v>3.8646768535573896E-2</c:v>
                </c:pt>
                <c:pt idx="20">
                  <c:v>0.11309523809523554</c:v>
                </c:pt>
                <c:pt idx="21">
                  <c:v>8.4893436396954333E-2</c:v>
                </c:pt>
                <c:pt idx="22">
                  <c:v>-2.6801268593390357E-2</c:v>
                </c:pt>
                <c:pt idx="23">
                  <c:v>0.22683520124163575</c:v>
                </c:pt>
                <c:pt idx="24">
                  <c:v>6.1223270815898699E-2</c:v>
                </c:pt>
                <c:pt idx="25">
                  <c:v>-2.687128653747917E-2</c:v>
                </c:pt>
                <c:pt idx="26">
                  <c:v>0.13154354390265657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6C-45D9-9834-CCB51066281E}"/>
            </c:ext>
          </c:extLst>
        </c:ser>
        <c:ser>
          <c:idx val="1"/>
          <c:order val="1"/>
          <c:tx>
            <c:strRef>
              <c:f>'SATORI H1 (Data)'!$AJ$1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(Data)'!$AJ$2:$AJ$37</c:f>
              <c:numCache>
                <c:formatCode>0.00000</c:formatCode>
                <c:ptCount val="36"/>
                <c:pt idx="0">
                  <c:v>-2.0052135552446268E-2</c:v>
                </c:pt>
                <c:pt idx="1">
                  <c:v>7.3882863736281723E-2</c:v>
                </c:pt>
                <c:pt idx="2">
                  <c:v>1.0034482129504524E-2</c:v>
                </c:pt>
                <c:pt idx="3">
                  <c:v>-6.4726099204141421E-2</c:v>
                </c:pt>
                <c:pt idx="4">
                  <c:v>4.2865220801485727E-2</c:v>
                </c:pt>
                <c:pt idx="5">
                  <c:v>-4.831402291724806E-2</c:v>
                </c:pt>
                <c:pt idx="6">
                  <c:v>-0.10108369001003245</c:v>
                </c:pt>
                <c:pt idx="7">
                  <c:v>4.1908093728374236E-2</c:v>
                </c:pt>
                <c:pt idx="8">
                  <c:v>-2.6413341469868158E-2</c:v>
                </c:pt>
                <c:pt idx="9">
                  <c:v>-6.5534974741713187E-2</c:v>
                </c:pt>
                <c:pt idx="10">
                  <c:v>-4.4580308240997638E-2</c:v>
                </c:pt>
                <c:pt idx="11">
                  <c:v>3.3674017310263427E-2</c:v>
                </c:pt>
                <c:pt idx="12">
                  <c:v>-7.3664490078027736E-2</c:v>
                </c:pt>
                <c:pt idx="13">
                  <c:v>-0.10719866274210173</c:v>
                </c:pt>
                <c:pt idx="14">
                  <c:v>-1.8165964249380356E-2</c:v>
                </c:pt>
                <c:pt idx="15">
                  <c:v>1.271779219127823E-2</c:v>
                </c:pt>
                <c:pt idx="16">
                  <c:v>-7.2667817240512312E-3</c:v>
                </c:pt>
                <c:pt idx="17">
                  <c:v>-7.8963849079202231E-2</c:v>
                </c:pt>
                <c:pt idx="18">
                  <c:v>2.0879859106337717E-2</c:v>
                </c:pt>
                <c:pt idx="19">
                  <c:v>-1.63380895327369E-2</c:v>
                </c:pt>
                <c:pt idx="20">
                  <c:v>-8.6154515856965944E-2</c:v>
                </c:pt>
                <c:pt idx="21">
                  <c:v>6.897115009393634E-2</c:v>
                </c:pt>
                <c:pt idx="22">
                  <c:v>-3.6287432754847186E-2</c:v>
                </c:pt>
                <c:pt idx="23">
                  <c:v>1.723950205058546E-2</c:v>
                </c:pt>
                <c:pt idx="24">
                  <c:v>-4.2626905740118307E-2</c:v>
                </c:pt>
                <c:pt idx="25">
                  <c:v>2.9938490011425747E-2</c:v>
                </c:pt>
                <c:pt idx="26">
                  <c:v>9.0723520073173163E-4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06C-45D9-9834-CCB51066281E}"/>
            </c:ext>
          </c:extLst>
        </c:ser>
        <c:ser>
          <c:idx val="2"/>
          <c:order val="2"/>
          <c:tx>
            <c:strRef>
              <c:f>'SATORI H1 (Data)'!$AK$1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(Data)'!$AK$2:$AK$37</c:f>
              <c:numCache>
                <c:formatCode>0.00000</c:formatCode>
                <c:ptCount val="36"/>
                <c:pt idx="0">
                  <c:v>-9.9449980718880254E-2</c:v>
                </c:pt>
                <c:pt idx="1">
                  <c:v>-2.5363458358265419E-2</c:v>
                </c:pt>
                <c:pt idx="2">
                  <c:v>-2.4342992768103488E-2</c:v>
                </c:pt>
                <c:pt idx="3">
                  <c:v>1.826057845454707E-2</c:v>
                </c:pt>
                <c:pt idx="4">
                  <c:v>-9.1294556815649328E-3</c:v>
                </c:pt>
                <c:pt idx="5">
                  <c:v>4.0577005011165554E-3</c:v>
                </c:pt>
                <c:pt idx="6">
                  <c:v>-0.37896779279051668</c:v>
                </c:pt>
                <c:pt idx="7">
                  <c:v>1.3139276329093622E-2</c:v>
                </c:pt>
                <c:pt idx="8">
                  <c:v>0.2330057744909371</c:v>
                </c:pt>
                <c:pt idx="9">
                  <c:v>-9.1093117408910337E-2</c:v>
                </c:pt>
                <c:pt idx="10">
                  <c:v>2.0243324763612003E-3</c:v>
                </c:pt>
                <c:pt idx="11">
                  <c:v>0.35653701991934655</c:v>
                </c:pt>
                <c:pt idx="12">
                  <c:v>7.1154843103578475E-2</c:v>
                </c:pt>
                <c:pt idx="13">
                  <c:v>-0.42108246535686839</c:v>
                </c:pt>
                <c:pt idx="14">
                  <c:v>6.4823911920516938E-2</c:v>
                </c:pt>
                <c:pt idx="15">
                  <c:v>9.8345364587551901E-2</c:v>
                </c:pt>
                <c:pt idx="16">
                  <c:v>-5.9782553626974592E-2</c:v>
                </c:pt>
                <c:pt idx="17">
                  <c:v>-2.3299633284028745E-2</c:v>
                </c:pt>
                <c:pt idx="18">
                  <c:v>1.21578083524148E-2</c:v>
                </c:pt>
                <c:pt idx="19">
                  <c:v>0.11766376564623746</c:v>
                </c:pt>
                <c:pt idx="20">
                  <c:v>0.13915834594561699</c:v>
                </c:pt>
                <c:pt idx="21">
                  <c:v>0.13833368933914708</c:v>
                </c:pt>
                <c:pt idx="22">
                  <c:v>1.3224821973555676E-2</c:v>
                </c:pt>
                <c:pt idx="23">
                  <c:v>0.20591653244714284</c:v>
                </c:pt>
                <c:pt idx="24">
                  <c:v>0.18382728405399681</c:v>
                </c:pt>
                <c:pt idx="25">
                  <c:v>9.3021354022926384E-2</c:v>
                </c:pt>
                <c:pt idx="26">
                  <c:v>-8.0689641084313243E-2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06C-45D9-9834-CCB51066281E}"/>
            </c:ext>
          </c:extLst>
        </c:ser>
        <c:ser>
          <c:idx val="3"/>
          <c:order val="3"/>
          <c:tx>
            <c:strRef>
              <c:f>'SATORI H1 (Data)'!$AL$1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(Data)'!$AL$2:$AL$37</c:f>
              <c:numCache>
                <c:formatCode>0.00000</c:formatCode>
                <c:ptCount val="36"/>
                <c:pt idx="0">
                  <c:v>-0.10359652606314794</c:v>
                </c:pt>
                <c:pt idx="1">
                  <c:v>6.5654209644246772E-2</c:v>
                </c:pt>
                <c:pt idx="2">
                  <c:v>2.246569660942082E-2</c:v>
                </c:pt>
                <c:pt idx="3">
                  <c:v>-1.7278319165128897E-2</c:v>
                </c:pt>
                <c:pt idx="4">
                  <c:v>1.38245662542476E-2</c:v>
                </c:pt>
                <c:pt idx="5">
                  <c:v>0.12804097311138923</c:v>
                </c:pt>
                <c:pt idx="6">
                  <c:v>-0.31048401007348531</c:v>
                </c:pt>
                <c:pt idx="7">
                  <c:v>0.12261886258052059</c:v>
                </c:pt>
                <c:pt idx="8">
                  <c:v>-1.726728023068896E-2</c:v>
                </c:pt>
                <c:pt idx="9">
                  <c:v>-6.9064350708650281E-3</c:v>
                </c:pt>
                <c:pt idx="10">
                  <c:v>-2.4166681051600868E-2</c:v>
                </c:pt>
                <c:pt idx="11">
                  <c:v>-1.7258935814015809E-2</c:v>
                </c:pt>
                <c:pt idx="12">
                  <c:v>-5.8645968089695036E-2</c:v>
                </c:pt>
                <c:pt idx="13">
                  <c:v>-0.18937763622277523</c:v>
                </c:pt>
                <c:pt idx="14">
                  <c:v>1.3774816192291093E-2</c:v>
                </c:pt>
                <c:pt idx="15">
                  <c:v>7.4094496329744894E-2</c:v>
                </c:pt>
                <c:pt idx="16">
                  <c:v>-9.1242446674820607E-2</c:v>
                </c:pt>
                <c:pt idx="17">
                  <c:v>2.5830004132797815E-2</c:v>
                </c:pt>
                <c:pt idx="18">
                  <c:v>2.2391016035405959E-2</c:v>
                </c:pt>
                <c:pt idx="19">
                  <c:v>4.3078195540559583E-2</c:v>
                </c:pt>
                <c:pt idx="20">
                  <c:v>6.5521760121376629E-2</c:v>
                </c:pt>
                <c:pt idx="21">
                  <c:v>9.6651708664136166E-2</c:v>
                </c:pt>
                <c:pt idx="22">
                  <c:v>-8.2775746706202136E-2</c:v>
                </c:pt>
                <c:pt idx="23">
                  <c:v>6.5573770491792222E-2</c:v>
                </c:pt>
                <c:pt idx="24">
                  <c:v>-3.4511319712900333E-3</c:v>
                </c:pt>
                <c:pt idx="25">
                  <c:v>0.13304535637149864</c:v>
                </c:pt>
                <c:pt idx="26">
                  <c:v>-1.7275632720046469E-2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06C-45D9-9834-CCB51066281E}"/>
            </c:ext>
          </c:extLst>
        </c:ser>
        <c:ser>
          <c:idx val="4"/>
          <c:order val="4"/>
          <c:tx>
            <c:strRef>
              <c:f>'SATORI H1 (Data)'!$AM$1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(Data)'!$AM$2:$AM$37</c:f>
              <c:numCache>
                <c:formatCode>0.00000</c:formatCode>
                <c:ptCount val="36"/>
                <c:pt idx="0">
                  <c:v>-4.0294915217318261E-2</c:v>
                </c:pt>
                <c:pt idx="1">
                  <c:v>0.16034731009206021</c:v>
                </c:pt>
                <c:pt idx="2">
                  <c:v>5.5661664392907005E-2</c:v>
                </c:pt>
                <c:pt idx="3">
                  <c:v>3.2743227609061676E-3</c:v>
                </c:pt>
                <c:pt idx="4">
                  <c:v>1.0915600576342508E-2</c:v>
                </c:pt>
                <c:pt idx="5">
                  <c:v>8.7332430898301398E-3</c:v>
                </c:pt>
                <c:pt idx="6">
                  <c:v>-9.9242052456521873E-2</c:v>
                </c:pt>
                <c:pt idx="7">
                  <c:v>9.7155208174143332E-2</c:v>
                </c:pt>
                <c:pt idx="8">
                  <c:v>-6.5493603458127757E-3</c:v>
                </c:pt>
                <c:pt idx="9">
                  <c:v>-2.1826436179498206E-2</c:v>
                </c:pt>
                <c:pt idx="10">
                  <c:v>-2.2912506955575101E-2</c:v>
                </c:pt>
                <c:pt idx="11">
                  <c:v>-4.5804024210707991E-2</c:v>
                </c:pt>
                <c:pt idx="12">
                  <c:v>-1.6355904481516026E-2</c:v>
                </c:pt>
                <c:pt idx="13">
                  <c:v>-8.9332403695303722E-2</c:v>
                </c:pt>
                <c:pt idx="14">
                  <c:v>0</c:v>
                </c:pt>
                <c:pt idx="15">
                  <c:v>4.2505422166032876E-2</c:v>
                </c:pt>
                <c:pt idx="16">
                  <c:v>-2.3971669844728736E-2</c:v>
                </c:pt>
                <c:pt idx="17">
                  <c:v>-2.2876813804527812E-2</c:v>
                </c:pt>
                <c:pt idx="18">
                  <c:v>4.3593879419324723E-2</c:v>
                </c:pt>
                <c:pt idx="19">
                  <c:v>-1.7434511615736604E-2</c:v>
                </c:pt>
                <c:pt idx="20">
                  <c:v>5.4512548788725163E-2</c:v>
                </c:pt>
                <c:pt idx="21">
                  <c:v>1.3084723585215242E-2</c:v>
                </c:pt>
                <c:pt idx="22">
                  <c:v>7.966214520335764E-2</c:v>
                </c:pt>
                <c:pt idx="23">
                  <c:v>0.10159049200384365</c:v>
                </c:pt>
                <c:pt idx="24">
                  <c:v>-1.6382878799460838E-2</c:v>
                </c:pt>
                <c:pt idx="25">
                  <c:v>-4.6942206502033852E-2</c:v>
                </c:pt>
                <c:pt idx="26">
                  <c:v>7.1009537127055558E-2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6C-45D9-9834-CCB51066281E}"/>
            </c:ext>
          </c:extLst>
        </c:ser>
        <c:ser>
          <c:idx val="5"/>
          <c:order val="5"/>
          <c:tx>
            <c:strRef>
              <c:f>'SATORI H1 (Data)'!$AN$1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(Data)'!$AN$2:$AN$37</c:f>
              <c:numCache>
                <c:formatCode>0.00000</c:formatCode>
                <c:ptCount val="36"/>
                <c:pt idx="0">
                  <c:v>1.7119584805029061E-2</c:v>
                </c:pt>
                <c:pt idx="1">
                  <c:v>0.15702553921124923</c:v>
                </c:pt>
                <c:pt idx="2">
                  <c:v>-9.9259165681443457E-3</c:v>
                </c:pt>
                <c:pt idx="3">
                  <c:v>5.688076707776489E-2</c:v>
                </c:pt>
                <c:pt idx="4">
                  <c:v>-3.6101734688347799E-2</c:v>
                </c:pt>
                <c:pt idx="5">
                  <c:v>-6.4039542162370761E-2</c:v>
                </c:pt>
                <c:pt idx="6">
                  <c:v>5.1438472367609955E-2</c:v>
                </c:pt>
                <c:pt idx="7">
                  <c:v>4.1528989039949525E-2</c:v>
                </c:pt>
                <c:pt idx="8">
                  <c:v>-5.4165312533807266E-3</c:v>
                </c:pt>
                <c:pt idx="9">
                  <c:v>1.3543162057485713E-2</c:v>
                </c:pt>
                <c:pt idx="10">
                  <c:v>-5.4169713713016973E-3</c:v>
                </c:pt>
                <c:pt idx="11">
                  <c:v>-8.2991294934827653E-2</c:v>
                </c:pt>
                <c:pt idx="12">
                  <c:v>2.165459122447853E-2</c:v>
                </c:pt>
                <c:pt idx="13">
                  <c:v>-2.3453638471197035E-2</c:v>
                </c:pt>
                <c:pt idx="14">
                  <c:v>2.7062622909389366E-3</c:v>
                </c:pt>
                <c:pt idx="15">
                  <c:v>1.6240210761852555E-2</c:v>
                </c:pt>
                <c:pt idx="16">
                  <c:v>-1.3531677657404487E-2</c:v>
                </c:pt>
                <c:pt idx="17">
                  <c:v>1.2631161074373086E-2</c:v>
                </c:pt>
                <c:pt idx="18">
                  <c:v>1.8047772453682914E-2</c:v>
                </c:pt>
                <c:pt idx="19">
                  <c:v>4.2430260900983348E-2</c:v>
                </c:pt>
                <c:pt idx="20">
                  <c:v>2.9800337737155735E-2</c:v>
                </c:pt>
                <c:pt idx="21">
                  <c:v>3.9749577660736987E-2</c:v>
                </c:pt>
                <c:pt idx="22">
                  <c:v>3.2532962216571558E-2</c:v>
                </c:pt>
                <c:pt idx="23">
                  <c:v>0.19104358691125584</c:v>
                </c:pt>
                <c:pt idx="24">
                  <c:v>5.0729232720345491E-2</c:v>
                </c:pt>
                <c:pt idx="25">
                  <c:v>-3.0790407882345047E-2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06C-45D9-9834-CCB51066281E}"/>
            </c:ext>
          </c:extLst>
        </c:ser>
        <c:ser>
          <c:idx val="6"/>
          <c:order val="6"/>
          <c:tx>
            <c:strRef>
              <c:f>'SATORI H1 (Data)'!$AO$1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(Data)'!$AO$2:$AO$37</c:f>
              <c:numCache>
                <c:formatCode>0.00000</c:formatCode>
                <c:ptCount val="36"/>
                <c:pt idx="0">
                  <c:v>3.1092676020944062E-2</c:v>
                </c:pt>
                <c:pt idx="1">
                  <c:v>0.20217956196637835</c:v>
                </c:pt>
                <c:pt idx="2">
                  <c:v>2.0553621747045277E-2</c:v>
                </c:pt>
                <c:pt idx="3">
                  <c:v>2.1884450103464608E-2</c:v>
                </c:pt>
                <c:pt idx="4">
                  <c:v>-4.7725103404394287E-2</c:v>
                </c:pt>
                <c:pt idx="5">
                  <c:v>-8.3449235048681292E-2</c:v>
                </c:pt>
                <c:pt idx="6">
                  <c:v>-1.9868470723791495E-3</c:v>
                </c:pt>
                <c:pt idx="7">
                  <c:v>-3.7735849056601087E-2</c:v>
                </c:pt>
                <c:pt idx="8">
                  <c:v>-6.620280567533821E-4</c:v>
                </c:pt>
                <c:pt idx="9">
                  <c:v>-1.3900656640545135E-2</c:v>
                </c:pt>
                <c:pt idx="10">
                  <c:v>1.5226846917222389E-2</c:v>
                </c:pt>
                <c:pt idx="11">
                  <c:v>-3.3090887431415493E-2</c:v>
                </c:pt>
                <c:pt idx="12">
                  <c:v>-8.602890571229517E-3</c:v>
                </c:pt>
                <c:pt idx="13">
                  <c:v>0</c:v>
                </c:pt>
                <c:pt idx="14">
                  <c:v>-7.2788390913398025E-3</c:v>
                </c:pt>
                <c:pt idx="15">
                  <c:v>7.9411823097008168E-3</c:v>
                </c:pt>
                <c:pt idx="16">
                  <c:v>-7.2788872566571707E-3</c:v>
                </c:pt>
                <c:pt idx="17">
                  <c:v>-8.6015813676490211E-3</c:v>
                </c:pt>
                <c:pt idx="18">
                  <c:v>3.7066700203197925E-2</c:v>
                </c:pt>
                <c:pt idx="19">
                  <c:v>-1.3236354972566197E-2</c:v>
                </c:pt>
                <c:pt idx="20">
                  <c:v>-2.9111503675327069E-2</c:v>
                </c:pt>
                <c:pt idx="21">
                  <c:v>-3.1747921503266462E-2</c:v>
                </c:pt>
                <c:pt idx="22">
                  <c:v>0.138427097269883</c:v>
                </c:pt>
                <c:pt idx="23">
                  <c:v>6.2961023812522374E-2</c:v>
                </c:pt>
                <c:pt idx="24">
                  <c:v>-2.4515650261057318E-2</c:v>
                </c:pt>
                <c:pt idx="25">
                  <c:v>-4.9669203107307228E-2</c:v>
                </c:pt>
                <c:pt idx="26">
                  <c:v>-1.1257085341950752E-2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06C-45D9-9834-CCB51066281E}"/>
            </c:ext>
          </c:extLst>
        </c:ser>
        <c:ser>
          <c:idx val="7"/>
          <c:order val="7"/>
          <c:tx>
            <c:strRef>
              <c:f>'SATORI H1 (Data)'!$AP$1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(Data)'!$AP$2:$AP$37</c:f>
              <c:numCache>
                <c:formatCode>0.00000</c:formatCode>
                <c:ptCount val="36"/>
                <c:pt idx="0">
                  <c:v>7.5124424828619349E-2</c:v>
                </c:pt>
                <c:pt idx="1">
                  <c:v>7.0434108891202791E-3</c:v>
                </c:pt>
                <c:pt idx="2">
                  <c:v>-4.10696893958147E-2</c:v>
                </c:pt>
                <c:pt idx="3">
                  <c:v>6.3404839902777468E-2</c:v>
                </c:pt>
                <c:pt idx="4">
                  <c:v>-6.4537326042564055E-2</c:v>
                </c:pt>
                <c:pt idx="5">
                  <c:v>-4.6914217353576849E-2</c:v>
                </c:pt>
                <c:pt idx="6">
                  <c:v>-1.2899745523195323E-2</c:v>
                </c:pt>
                <c:pt idx="7">
                  <c:v>-7.3825817943191555E-2</c:v>
                </c:pt>
                <c:pt idx="8">
                  <c:v>-3.5153915560264936E-3</c:v>
                </c:pt>
                <c:pt idx="9">
                  <c:v>2.3436492963216427E-3</c:v>
                </c:pt>
                <c:pt idx="10">
                  <c:v>-1.1718109165981757E-3</c:v>
                </c:pt>
                <c:pt idx="11">
                  <c:v>-3.5141973573232003E-2</c:v>
                </c:pt>
                <c:pt idx="12">
                  <c:v>2.226153792077511E-2</c:v>
                </c:pt>
                <c:pt idx="13">
                  <c:v>7.0304535814242506E-3</c:v>
                </c:pt>
                <c:pt idx="14">
                  <c:v>5.8590545829518489E-3</c:v>
                </c:pt>
                <c:pt idx="15">
                  <c:v>1.7580253858863786E-2</c:v>
                </c:pt>
                <c:pt idx="16">
                  <c:v>0</c:v>
                </c:pt>
                <c:pt idx="17">
                  <c:v>3.5161744022603747E-3</c:v>
                </c:pt>
                <c:pt idx="18">
                  <c:v>3.1655587211141888E-2</c:v>
                </c:pt>
                <c:pt idx="19">
                  <c:v>3.0492453117844764E-2</c:v>
                </c:pt>
                <c:pt idx="20">
                  <c:v>-3.7515093963585384E-2</c:v>
                </c:pt>
                <c:pt idx="21">
                  <c:v>2.5798280896372757E-2</c:v>
                </c:pt>
                <c:pt idx="22">
                  <c:v>8.2152874763814471E-2</c:v>
                </c:pt>
                <c:pt idx="23">
                  <c:v>5.8684068449090972E-3</c:v>
                </c:pt>
                <c:pt idx="24">
                  <c:v>-3.9889248674269906E-2</c:v>
                </c:pt>
                <c:pt idx="25">
                  <c:v>1.7601295455343575E-2</c:v>
                </c:pt>
                <c:pt idx="26">
                  <c:v>-5.8667542768632217E-3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06C-45D9-9834-CCB51066281E}"/>
            </c:ext>
          </c:extLst>
        </c:ser>
        <c:ser>
          <c:idx val="8"/>
          <c:order val="8"/>
          <c:tx>
            <c:strRef>
              <c:f>'SATORI H1 (Data)'!$AQ$1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(Data)'!$AQ$2:$AQ$37</c:f>
              <c:numCache>
                <c:formatCode>0.00000</c:formatCode>
                <c:ptCount val="36"/>
                <c:pt idx="0">
                  <c:v>-3.2513162586780928E-2</c:v>
                </c:pt>
                <c:pt idx="1">
                  <c:v>0.10709336021166907</c:v>
                </c:pt>
                <c:pt idx="2">
                  <c:v>-9.4485213064191675E-3</c:v>
                </c:pt>
                <c:pt idx="3">
                  <c:v>1.0498467223737549E-3</c:v>
                </c:pt>
                <c:pt idx="4">
                  <c:v>-3.9878266344835343E-2</c:v>
                </c:pt>
                <c:pt idx="5">
                  <c:v>3.0442678535813446E-2</c:v>
                </c:pt>
                <c:pt idx="6">
                  <c:v>-0.21473613642553332</c:v>
                </c:pt>
                <c:pt idx="7">
                  <c:v>-7.3319158296077944E-3</c:v>
                </c:pt>
                <c:pt idx="8">
                  <c:v>-1.1520254702364218E-2</c:v>
                </c:pt>
                <c:pt idx="9">
                  <c:v>-1.0472849138560495E-3</c:v>
                </c:pt>
                <c:pt idx="10">
                  <c:v>1.0473946059176642E-2</c:v>
                </c:pt>
                <c:pt idx="11">
                  <c:v>-1.0473836356849377E-3</c:v>
                </c:pt>
                <c:pt idx="12">
                  <c:v>-5.0249152045551373E-2</c:v>
                </c:pt>
                <c:pt idx="13">
                  <c:v>-0.10353157713102981</c:v>
                </c:pt>
                <c:pt idx="14">
                  <c:v>6.275034774157316E-3</c:v>
                </c:pt>
                <c:pt idx="15">
                  <c:v>2.6152816135238562E-2</c:v>
                </c:pt>
                <c:pt idx="16">
                  <c:v>-6.0637741766860945E-2</c:v>
                </c:pt>
                <c:pt idx="17">
                  <c:v>4.0790285636590082E-2</c:v>
                </c:pt>
                <c:pt idx="18">
                  <c:v>1.1506276150633316E-2</c:v>
                </c:pt>
                <c:pt idx="19">
                  <c:v>4.918736198758495E-2</c:v>
                </c:pt>
                <c:pt idx="20">
                  <c:v>-1.2556898446084758E-2</c:v>
                </c:pt>
                <c:pt idx="21">
                  <c:v>4.606316935542927E-2</c:v>
                </c:pt>
                <c:pt idx="22">
                  <c:v>-2.0933421253700294E-2</c:v>
                </c:pt>
                <c:pt idx="23">
                  <c:v>2.8268107293170894E-2</c:v>
                </c:pt>
                <c:pt idx="24">
                  <c:v>-1.2562024998430689E-2</c:v>
                </c:pt>
                <c:pt idx="25">
                  <c:v>0.12577825294006445</c:v>
                </c:pt>
                <c:pt idx="26">
                  <c:v>-9.5290951548212655E-2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06C-45D9-9834-CCB51066281E}"/>
            </c:ext>
          </c:extLst>
        </c:ser>
        <c:ser>
          <c:idx val="9"/>
          <c:order val="9"/>
          <c:tx>
            <c:strRef>
              <c:f>'SATORI H1 (Data)'!$AR$1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(Data)'!$AR$2:$AR$37</c:f>
              <c:numCache>
                <c:formatCode>0.00000</c:formatCode>
                <c:ptCount val="36"/>
                <c:pt idx="0">
                  <c:v>-2.835637802750092E-2</c:v>
                </c:pt>
                <c:pt idx="1">
                  <c:v>1.6646731691687261E-2</c:v>
                </c:pt>
                <c:pt idx="2">
                  <c:v>-6.0384985088613848E-2</c:v>
                </c:pt>
                <c:pt idx="3">
                  <c:v>3.57508290493933E-2</c:v>
                </c:pt>
                <c:pt idx="4">
                  <c:v>-6.2217020359133325E-2</c:v>
                </c:pt>
                <c:pt idx="5">
                  <c:v>-9.2931083293318839E-2</c:v>
                </c:pt>
                <c:pt idx="6">
                  <c:v>-0.28107816182246564</c:v>
                </c:pt>
                <c:pt idx="7">
                  <c:v>-0.1183054733138479</c:v>
                </c:pt>
                <c:pt idx="8">
                  <c:v>0.2353244774322043</c:v>
                </c:pt>
                <c:pt idx="9">
                  <c:v>-8.3491927067343416E-2</c:v>
                </c:pt>
                <c:pt idx="10">
                  <c:v>4.3606704377252017E-2</c:v>
                </c:pt>
                <c:pt idx="11">
                  <c:v>0.3649207591831104</c:v>
                </c:pt>
                <c:pt idx="12">
                  <c:v>7.9581487741977486E-2</c:v>
                </c:pt>
                <c:pt idx="13">
                  <c:v>-0.33325135268075085</c:v>
                </c:pt>
                <c:pt idx="14">
                  <c:v>5.906093119399991E-2</c:v>
                </c:pt>
                <c:pt idx="15">
                  <c:v>5.6016201609085818E-2</c:v>
                </c:pt>
                <c:pt idx="16">
                  <c:v>-3.3844487655996514E-2</c:v>
                </c:pt>
                <c:pt idx="17">
                  <c:v>-7.9989662874193537E-3</c:v>
                </c:pt>
                <c:pt idx="18">
                  <c:v>5.5380525745705733E-3</c:v>
                </c:pt>
                <c:pt idx="19">
                  <c:v>0.11951847607781539</c:v>
                </c:pt>
                <c:pt idx="20">
                  <c:v>5.7327785483136225E-2</c:v>
                </c:pt>
                <c:pt idx="21">
                  <c:v>9.1314622062350692E-2</c:v>
                </c:pt>
                <c:pt idx="22">
                  <c:v>6.9768590550986359E-2</c:v>
                </c:pt>
                <c:pt idx="23">
                  <c:v>0.17317730882462157</c:v>
                </c:pt>
                <c:pt idx="24">
                  <c:v>0.17099524187153703</c:v>
                </c:pt>
                <c:pt idx="25">
                  <c:v>8.9915231640228577E-2</c:v>
                </c:pt>
                <c:pt idx="26">
                  <c:v>-0.16034967372864758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06C-45D9-9834-CCB51066281E}"/>
            </c:ext>
          </c:extLst>
        </c:ser>
        <c:ser>
          <c:idx val="10"/>
          <c:order val="10"/>
          <c:tx>
            <c:strRef>
              <c:f>'SATORI H1 (Data)'!$AS$1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(Data)'!$AS$2:$AS$37</c:f>
              <c:numCache>
                <c:formatCode>0.00000</c:formatCode>
                <c:ptCount val="36"/>
                <c:pt idx="0">
                  <c:v>7.1071478468980237E-2</c:v>
                </c:pt>
                <c:pt idx="1">
                  <c:v>4.1931523998206023E-2</c:v>
                </c:pt>
                <c:pt idx="2">
                  <c:v>-3.5234369304790958E-2</c:v>
                </c:pt>
                <c:pt idx="3">
                  <c:v>1.8835710075891656E-2</c:v>
                </c:pt>
                <c:pt idx="4">
                  <c:v>-5.5868296563494436E-2</c:v>
                </c:pt>
                <c:pt idx="5">
                  <c:v>-9.4643539668383944E-2</c:v>
                </c:pt>
                <c:pt idx="6">
                  <c:v>9.7164615076307373E-2</c:v>
                </c:pt>
                <c:pt idx="7">
                  <c:v>-0.13221175714277478</c:v>
                </c:pt>
                <c:pt idx="8">
                  <c:v>3.0324717070453729E-3</c:v>
                </c:pt>
                <c:pt idx="9">
                  <c:v>9.7048512124960854E-3</c:v>
                </c:pt>
                <c:pt idx="10">
                  <c:v>3.6406441513047699E-2</c:v>
                </c:pt>
                <c:pt idx="11">
                  <c:v>1.3350810758332665E-2</c:v>
                </c:pt>
                <c:pt idx="12">
                  <c:v>7.8897378786293385E-3</c:v>
                </c:pt>
                <c:pt idx="13">
                  <c:v>8.9294392069205128E-2</c:v>
                </c:pt>
                <c:pt idx="14">
                  <c:v>-7.8961594295306331E-3</c:v>
                </c:pt>
                <c:pt idx="15">
                  <c:v>2.4296465471574931E-3</c:v>
                </c:pt>
                <c:pt idx="16">
                  <c:v>-1.0932214198507567E-2</c:v>
                </c:pt>
                <c:pt idx="17">
                  <c:v>4.2515973858758592E-3</c:v>
                </c:pt>
                <c:pt idx="18">
                  <c:v>-4.8587323567329888E-3</c:v>
                </c:pt>
                <c:pt idx="19">
                  <c:v>3.0367999416863636E-3</c:v>
                </c:pt>
                <c:pt idx="20">
                  <c:v>-8.2532785542186141E-2</c:v>
                </c:pt>
                <c:pt idx="21">
                  <c:v>-4.6100000606584653E-2</c:v>
                </c:pt>
                <c:pt idx="22">
                  <c:v>5.8872798339417783E-2</c:v>
                </c:pt>
                <c:pt idx="23">
                  <c:v>-3.6402907378865319E-2</c:v>
                </c:pt>
                <c:pt idx="24">
                  <c:v>-9.7064997148678077E-3</c:v>
                </c:pt>
                <c:pt idx="25">
                  <c:v>-3.0331891557485312E-3</c:v>
                </c:pt>
                <c:pt idx="26">
                  <c:v>-8.1829092363828043E-2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06C-45D9-9834-CCB51066281E}"/>
            </c:ext>
          </c:extLst>
        </c:ser>
        <c:ser>
          <c:idx val="11"/>
          <c:order val="11"/>
          <c:tx>
            <c:strRef>
              <c:f>'SATORI H1 (Data)'!$AT$1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(Data)'!$AT$2:$AT$37</c:f>
              <c:numCache>
                <c:formatCode>0.00000</c:formatCode>
                <c:ptCount val="36"/>
                <c:pt idx="0">
                  <c:v>5.0936794082475083E-2</c:v>
                </c:pt>
                <c:pt idx="1">
                  <c:v>0.11640411072802405</c:v>
                </c:pt>
                <c:pt idx="2">
                  <c:v>-2.5491543457534689E-2</c:v>
                </c:pt>
                <c:pt idx="3">
                  <c:v>-4.5974464785227709E-2</c:v>
                </c:pt>
                <c:pt idx="4">
                  <c:v>-1.4953312435617266E-2</c:v>
                </c:pt>
                <c:pt idx="5">
                  <c:v>-0.14102656276788422</c:v>
                </c:pt>
                <c:pt idx="6">
                  <c:v>-3.8711675441321113E-3</c:v>
                </c:pt>
                <c:pt idx="7">
                  <c:v>-9.2269781370335452E-2</c:v>
                </c:pt>
                <c:pt idx="8">
                  <c:v>-2.0991111921296973E-2</c:v>
                </c:pt>
                <c:pt idx="9">
                  <c:v>-5.7968134088575055E-2</c:v>
                </c:pt>
                <c:pt idx="10">
                  <c:v>-6.6244907422808126E-3</c:v>
                </c:pt>
                <c:pt idx="11">
                  <c:v>4.7498066939140778E-2</c:v>
                </c:pt>
                <c:pt idx="12">
                  <c:v>-6.6232475990732412E-2</c:v>
                </c:pt>
                <c:pt idx="13">
                  <c:v>-1.8210614028791611E-2</c:v>
                </c:pt>
                <c:pt idx="14">
                  <c:v>-2.6481151488739217E-2</c:v>
                </c:pt>
                <c:pt idx="15">
                  <c:v>-2.0408388399209117E-2</c:v>
                </c:pt>
                <c:pt idx="16">
                  <c:v>8.8260279564401304E-3</c:v>
                </c:pt>
                <c:pt idx="17">
                  <c:v>-6.725320279596915E-2</c:v>
                </c:pt>
                <c:pt idx="18">
                  <c:v>1.8194749987603502E-2</c:v>
                </c:pt>
                <c:pt idx="19">
                  <c:v>-1.3782001808203239E-2</c:v>
                </c:pt>
                <c:pt idx="20">
                  <c:v>-0.16840761246436817</c:v>
                </c:pt>
                <c:pt idx="21">
                  <c:v>2.2018914247348264E-2</c:v>
                </c:pt>
                <c:pt idx="22">
                  <c:v>2.2023763640966181E-2</c:v>
                </c:pt>
                <c:pt idx="23">
                  <c:v>-1.5414258188827855E-2</c:v>
                </c:pt>
                <c:pt idx="24">
                  <c:v>-5.5020632737270425E-2</c:v>
                </c:pt>
                <c:pt idx="25">
                  <c:v>2.6967380476710608E-2</c:v>
                </c:pt>
                <c:pt idx="26">
                  <c:v>-8.0836742774189563E-2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06C-45D9-9834-CCB51066281E}"/>
            </c:ext>
          </c:extLst>
        </c:ser>
        <c:ser>
          <c:idx val="12"/>
          <c:order val="12"/>
          <c:tx>
            <c:strRef>
              <c:f>'SATORI H1 (Data)'!$AU$1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(Data)'!$AU$2:$AU$37</c:f>
              <c:numCache>
                <c:formatCode>0.00000</c:formatCode>
                <c:ptCount val="36"/>
                <c:pt idx="0">
                  <c:v>-5.7571849668388325E-2</c:v>
                </c:pt>
                <c:pt idx="1">
                  <c:v>0.14837137431869937</c:v>
                </c:pt>
                <c:pt idx="2">
                  <c:v>3.0760002768396862E-2</c:v>
                </c:pt>
                <c:pt idx="3">
                  <c:v>-4.6137875350971604E-3</c:v>
                </c:pt>
                <c:pt idx="4">
                  <c:v>2.7690390665272249E-2</c:v>
                </c:pt>
                <c:pt idx="5">
                  <c:v>-1.5381184197369661E-2</c:v>
                </c:pt>
                <c:pt idx="6">
                  <c:v>6.1562613025103068E-2</c:v>
                </c:pt>
                <c:pt idx="7">
                  <c:v>0.11556329401613702</c:v>
                </c:pt>
                <c:pt idx="8">
                  <c:v>7.7042789565829304E-4</c:v>
                </c:pt>
                <c:pt idx="9">
                  <c:v>7.7048725614069866E-3</c:v>
                </c:pt>
                <c:pt idx="10">
                  <c:v>-1.5409507666331013E-3</c:v>
                </c:pt>
                <c:pt idx="11">
                  <c:v>-5.0055831504373295E-2</c:v>
                </c:pt>
                <c:pt idx="12">
                  <c:v>2.3103225210390705E-3</c:v>
                </c:pt>
                <c:pt idx="13">
                  <c:v>-3.2334057000330034E-2</c:v>
                </c:pt>
                <c:pt idx="14">
                  <c:v>7.6986442687947099E-4</c:v>
                </c:pt>
                <c:pt idx="15">
                  <c:v>1.5399659667519652E-2</c:v>
                </c:pt>
                <c:pt idx="16">
                  <c:v>-2.6172569607488972E-2</c:v>
                </c:pt>
                <c:pt idx="17">
                  <c:v>5.388760585066551E-3</c:v>
                </c:pt>
                <c:pt idx="18">
                  <c:v>-1.6163668690977094E-2</c:v>
                </c:pt>
                <c:pt idx="19">
                  <c:v>1.3856492921646845E-2</c:v>
                </c:pt>
                <c:pt idx="20">
                  <c:v>6.5476282179668263E-2</c:v>
                </c:pt>
                <c:pt idx="21">
                  <c:v>1.2326466464302396E-2</c:v>
                </c:pt>
                <c:pt idx="22">
                  <c:v>-5.0051206234073276E-2</c:v>
                </c:pt>
                <c:pt idx="23">
                  <c:v>0.18669238187078796</c:v>
                </c:pt>
                <c:pt idx="24">
                  <c:v>9.0341909380107277E-2</c:v>
                </c:pt>
                <c:pt idx="25">
                  <c:v>-4.9393387460251743E-2</c:v>
                </c:pt>
                <c:pt idx="26">
                  <c:v>5.8689071477101361E-2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806C-45D9-9834-CCB51066281E}"/>
            </c:ext>
          </c:extLst>
        </c:ser>
        <c:ser>
          <c:idx val="13"/>
          <c:order val="13"/>
          <c:tx>
            <c:strRef>
              <c:f>'SATORI H1 (Data)'!$AV$1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(Data)'!$AV$2:$AV$37</c:f>
              <c:numCache>
                <c:formatCode>0.00000</c:formatCode>
                <c:ptCount val="36"/>
                <c:pt idx="0">
                  <c:v>-3.1050757638459978E-3</c:v>
                </c:pt>
                <c:pt idx="1">
                  <c:v>3.5203246981839985E-2</c:v>
                </c:pt>
                <c:pt idx="2">
                  <c:v>2.5885410465008372E-3</c:v>
                </c:pt>
                <c:pt idx="3">
                  <c:v>-4.2951325281259167E-2</c:v>
                </c:pt>
                <c:pt idx="4">
                  <c:v>8.7980333807738901E-3</c:v>
                </c:pt>
                <c:pt idx="5">
                  <c:v>-4.603908666729039E-2</c:v>
                </c:pt>
                <c:pt idx="6">
                  <c:v>0.10667605692152438</c:v>
                </c:pt>
                <c:pt idx="7">
                  <c:v>-5.7965013973709241E-2</c:v>
                </c:pt>
                <c:pt idx="8">
                  <c:v>8.7990352116687365E-3</c:v>
                </c:pt>
                <c:pt idx="9">
                  <c:v>4.1408939154666509E-3</c:v>
                </c:pt>
                <c:pt idx="10">
                  <c:v>4.142609326049939E-2</c:v>
                </c:pt>
                <c:pt idx="11">
                  <c:v>4.5589477119780751E-2</c:v>
                </c:pt>
                <c:pt idx="12">
                  <c:v>-1.1396070427720889E-2</c:v>
                </c:pt>
                <c:pt idx="13">
                  <c:v>8.0355013634428249E-2</c:v>
                </c:pt>
                <c:pt idx="14">
                  <c:v>-1.0885623201919055E-2</c:v>
                </c:pt>
                <c:pt idx="15">
                  <c:v>3.1102747927752973E-3</c:v>
                </c:pt>
                <c:pt idx="16">
                  <c:v>-2.3839755383386122E-2</c:v>
                </c:pt>
                <c:pt idx="17">
                  <c:v>-2.0729792339210899E-3</c:v>
                </c:pt>
                <c:pt idx="18">
                  <c:v>-4.1442402830523049E-2</c:v>
                </c:pt>
                <c:pt idx="19">
                  <c:v>-2.485926033342669E-2</c:v>
                </c:pt>
                <c:pt idx="20">
                  <c:v>-4.7106813405251448E-2</c:v>
                </c:pt>
                <c:pt idx="21">
                  <c:v>-7.3453341609764994E-2</c:v>
                </c:pt>
                <c:pt idx="22">
                  <c:v>-2.3789083913402818E-2</c:v>
                </c:pt>
                <c:pt idx="23">
                  <c:v>-3.6187679645988589E-2</c:v>
                </c:pt>
                <c:pt idx="24">
                  <c:v>2.5337794164039022E-2</c:v>
                </c:pt>
                <c:pt idx="25">
                  <c:v>-2.1196517567261278E-2</c:v>
                </c:pt>
                <c:pt idx="26">
                  <c:v>-7.2326004298234617E-2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806C-45D9-9834-CCB51066281E}"/>
            </c:ext>
          </c:extLst>
        </c:ser>
        <c:ser>
          <c:idx val="14"/>
          <c:order val="14"/>
          <c:tx>
            <c:strRef>
              <c:f>'SATORI H1 (Data)'!$AW$1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(Data)'!$AW$2:$AW$37</c:f>
              <c:numCache>
                <c:formatCode>0.00000</c:formatCode>
                <c:ptCount val="36"/>
                <c:pt idx="0">
                  <c:v>-2.3584460670540316E-2</c:v>
                </c:pt>
                <c:pt idx="1">
                  <c:v>0.11002450760489968</c:v>
                </c:pt>
                <c:pt idx="2">
                  <c:v>1.2278920399554704E-2</c:v>
                </c:pt>
                <c:pt idx="3">
                  <c:v>-0.10803211714645887</c:v>
                </c:pt>
                <c:pt idx="4">
                  <c:v>5.0031151471684396E-2</c:v>
                </c:pt>
                <c:pt idx="5">
                  <c:v>-9.2424928323523184E-2</c:v>
                </c:pt>
                <c:pt idx="6">
                  <c:v>5.6589893045054032E-3</c:v>
                </c:pt>
                <c:pt idx="7">
                  <c:v>-1.7916922061380781E-2</c:v>
                </c:pt>
                <c:pt idx="8">
                  <c:v>-1.5557011733776419E-2</c:v>
                </c:pt>
                <c:pt idx="9">
                  <c:v>-6.360184304007209E-2</c:v>
                </c:pt>
                <c:pt idx="10">
                  <c:v>-1.4133543137812622E-3</c:v>
                </c:pt>
                <c:pt idx="11">
                  <c:v>7.921053500115062E-2</c:v>
                </c:pt>
                <c:pt idx="12">
                  <c:v>-8.4796464929586049E-2</c:v>
                </c:pt>
                <c:pt idx="13">
                  <c:v>-2.7315841775352963E-2</c:v>
                </c:pt>
                <c:pt idx="14">
                  <c:v>-2.91911692004946E-2</c:v>
                </c:pt>
                <c:pt idx="15">
                  <c:v>-2.024139034813819E-2</c:v>
                </c:pt>
                <c:pt idx="16">
                  <c:v>-9.4145115281310423E-4</c:v>
                </c:pt>
                <c:pt idx="17">
                  <c:v>-7.3379305154426089E-2</c:v>
                </c:pt>
                <c:pt idx="18">
                  <c:v>-2.1632806621515472E-2</c:v>
                </c:pt>
                <c:pt idx="19">
                  <c:v>-4.1837267133303754E-2</c:v>
                </c:pt>
                <c:pt idx="20">
                  <c:v>-0.13332519611478896</c:v>
                </c:pt>
                <c:pt idx="21">
                  <c:v>-4.6943287814090982E-3</c:v>
                </c:pt>
                <c:pt idx="22">
                  <c:v>-6.0051325116933431E-2</c:v>
                </c:pt>
                <c:pt idx="23">
                  <c:v>-1.8762518117554493E-2</c:v>
                </c:pt>
                <c:pt idx="24">
                  <c:v>-1.6883415327333687E-2</c:v>
                </c:pt>
                <c:pt idx="25">
                  <c:v>8.9114854977258105E-3</c:v>
                </c:pt>
                <c:pt idx="26">
                  <c:v>-7.170945018067075E-2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806C-45D9-9834-CCB51066281E}"/>
            </c:ext>
          </c:extLst>
        </c:ser>
        <c:ser>
          <c:idx val="15"/>
          <c:order val="15"/>
          <c:tx>
            <c:strRef>
              <c:f>'SATORI H1 (Data)'!$AX$1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(Data)'!$AX$2:$AX$37</c:f>
              <c:numCache>
                <c:formatCode>0.00000</c:formatCode>
                <c:ptCount val="36"/>
                <c:pt idx="0">
                  <c:v>-4.2833793608752405E-2</c:v>
                </c:pt>
                <c:pt idx="1">
                  <c:v>0.19482169579580164</c:v>
                </c:pt>
                <c:pt idx="2">
                  <c:v>5.8198008837061763E-2</c:v>
                </c:pt>
                <c:pt idx="3">
                  <c:v>-3.9536407383149862E-2</c:v>
                </c:pt>
                <c:pt idx="4">
                  <c:v>1.6947046129870243E-2</c:v>
                </c:pt>
                <c:pt idx="5">
                  <c:v>-3.4447123665173926E-2</c:v>
                </c:pt>
                <c:pt idx="6">
                  <c:v>7.3417292596127792E-3</c:v>
                </c:pt>
                <c:pt idx="7">
                  <c:v>3.6722126493604103E-2</c:v>
                </c:pt>
                <c:pt idx="8">
                  <c:v>4.5198506189290189E-3</c:v>
                </c:pt>
                <c:pt idx="9">
                  <c:v>-1.9205675842084546E-2</c:v>
                </c:pt>
                <c:pt idx="10">
                  <c:v>1.9774458179849966E-2</c:v>
                </c:pt>
                <c:pt idx="11">
                  <c:v>-5.6498132737083182E-4</c:v>
                </c:pt>
                <c:pt idx="12">
                  <c:v>-2.7676423076481788E-2</c:v>
                </c:pt>
                <c:pt idx="13">
                  <c:v>-8.471656660704192E-3</c:v>
                </c:pt>
                <c:pt idx="14">
                  <c:v>-1.0729613733900637E-2</c:v>
                </c:pt>
                <c:pt idx="15">
                  <c:v>7.9066562750629149E-3</c:v>
                </c:pt>
                <c:pt idx="16">
                  <c:v>-1.9762734258986257E-2</c:v>
                </c:pt>
                <c:pt idx="17">
                  <c:v>-1.4678733338222122E-2</c:v>
                </c:pt>
                <c:pt idx="18">
                  <c:v>5.6456985421922629E-4</c:v>
                </c:pt>
                <c:pt idx="19">
                  <c:v>-4.1760722347627705E-2</c:v>
                </c:pt>
                <c:pt idx="20">
                  <c:v>6.77246766147369E-3</c:v>
                </c:pt>
                <c:pt idx="21">
                  <c:v>-5.9223996435279196E-2</c:v>
                </c:pt>
                <c:pt idx="22">
                  <c:v>5.5870966285530226E-2</c:v>
                </c:pt>
                <c:pt idx="23">
                  <c:v>6.0422278315185554E-2</c:v>
                </c:pt>
                <c:pt idx="24">
                  <c:v>1.3554497551719896E-2</c:v>
                </c:pt>
                <c:pt idx="25">
                  <c:v>-6.8290590572520959E-2</c:v>
                </c:pt>
                <c:pt idx="26">
                  <c:v>-1.1287573510271117E-3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806C-45D9-9834-CCB51066281E}"/>
            </c:ext>
          </c:extLst>
        </c:ser>
        <c:ser>
          <c:idx val="16"/>
          <c:order val="16"/>
          <c:tx>
            <c:strRef>
              <c:f>'SATORI H1 (Data)'!$AY$1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(Data)'!$AY$2:$AY$37</c:f>
              <c:numCache>
                <c:formatCode>0.00000</c:formatCode>
                <c:ptCount val="36"/>
                <c:pt idx="0">
                  <c:v>-0.10722327459879445</c:v>
                </c:pt>
                <c:pt idx="1">
                  <c:v>0.10196597556393613</c:v>
                </c:pt>
                <c:pt idx="2">
                  <c:v>2.5945442996083447E-2</c:v>
                </c:pt>
                <c:pt idx="3">
                  <c:v>-6.2587734592253863E-2</c:v>
                </c:pt>
                <c:pt idx="4">
                  <c:v>2.3252278276105327E-2</c:v>
                </c:pt>
                <c:pt idx="5">
                  <c:v>8.2345043633925433E-2</c:v>
                </c:pt>
                <c:pt idx="6">
                  <c:v>-0.20454829662181817</c:v>
                </c:pt>
                <c:pt idx="7">
                  <c:v>6.4353515310778681E-2</c:v>
                </c:pt>
                <c:pt idx="8">
                  <c:v>-8.0435423760754233E-3</c:v>
                </c:pt>
                <c:pt idx="9">
                  <c:v>-3.574779927594438E-3</c:v>
                </c:pt>
                <c:pt idx="10">
                  <c:v>1.8771117507179632E-2</c:v>
                </c:pt>
                <c:pt idx="11">
                  <c:v>2.8611791634636181E-2</c:v>
                </c:pt>
                <c:pt idx="12">
                  <c:v>-6.9692637598284757E-2</c:v>
                </c:pt>
                <c:pt idx="13">
                  <c:v>-0.11067080789690922</c:v>
                </c:pt>
                <c:pt idx="14">
                  <c:v>2.6775912389390079E-3</c:v>
                </c:pt>
                <c:pt idx="15">
                  <c:v>4.0180006428786691E-2</c:v>
                </c:pt>
                <c:pt idx="16">
                  <c:v>-8.4752567110651739E-2</c:v>
                </c:pt>
                <c:pt idx="17">
                  <c:v>3.1234382808602169E-2</c:v>
                </c:pt>
                <c:pt idx="18">
                  <c:v>-1.8737118231219919E-2</c:v>
                </c:pt>
                <c:pt idx="19">
                  <c:v>1.7848059469732187E-2</c:v>
                </c:pt>
                <c:pt idx="20">
                  <c:v>1.8743975150848254E-2</c:v>
                </c:pt>
                <c:pt idx="21">
                  <c:v>2.1426275756170586E-2</c:v>
                </c:pt>
                <c:pt idx="22">
                  <c:v>-0.10523499509497537</c:v>
                </c:pt>
                <c:pt idx="23">
                  <c:v>2.5869528371727409E-2</c:v>
                </c:pt>
                <c:pt idx="24">
                  <c:v>2.5876222428449881E-2</c:v>
                </c:pt>
                <c:pt idx="25">
                  <c:v>0.11165998195574454</c:v>
                </c:pt>
                <c:pt idx="26">
                  <c:v>-9.0139940025699292E-2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806C-45D9-9834-CCB51066281E}"/>
            </c:ext>
          </c:extLst>
        </c:ser>
        <c:ser>
          <c:idx val="17"/>
          <c:order val="17"/>
          <c:tx>
            <c:strRef>
              <c:f>'SATORI H1 (Data)'!$AZ$1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(Data)'!$AZ$2:$AZ$37</c:f>
              <c:numCache>
                <c:formatCode>0.00000</c:formatCode>
                <c:ptCount val="36"/>
                <c:pt idx="0">
                  <c:v>-0.10188272982695082</c:v>
                </c:pt>
                <c:pt idx="1">
                  <c:v>9.9792012437264748E-3</c:v>
                </c:pt>
                <c:pt idx="2">
                  <c:v>-2.205442191159411E-2</c:v>
                </c:pt>
                <c:pt idx="3">
                  <c:v>-2.5198702266834214E-2</c:v>
                </c:pt>
                <c:pt idx="4">
                  <c:v>-1.5748940883800768E-3</c:v>
                </c:pt>
                <c:pt idx="5">
                  <c:v>-4.0930486390614827E-2</c:v>
                </c:pt>
                <c:pt idx="6">
                  <c:v>-0.27160545513538692</c:v>
                </c:pt>
                <c:pt idx="7">
                  <c:v>-4.7077038958852048E-2</c:v>
                </c:pt>
                <c:pt idx="8">
                  <c:v>0.24382442543952629</c:v>
                </c:pt>
                <c:pt idx="9">
                  <c:v>-8.8537300922036211E-2</c:v>
                </c:pt>
                <c:pt idx="10">
                  <c:v>4.4550433711579428E-2</c:v>
                </c:pt>
                <c:pt idx="11">
                  <c:v>0.40203966721218198</c:v>
                </c:pt>
                <c:pt idx="12">
                  <c:v>5.9499362882928182E-2</c:v>
                </c:pt>
                <c:pt idx="13">
                  <c:v>-0.34108559674237315</c:v>
                </c:pt>
                <c:pt idx="14">
                  <c:v>5.4078177092908741E-2</c:v>
                </c:pt>
                <c:pt idx="15">
                  <c:v>6.6197678878214539E-2</c:v>
                </c:pt>
                <c:pt idx="16">
                  <c:v>-5.5659114179944104E-2</c:v>
                </c:pt>
                <c:pt idx="17">
                  <c:v>-1.7324835414071683E-2</c:v>
                </c:pt>
                <c:pt idx="18">
                  <c:v>-2.9391079807269661E-2</c:v>
                </c:pt>
                <c:pt idx="19">
                  <c:v>9.1931560892830361E-2</c:v>
                </c:pt>
                <c:pt idx="20">
                  <c:v>9.2542445959952341E-2</c:v>
                </c:pt>
                <c:pt idx="21">
                  <c:v>6.4189917973695637E-2</c:v>
                </c:pt>
                <c:pt idx="22">
                  <c:v>-8.9436967981543925E-3</c:v>
                </c:pt>
                <c:pt idx="23">
                  <c:v>0.16546868742226814</c:v>
                </c:pt>
                <c:pt idx="24">
                  <c:v>0.21229180088931002</c:v>
                </c:pt>
                <c:pt idx="25">
                  <c:v>7.2400581318536383E-2</c:v>
                </c:pt>
                <c:pt idx="26">
                  <c:v>-0.15407588765124058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806C-45D9-9834-CCB51066281E}"/>
            </c:ext>
          </c:extLst>
        </c:ser>
        <c:ser>
          <c:idx val="18"/>
          <c:order val="18"/>
          <c:tx>
            <c:strRef>
              <c:f>'SATORI H1 (Data)'!$BA$1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(Data)'!$BA$2:$BA$37</c:f>
              <c:numCache>
                <c:formatCode>0.00000</c:formatCode>
                <c:ptCount val="36"/>
                <c:pt idx="0">
                  <c:v>-7.6827150046767267E-2</c:v>
                </c:pt>
                <c:pt idx="1">
                  <c:v>-9.5663974726911086E-2</c:v>
                </c:pt>
                <c:pt idx="2">
                  <c:v>-3.4471638737232607E-2</c:v>
                </c:pt>
                <c:pt idx="3">
                  <c:v>7.5672427415672913E-2</c:v>
                </c:pt>
                <c:pt idx="4">
                  <c:v>-5.0052276822460905E-2</c:v>
                </c:pt>
                <c:pt idx="5">
                  <c:v>5.119074115291173E-2</c:v>
                </c:pt>
                <c:pt idx="6">
                  <c:v>-0.27633199791363267</c:v>
                </c:pt>
                <c:pt idx="7">
                  <c:v>-2.9954735067010987E-2</c:v>
                </c:pt>
                <c:pt idx="8">
                  <c:v>0.26362918386188361</c:v>
                </c:pt>
                <c:pt idx="9">
                  <c:v>-3.0024686964838891E-2</c:v>
                </c:pt>
                <c:pt idx="10">
                  <c:v>4.6726892439145559E-2</c:v>
                </c:pt>
                <c:pt idx="11">
                  <c:v>0.32816162518137842</c:v>
                </c:pt>
                <c:pt idx="12">
                  <c:v>0.14307750776866168</c:v>
                </c:pt>
                <c:pt idx="13">
                  <c:v>-0.31867005392877984</c:v>
                </c:pt>
                <c:pt idx="14">
                  <c:v>8.363721521528536E-2</c:v>
                </c:pt>
                <c:pt idx="15">
                  <c:v>0.14630006030689535</c:v>
                </c:pt>
                <c:pt idx="16">
                  <c:v>-8.7034144164252342E-2</c:v>
                </c:pt>
                <c:pt idx="17">
                  <c:v>4.1302479265045981E-2</c:v>
                </c:pt>
                <c:pt idx="18">
                  <c:v>-1.3393604553826056E-2</c:v>
                </c:pt>
                <c:pt idx="19">
                  <c:v>0.12628238081401796</c:v>
                </c:pt>
                <c:pt idx="20">
                  <c:v>0.23299056836256737</c:v>
                </c:pt>
                <c:pt idx="21">
                  <c:v>6.949737703447699E-2</c:v>
                </c:pt>
                <c:pt idx="22">
                  <c:v>4.3735211330785638E-2</c:v>
                </c:pt>
                <c:pt idx="23">
                  <c:v>0.19213051392104277</c:v>
                </c:pt>
                <c:pt idx="24">
                  <c:v>0.22296292959775832</c:v>
                </c:pt>
                <c:pt idx="25">
                  <c:v>6.1972529267943104E-2</c:v>
                </c:pt>
                <c:pt idx="26">
                  <c:v>-8.218684560132343E-2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806C-45D9-9834-CCB51066281E}"/>
            </c:ext>
          </c:extLst>
        </c:ser>
        <c:ser>
          <c:idx val="19"/>
          <c:order val="19"/>
          <c:tx>
            <c:strRef>
              <c:f>'SATORI H1 (Data)'!$BB$1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(Data)'!$BB$2:$BB$37</c:f>
              <c:numCache>
                <c:formatCode>0.00000</c:formatCode>
                <c:ptCount val="36"/>
                <c:pt idx="0">
                  <c:v>-7.9566551737198496E-2</c:v>
                </c:pt>
                <c:pt idx="1">
                  <c:v>-5.6830021405926412E-3</c:v>
                </c:pt>
                <c:pt idx="2">
                  <c:v>1.326209692698543E-2</c:v>
                </c:pt>
                <c:pt idx="3">
                  <c:v>3.9802126570749691E-2</c:v>
                </c:pt>
                <c:pt idx="4">
                  <c:v>-2.6527711984846797E-2</c:v>
                </c:pt>
                <c:pt idx="5">
                  <c:v>0.17462938708882028</c:v>
                </c:pt>
                <c:pt idx="6">
                  <c:v>-0.20836095694504761</c:v>
                </c:pt>
                <c:pt idx="7">
                  <c:v>8.1516587677732982E-2</c:v>
                </c:pt>
                <c:pt idx="8">
                  <c:v>1.1375701501582925E-2</c:v>
                </c:pt>
                <c:pt idx="9">
                  <c:v>5.5012804704545663E-2</c:v>
                </c:pt>
                <c:pt idx="10">
                  <c:v>2.0871281117193097E-2</c:v>
                </c:pt>
                <c:pt idx="11">
                  <c:v>-4.5516613563954256E-2</c:v>
                </c:pt>
                <c:pt idx="12">
                  <c:v>1.5174506828522189E-2</c:v>
                </c:pt>
                <c:pt idx="13">
                  <c:v>-8.9070820778132248E-2</c:v>
                </c:pt>
                <c:pt idx="14">
                  <c:v>3.2227488151659427E-2</c:v>
                </c:pt>
                <c:pt idx="15">
                  <c:v>0.12147439547507383</c:v>
                </c:pt>
                <c:pt idx="16">
                  <c:v>-0.12132701421800454</c:v>
                </c:pt>
                <c:pt idx="17">
                  <c:v>9.297736285838798E-2</c:v>
                </c:pt>
                <c:pt idx="18">
                  <c:v>0</c:v>
                </c:pt>
                <c:pt idx="19">
                  <c:v>5.1258685499485986E-2</c:v>
                </c:pt>
                <c:pt idx="20">
                  <c:v>0.1578216805156771</c:v>
                </c:pt>
                <c:pt idx="21">
                  <c:v>2.6627612834514904E-2</c:v>
                </c:pt>
                <c:pt idx="22">
                  <c:v>-5.1326895293132176E-2</c:v>
                </c:pt>
                <c:pt idx="23">
                  <c:v>5.1353253323695246E-2</c:v>
                </c:pt>
                <c:pt idx="24">
                  <c:v>3.6150538452740293E-2</c:v>
                </c:pt>
                <c:pt idx="25">
                  <c:v>0.10284930671950633</c:v>
                </c:pt>
                <c:pt idx="26">
                  <c:v>-1.9042541036694977E-2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806C-45D9-9834-CCB51066281E}"/>
            </c:ext>
          </c:extLst>
        </c:ser>
        <c:ser>
          <c:idx val="20"/>
          <c:order val="20"/>
          <c:tx>
            <c:strRef>
              <c:f>'SATORI H1 (Data)'!$BC$1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(Data)'!$BC$2:$BC$37</c:f>
              <c:numCache>
                <c:formatCode>0.00000</c:formatCode>
                <c:ptCount val="36"/>
                <c:pt idx="0">
                  <c:v>-3.0922969256062281E-2</c:v>
                </c:pt>
                <c:pt idx="1">
                  <c:v>4.3962485345836987E-2</c:v>
                </c:pt>
                <c:pt idx="2">
                  <c:v>1.4656309541263129E-2</c:v>
                </c:pt>
                <c:pt idx="3">
                  <c:v>9.6172654365257126E-2</c:v>
                </c:pt>
                <c:pt idx="4">
                  <c:v>-1.9556714471970174E-2</c:v>
                </c:pt>
                <c:pt idx="5">
                  <c:v>7.6655847862619919E-2</c:v>
                </c:pt>
                <c:pt idx="6">
                  <c:v>5.548393413730756E-2</c:v>
                </c:pt>
                <c:pt idx="7">
                  <c:v>0.13235726657733543</c:v>
                </c:pt>
                <c:pt idx="8">
                  <c:v>2.1247037672626212E-2</c:v>
                </c:pt>
                <c:pt idx="9">
                  <c:v>6.7054821405210893E-2</c:v>
                </c:pt>
                <c:pt idx="10">
                  <c:v>0</c:v>
                </c:pt>
                <c:pt idx="11">
                  <c:v>-0.12251098515167325</c:v>
                </c:pt>
                <c:pt idx="12">
                  <c:v>8.5013160691216658E-2</c:v>
                </c:pt>
                <c:pt idx="13">
                  <c:v>-9.8082487371796354E-3</c:v>
                </c:pt>
                <c:pt idx="14">
                  <c:v>2.9433406916843752E-2</c:v>
                </c:pt>
                <c:pt idx="15">
                  <c:v>9.6569333507936769E-2</c:v>
                </c:pt>
                <c:pt idx="16">
                  <c:v>-7.3600366366278189E-2</c:v>
                </c:pt>
                <c:pt idx="17">
                  <c:v>6.7103109656304658E-2</c:v>
                </c:pt>
                <c:pt idx="18">
                  <c:v>1.3095004255871305E-2</c:v>
                </c:pt>
                <c:pt idx="19">
                  <c:v>4.7491934559391526E-2</c:v>
                </c:pt>
                <c:pt idx="20">
                  <c:v>0.20512652203878914</c:v>
                </c:pt>
                <c:pt idx="21">
                  <c:v>1.641281512604861E-2</c:v>
                </c:pt>
                <c:pt idx="22">
                  <c:v>4.9240869922175653E-3</c:v>
                </c:pt>
                <c:pt idx="23">
                  <c:v>0.21383337445513081</c:v>
                </c:pt>
                <c:pt idx="24">
                  <c:v>0.10043797543385903</c:v>
                </c:pt>
                <c:pt idx="25">
                  <c:v>-5.9239756458783439E-2</c:v>
                </c:pt>
                <c:pt idx="26">
                  <c:v>0.13016757015044544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806C-45D9-9834-CCB51066281E}"/>
            </c:ext>
          </c:extLst>
        </c:ser>
        <c:ser>
          <c:idx val="21"/>
          <c:order val="21"/>
          <c:tx>
            <c:strRef>
              <c:f>'SATORI H1 (Data)'!$BD$1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(Data)'!$BD$2:$BD$37</c:f>
              <c:numCache>
                <c:formatCode>0.00000</c:formatCode>
                <c:ptCount val="36"/>
                <c:pt idx="0">
                  <c:v>-1.6729202017067249E-2</c:v>
                </c:pt>
                <c:pt idx="1">
                  <c:v>8.8504042481949236E-2</c:v>
                </c:pt>
                <c:pt idx="2">
                  <c:v>4.5468686433572152E-2</c:v>
                </c:pt>
                <c:pt idx="3">
                  <c:v>6.2259045520949685E-2</c:v>
                </c:pt>
                <c:pt idx="4">
                  <c:v>-3.3512866546984793E-2</c:v>
                </c:pt>
                <c:pt idx="5">
                  <c:v>5.8681931952909598E-2</c:v>
                </c:pt>
                <c:pt idx="6">
                  <c:v>3.5929004287497293E-3</c:v>
                </c:pt>
                <c:pt idx="7">
                  <c:v>5.1524773830212867E-2</c:v>
                </c:pt>
                <c:pt idx="8">
                  <c:v>2.6368463317871581E-2</c:v>
                </c:pt>
                <c:pt idx="9">
                  <c:v>3.9568345323747298E-2</c:v>
                </c:pt>
                <c:pt idx="10">
                  <c:v>2.1587392962504854E-2</c:v>
                </c:pt>
                <c:pt idx="11">
                  <c:v>-7.4301327836627434E-2</c:v>
                </c:pt>
                <c:pt idx="12">
                  <c:v>5.6356943295318832E-2</c:v>
                </c:pt>
                <c:pt idx="13">
                  <c:v>1.3191662869059971E-2</c:v>
                </c:pt>
                <c:pt idx="14">
                  <c:v>1.9191555715491065E-2</c:v>
                </c:pt>
                <c:pt idx="15">
                  <c:v>8.7638210259674235E-2</c:v>
                </c:pt>
                <c:pt idx="16">
                  <c:v>-6.4786265311752106E-2</c:v>
                </c:pt>
                <c:pt idx="17">
                  <c:v>4.6811983867870353E-2</c:v>
                </c:pt>
                <c:pt idx="18">
                  <c:v>2.7614691015614604E-2</c:v>
                </c:pt>
                <c:pt idx="19">
                  <c:v>-7.2033135242150171E-3</c:v>
                </c:pt>
                <c:pt idx="20">
                  <c:v>0.14668221658470884</c:v>
                </c:pt>
                <c:pt idx="21">
                  <c:v>-5.40748395779833E-2</c:v>
                </c:pt>
                <c:pt idx="22">
                  <c:v>0.10826676931960494</c:v>
                </c:pt>
                <c:pt idx="23">
                  <c:v>8.5483463163849929E-2</c:v>
                </c:pt>
                <c:pt idx="24">
                  <c:v>2.6494851568615398E-2</c:v>
                </c:pt>
                <c:pt idx="25">
                  <c:v>-7.8219013237055171E-2</c:v>
                </c:pt>
                <c:pt idx="26">
                  <c:v>6.9844175236616873E-2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806C-45D9-9834-CCB51066281E}"/>
            </c:ext>
          </c:extLst>
        </c:ser>
        <c:ser>
          <c:idx val="22"/>
          <c:order val="22"/>
          <c:tx>
            <c:strRef>
              <c:f>'SATORI H1 (Data)'!$BE$1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(Data)'!$BE$2:$BE$37</c:f>
              <c:numCache>
                <c:formatCode>0.00000</c:formatCode>
                <c:ptCount val="36"/>
                <c:pt idx="0">
                  <c:v>-5.8704585480388177E-2</c:v>
                </c:pt>
                <c:pt idx="1">
                  <c:v>-0.18508873097958653</c:v>
                </c:pt>
                <c:pt idx="2">
                  <c:v>-8.0852764328121982E-2</c:v>
                </c:pt>
                <c:pt idx="3">
                  <c:v>1.4871685240773636E-2</c:v>
                </c:pt>
                <c:pt idx="4">
                  <c:v>-1.6727847218996034E-2</c:v>
                </c:pt>
                <c:pt idx="5">
                  <c:v>-5.5756381782533634E-3</c:v>
                </c:pt>
                <c:pt idx="6">
                  <c:v>-0.27985506843475066</c:v>
                </c:pt>
                <c:pt idx="7">
                  <c:v>-8.5181241609183611E-2</c:v>
                </c:pt>
                <c:pt idx="8">
                  <c:v>0.2385195084827475</c:v>
                </c:pt>
                <c:pt idx="9">
                  <c:v>-6.9558443003801262E-2</c:v>
                </c:pt>
                <c:pt idx="10">
                  <c:v>2.7831120759220843E-2</c:v>
                </c:pt>
                <c:pt idx="11">
                  <c:v>0.40051041792797037</c:v>
                </c:pt>
                <c:pt idx="12">
                  <c:v>8.7630163420926901E-2</c:v>
                </c:pt>
                <c:pt idx="13">
                  <c:v>-0.33263028793889071</c:v>
                </c:pt>
                <c:pt idx="14">
                  <c:v>6.6942494537667721E-2</c:v>
                </c:pt>
                <c:pt idx="15">
                  <c:v>7.5367065522826973E-2</c:v>
                </c:pt>
                <c:pt idx="16">
                  <c:v>-4.6501246233396409E-2</c:v>
                </c:pt>
                <c:pt idx="17">
                  <c:v>-1.1159053712245624E-2</c:v>
                </c:pt>
                <c:pt idx="18">
                  <c:v>-3.0677983433890107E-2</c:v>
                </c:pt>
                <c:pt idx="19">
                  <c:v>0.13404700954154569</c:v>
                </c:pt>
                <c:pt idx="20">
                  <c:v>8.5714551908545142E-2</c:v>
                </c:pt>
                <c:pt idx="21">
                  <c:v>0.12406716417910034</c:v>
                </c:pt>
                <c:pt idx="22">
                  <c:v>-6.5255896336341171E-2</c:v>
                </c:pt>
                <c:pt idx="23">
                  <c:v>0.10638694986747368</c:v>
                </c:pt>
                <c:pt idx="24">
                  <c:v>0.19729767637571904</c:v>
                </c:pt>
                <c:pt idx="25">
                  <c:v>0.14045601385831871</c:v>
                </c:pt>
                <c:pt idx="26">
                  <c:v>-0.15239626769385806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806C-45D9-9834-CCB51066281E}"/>
            </c:ext>
          </c:extLst>
        </c:ser>
        <c:ser>
          <c:idx val="23"/>
          <c:order val="23"/>
          <c:tx>
            <c:strRef>
              <c:f>'SATORI H1 (Data)'!$BF$1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(Data)'!$BF$2:$BF$37</c:f>
              <c:numCache>
                <c:formatCode>0.00000</c:formatCode>
                <c:ptCount val="36"/>
                <c:pt idx="0">
                  <c:v>-6.1832133684244138E-2</c:v>
                </c:pt>
                <c:pt idx="1">
                  <c:v>-9.5035955269750838E-2</c:v>
                </c:pt>
                <c:pt idx="2">
                  <c:v>-3.3251524028173933E-2</c:v>
                </c:pt>
                <c:pt idx="3">
                  <c:v>-2.2162769712996723E-2</c:v>
                </c:pt>
                <c:pt idx="4">
                  <c:v>7.9159014628577187E-3</c:v>
                </c:pt>
                <c:pt idx="5">
                  <c:v>0.11729275637976905</c:v>
                </c:pt>
                <c:pt idx="6">
                  <c:v>-0.2119448310768075</c:v>
                </c:pt>
                <c:pt idx="7">
                  <c:v>2.5313251487161278E-2</c:v>
                </c:pt>
                <c:pt idx="8">
                  <c:v>-1.265502404455834E-2</c:v>
                </c:pt>
                <c:pt idx="9">
                  <c:v>1.5821282789624407E-2</c:v>
                </c:pt>
                <c:pt idx="10">
                  <c:v>1.5821533106486021E-3</c:v>
                </c:pt>
                <c:pt idx="11">
                  <c:v>2.6903842501741389E-2</c:v>
                </c:pt>
                <c:pt idx="12">
                  <c:v>-4.2711381792294945E-2</c:v>
                </c:pt>
                <c:pt idx="13">
                  <c:v>-0.10113939853663521</c:v>
                </c:pt>
                <c:pt idx="14">
                  <c:v>1.5805528773963393E-2</c:v>
                </c:pt>
                <c:pt idx="15">
                  <c:v>5.0603286050885869E-2</c:v>
                </c:pt>
                <c:pt idx="16">
                  <c:v>-7.7426287014504075E-2</c:v>
                </c:pt>
                <c:pt idx="17">
                  <c:v>3.7937466409537796E-2</c:v>
                </c:pt>
                <c:pt idx="18">
                  <c:v>-2.0545239035965942E-2</c:v>
                </c:pt>
                <c:pt idx="19">
                  <c:v>6.0091402185436842E-2</c:v>
                </c:pt>
                <c:pt idx="20">
                  <c:v>1.2652422148060064E-2</c:v>
                </c:pt>
                <c:pt idx="21">
                  <c:v>8.2308435031730673E-2</c:v>
                </c:pt>
                <c:pt idx="22">
                  <c:v>-0.16276864728191773</c:v>
                </c:pt>
                <c:pt idx="23">
                  <c:v>-3.4754036207386492E-2</c:v>
                </c:pt>
                <c:pt idx="24">
                  <c:v>1.1059325381154039E-2</c:v>
                </c:pt>
                <c:pt idx="25">
                  <c:v>0.18201962646406841</c:v>
                </c:pt>
                <c:pt idx="26">
                  <c:v>-8.8557150989943212E-2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806C-45D9-9834-CCB51066281E}"/>
            </c:ext>
          </c:extLst>
        </c:ser>
        <c:ser>
          <c:idx val="24"/>
          <c:order val="24"/>
          <c:tx>
            <c:strRef>
              <c:f>'SATORI H1 (Data)'!$BG$1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(Data)'!$BG$2:$BG$37</c:f>
              <c:numCache>
                <c:formatCode>0.00000</c:formatCode>
                <c:ptCount val="36"/>
                <c:pt idx="0">
                  <c:v>1.1755301641096238E-3</c:v>
                </c:pt>
                <c:pt idx="1">
                  <c:v>-8.8673827127150315E-2</c:v>
                </c:pt>
                <c:pt idx="2">
                  <c:v>-5.2824031412692679E-2</c:v>
                </c:pt>
                <c:pt idx="3">
                  <c:v>3.6403135366827245E-2</c:v>
                </c:pt>
                <c:pt idx="4">
                  <c:v>-2.4067247411301521E-2</c:v>
                </c:pt>
                <c:pt idx="5">
                  <c:v>-0.12311949626537995</c:v>
                </c:pt>
                <c:pt idx="6">
                  <c:v>-6.7377153871848117E-2</c:v>
                </c:pt>
                <c:pt idx="7">
                  <c:v>-0.11119499505474757</c:v>
                </c:pt>
                <c:pt idx="8">
                  <c:v>0.25111034187382131</c:v>
                </c:pt>
                <c:pt idx="9">
                  <c:v>-8.5000117241530365E-2</c:v>
                </c:pt>
                <c:pt idx="10">
                  <c:v>3.2838411559110998E-2</c:v>
                </c:pt>
                <c:pt idx="11">
                  <c:v>0.36666686285012501</c:v>
                </c:pt>
                <c:pt idx="12">
                  <c:v>0.1308291147819102</c:v>
                </c:pt>
                <c:pt idx="13">
                  <c:v>-0.22989451898540147</c:v>
                </c:pt>
                <c:pt idx="14">
                  <c:v>4.8824965440159067E-2</c:v>
                </c:pt>
                <c:pt idx="15">
                  <c:v>0.13135263765521593</c:v>
                </c:pt>
                <c:pt idx="16">
                  <c:v>-6.8280278771904943E-2</c:v>
                </c:pt>
                <c:pt idx="17">
                  <c:v>-5.7063858575761628E-2</c:v>
                </c:pt>
                <c:pt idx="18">
                  <c:v>-4.7060761325356665E-3</c:v>
                </c:pt>
                <c:pt idx="19">
                  <c:v>7.3586549556125938E-2</c:v>
                </c:pt>
                <c:pt idx="20">
                  <c:v>6.8924483508191539E-2</c:v>
                </c:pt>
                <c:pt idx="21">
                  <c:v>4.4791513186971207E-2</c:v>
                </c:pt>
                <c:pt idx="22">
                  <c:v>9.3205991139540853E-2</c:v>
                </c:pt>
                <c:pt idx="23">
                  <c:v>0.14118786847670953</c:v>
                </c:pt>
                <c:pt idx="24">
                  <c:v>0.18643134887519619</c:v>
                </c:pt>
                <c:pt idx="25">
                  <c:v>-3.3723819666321361E-2</c:v>
                </c:pt>
                <c:pt idx="26">
                  <c:v>-6.9765516915178724E-2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806C-45D9-9834-CCB51066281E}"/>
            </c:ext>
          </c:extLst>
        </c:ser>
        <c:ser>
          <c:idx val="25"/>
          <c:order val="25"/>
          <c:tx>
            <c:strRef>
              <c:f>'SATORI H1 (Data)'!$BH$1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(Data)'!$BH$2:$BH$37</c:f>
              <c:numCache>
                <c:formatCode>0.00000</c:formatCode>
                <c:ptCount val="36"/>
                <c:pt idx="0">
                  <c:v>1.3949356494169502E-2</c:v>
                </c:pt>
                <c:pt idx="1">
                  <c:v>4.4070012559948725E-2</c:v>
                </c:pt>
                <c:pt idx="2">
                  <c:v>3.0858528342078903E-2</c:v>
                </c:pt>
                <c:pt idx="3">
                  <c:v>-3.3786016995828526E-2</c:v>
                </c:pt>
                <c:pt idx="4">
                  <c:v>-1.3218867730545791E-2</c:v>
                </c:pt>
                <c:pt idx="5">
                  <c:v>-1.9824370759786811E-2</c:v>
                </c:pt>
                <c:pt idx="6">
                  <c:v>-5.2837056388868403E-2</c:v>
                </c:pt>
                <c:pt idx="7">
                  <c:v>-7.6994713029721232E-2</c:v>
                </c:pt>
                <c:pt idx="8">
                  <c:v>3.6665493370956173E-3</c:v>
                </c:pt>
                <c:pt idx="9">
                  <c:v>-2.7125105384698617E-2</c:v>
                </c:pt>
                <c:pt idx="10">
                  <c:v>1.9797914619659511E-2</c:v>
                </c:pt>
                <c:pt idx="11">
                  <c:v>5.0620281859604245E-2</c:v>
                </c:pt>
                <c:pt idx="12">
                  <c:v>-2.9336482115760142E-2</c:v>
                </c:pt>
                <c:pt idx="13">
                  <c:v>2.1273474178412816E-2</c:v>
                </c:pt>
                <c:pt idx="14">
                  <c:v>-9.5354756368570687E-3</c:v>
                </c:pt>
                <c:pt idx="15">
                  <c:v>-5.1342232653670602E-3</c:v>
                </c:pt>
                <c:pt idx="16">
                  <c:v>4.4009564745367252E-3</c:v>
                </c:pt>
                <c:pt idx="17">
                  <c:v>-2.1266765911567027E-2</c:v>
                </c:pt>
                <c:pt idx="18">
                  <c:v>1.6869590729056218E-2</c:v>
                </c:pt>
                <c:pt idx="19">
                  <c:v>-5.4246631577401366E-2</c:v>
                </c:pt>
                <c:pt idx="20">
                  <c:v>-5.8610634899712362E-2</c:v>
                </c:pt>
                <c:pt idx="21">
                  <c:v>-7.3209657818051305E-2</c:v>
                </c:pt>
                <c:pt idx="22">
                  <c:v>0.1070004690431532</c:v>
                </c:pt>
                <c:pt idx="23">
                  <c:v>-0.12882070500058437</c:v>
                </c:pt>
                <c:pt idx="24">
                  <c:v>-7.387090875846973E-2</c:v>
                </c:pt>
                <c:pt idx="25">
                  <c:v>-2.1205961068773233E-2</c:v>
                </c:pt>
                <c:pt idx="26">
                  <c:v>-5.7734610802954577E-2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806C-45D9-9834-CCB51066281E}"/>
            </c:ext>
          </c:extLst>
        </c:ser>
        <c:ser>
          <c:idx val="26"/>
          <c:order val="26"/>
          <c:tx>
            <c:strRef>
              <c:f>'SATORI H1 (Data)'!$BI$1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(Data)'!$BI$2:$BI$37</c:f>
              <c:numCache>
                <c:formatCode>0.00000</c:formatCode>
                <c:ptCount val="36"/>
                <c:pt idx="0">
                  <c:v>-4.7722696215928957E-2</c:v>
                </c:pt>
                <c:pt idx="1">
                  <c:v>-5.0025594490209116E-2</c:v>
                </c:pt>
                <c:pt idx="2">
                  <c:v>1.1633994531969622E-3</c:v>
                </c:pt>
                <c:pt idx="3">
                  <c:v>-5.5812006557902041E-2</c:v>
                </c:pt>
                <c:pt idx="4">
                  <c:v>-8.1385885362184052E-3</c:v>
                </c:pt>
                <c:pt idx="5">
                  <c:v>9.8923479778878956E-2</c:v>
                </c:pt>
                <c:pt idx="6">
                  <c:v>-0.26464545633931025</c:v>
                </c:pt>
                <c:pt idx="7">
                  <c:v>-5.2205387595994163E-2</c:v>
                </c:pt>
                <c:pt idx="8">
                  <c:v>-6.9602338638647858E-3</c:v>
                </c:pt>
                <c:pt idx="9">
                  <c:v>-1.1599044238753449E-2</c:v>
                </c:pt>
                <c:pt idx="10">
                  <c:v>1.624129930394768E-2</c:v>
                </c:pt>
                <c:pt idx="11">
                  <c:v>8.2434487803177608E-2</c:v>
                </c:pt>
                <c:pt idx="12">
                  <c:v>-7.193326449396735E-2</c:v>
                </c:pt>
                <c:pt idx="13">
                  <c:v>-7.8832353725409976E-2</c:v>
                </c:pt>
                <c:pt idx="14">
                  <c:v>2.3186523992278891E-3</c:v>
                </c:pt>
                <c:pt idx="15">
                  <c:v>2.5511683191279409E-2</c:v>
                </c:pt>
                <c:pt idx="16">
                  <c:v>-6.1422213981090122E-2</c:v>
                </c:pt>
                <c:pt idx="17">
                  <c:v>2.5502515475389839E-2</c:v>
                </c:pt>
                <c:pt idx="18">
                  <c:v>-1.1591918114766378E-3</c:v>
                </c:pt>
                <c:pt idx="19">
                  <c:v>0</c:v>
                </c:pt>
                <c:pt idx="20">
                  <c:v>-4.287170930663485E-2</c:v>
                </c:pt>
                <c:pt idx="21">
                  <c:v>9.2704180958653945E-3</c:v>
                </c:pt>
                <c:pt idx="22">
                  <c:v>-5.3276505061269831E-2</c:v>
                </c:pt>
                <c:pt idx="23">
                  <c:v>-0.16419222052635027</c:v>
                </c:pt>
                <c:pt idx="24">
                  <c:v>-6.124547881252175E-2</c:v>
                </c:pt>
                <c:pt idx="25">
                  <c:v>0.15624638318557005</c:v>
                </c:pt>
                <c:pt idx="26">
                  <c:v>-0.14446357784275121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806C-45D9-9834-CCB51066281E}"/>
            </c:ext>
          </c:extLst>
        </c:ser>
        <c:ser>
          <c:idx val="27"/>
          <c:order val="27"/>
          <c:tx>
            <c:strRef>
              <c:f>'SATORI H1 (Data)'!$BJ$1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 (Data)'!$AH$2:$AH$37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 (Data)'!$BJ$2:$BJ$37</c:f>
              <c:numCache>
                <c:formatCode>0.00000</c:formatCode>
                <c:ptCount val="36"/>
                <c:pt idx="0">
                  <c:v>-4.5836725479047727E-2</c:v>
                </c:pt>
                <c:pt idx="1">
                  <c:v>-0.14005028146691567</c:v>
                </c:pt>
                <c:pt idx="2">
                  <c:v>-4.9164208456245716E-2</c:v>
                </c:pt>
                <c:pt idx="3">
                  <c:v>-1.9798330113257618E-2</c:v>
                </c:pt>
                <c:pt idx="4">
                  <c:v>-3.0712111491781095E-2</c:v>
                </c:pt>
                <c:pt idx="5">
                  <c:v>-2.52458054435457E-2</c:v>
                </c:pt>
                <c:pt idx="6">
                  <c:v>-0.33322225924692389</c:v>
                </c:pt>
                <c:pt idx="7">
                  <c:v>-0.16091142403215158</c:v>
                </c:pt>
                <c:pt idx="8">
                  <c:v>0.24229224800925239</c:v>
                </c:pt>
                <c:pt idx="9">
                  <c:v>-9.6551348999126888E-2</c:v>
                </c:pt>
                <c:pt idx="10">
                  <c:v>4.5576681065274842E-2</c:v>
                </c:pt>
                <c:pt idx="11">
                  <c:v>0.45304833882274564</c:v>
                </c:pt>
                <c:pt idx="12">
                  <c:v>5.811687645720065E-2</c:v>
                </c:pt>
                <c:pt idx="13">
                  <c:v>-0.31013141392659366</c:v>
                </c:pt>
                <c:pt idx="14">
                  <c:v>5.455835015548044E-2</c:v>
                </c:pt>
                <c:pt idx="15">
                  <c:v>5.1174628301628076E-2</c:v>
                </c:pt>
                <c:pt idx="16">
                  <c:v>-3.0695352041592825E-2</c:v>
                </c:pt>
                <c:pt idx="17">
                  <c:v>-2.4550253003997165E-2</c:v>
                </c:pt>
                <c:pt idx="18">
                  <c:v>-1.2273619899629528E-2</c:v>
                </c:pt>
                <c:pt idx="19">
                  <c:v>7.915927391839353E-2</c:v>
                </c:pt>
                <c:pt idx="20">
                  <c:v>2.7303754266206171E-2</c:v>
                </c:pt>
                <c:pt idx="21">
                  <c:v>5.1904059443802518E-2</c:v>
                </c:pt>
                <c:pt idx="22">
                  <c:v>4.0310183445494141E-2</c:v>
                </c:pt>
                <c:pt idx="23">
                  <c:v>-2.1858371414702669E-2</c:v>
                </c:pt>
                <c:pt idx="24">
                  <c:v>0.12241994829638078</c:v>
                </c:pt>
                <c:pt idx="25">
                  <c:v>0.12119884142123959</c:v>
                </c:pt>
                <c:pt idx="26">
                  <c:v>-0.2118195297606455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806C-45D9-9834-CCB510662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 H1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 (Data)'!$DT$1</c:f>
              <c:strCache>
                <c:ptCount val="1"/>
                <c:pt idx="0">
                  <c:v>EU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H1 (Data)'!$DT$2:$DT$37</c:f>
              <c:numCache>
                <c:formatCode>0.00000</c:formatCode>
                <c:ptCount val="36"/>
                <c:pt idx="0">
                  <c:v>0.57236109420115144</c:v>
                </c:pt>
                <c:pt idx="1">
                  <c:v>0.55524150939612227</c:v>
                </c:pt>
                <c:pt idx="2">
                  <c:v>0.39821597018487309</c:v>
                </c:pt>
                <c:pt idx="3">
                  <c:v>0.40814188675301744</c:v>
                </c:pt>
                <c:pt idx="4">
                  <c:v>0.35126111967525248</c:v>
                </c:pt>
                <c:pt idx="5">
                  <c:v>0.38736285436360041</c:v>
                </c:pt>
                <c:pt idx="6">
                  <c:v>0.45140239652597108</c:v>
                </c:pt>
                <c:pt idx="7">
                  <c:v>0.39996392415836113</c:v>
                </c:pt>
                <c:pt idx="8">
                  <c:v>0.35843493511841162</c:v>
                </c:pt>
                <c:pt idx="9">
                  <c:v>0.36385146637179233</c:v>
                </c:pt>
                <c:pt idx="10">
                  <c:v>0.3503083043143066</c:v>
                </c:pt>
                <c:pt idx="11">
                  <c:v>0.35572527568560836</c:v>
                </c:pt>
                <c:pt idx="12">
                  <c:v>0.43871657062043601</c:v>
                </c:pt>
                <c:pt idx="13">
                  <c:v>0.41706197939595741</c:v>
                </c:pt>
                <c:pt idx="14">
                  <c:v>0.44051561786715454</c:v>
                </c:pt>
                <c:pt idx="15">
                  <c:v>0.43780935557621559</c:v>
                </c:pt>
                <c:pt idx="16">
                  <c:v>0.42156914481436303</c:v>
                </c:pt>
                <c:pt idx="17">
                  <c:v>0.43510082247176746</c:v>
                </c:pt>
                <c:pt idx="18">
                  <c:v>0.42246966139739439</c:v>
                </c:pt>
                <c:pt idx="19">
                  <c:v>0.40442188894371145</c:v>
                </c:pt>
                <c:pt idx="20">
                  <c:v>0.36199162804272811</c:v>
                </c:pt>
                <c:pt idx="21">
                  <c:v>0.33219129030557243</c:v>
                </c:pt>
                <c:pt idx="22">
                  <c:v>0.29244171264483543</c:v>
                </c:pt>
                <c:pt idx="23">
                  <c:v>0.25990875042826389</c:v>
                </c:pt>
                <c:pt idx="24">
                  <c:v>6.8865163517008054E-2</c:v>
                </c:pt>
                <c:pt idx="25">
                  <c:v>1.8135930796662567E-2</c:v>
                </c:pt>
                <c:pt idx="26">
                  <c:v>4.8926338679007614E-2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60-496E-9E2F-FB44887D8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780576"/>
        <c:axId val="1467783456"/>
      </c:lineChart>
      <c:catAx>
        <c:axId val="1467780576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3456"/>
        <c:crosses val="autoZero"/>
        <c:auto val="1"/>
        <c:lblAlgn val="ctr"/>
        <c:lblOffset val="100"/>
        <c:noMultiLvlLbl val="0"/>
      </c:catAx>
      <c:valAx>
        <c:axId val="14677834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#REF!$DT$2:$DT$37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#REF!$DT$1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B6B0-499C-BA92-8B3A901D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20432"/>
        <c:axId val="1465044432"/>
      </c:lineChart>
      <c:catAx>
        <c:axId val="1465020432"/>
        <c:scaling>
          <c:orientation val="maxMin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44432"/>
        <c:crosses val="autoZero"/>
        <c:auto val="1"/>
        <c:lblAlgn val="ctr"/>
        <c:lblOffset val="100"/>
        <c:noMultiLvlLbl val="0"/>
      </c:catAx>
      <c:valAx>
        <c:axId val="14650444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2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#REF!$DT$2:$DT$37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#REF!$DT$1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5CA7-4CC2-9DDE-F5D8CC52C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0973008"/>
        <c:axId val="1270967728"/>
      </c:lineChart>
      <c:catAx>
        <c:axId val="1270973008"/>
        <c:scaling>
          <c:orientation val="maxMin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67728"/>
        <c:crosses val="autoZero"/>
        <c:auto val="1"/>
        <c:lblAlgn val="ctr"/>
        <c:lblOffset val="100"/>
        <c:noMultiLvlLbl val="0"/>
      </c:catAx>
      <c:valAx>
        <c:axId val="12709677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7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11" Type="http://schemas.openxmlformats.org/officeDocument/2006/relationships/image" Target="../media/image3.png"/><Relationship Id="rId5" Type="http://schemas.openxmlformats.org/officeDocument/2006/relationships/chart" Target="../charts/chart13.xml"/><Relationship Id="rId10" Type="http://schemas.openxmlformats.org/officeDocument/2006/relationships/image" Target="../media/image2.png"/><Relationship Id="rId4" Type="http://schemas.openxmlformats.org/officeDocument/2006/relationships/chart" Target="../charts/chart12.xml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504824</xdr:colOff>
      <xdr:row>39</xdr:row>
      <xdr:rowOff>78363</xdr:rowOff>
    </xdr:from>
    <xdr:to>
      <xdr:col>107</xdr:col>
      <xdr:colOff>828674</xdr:colOff>
      <xdr:row>69</xdr:row>
      <xdr:rowOff>90270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867A90-55D2-46C4-9FF3-78782CC9D7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0C91D7B-337A-44C2-BFAC-C568B4A2B3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76B4954-37CD-42BC-97BE-F9DDA2EDAC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163654</xdr:colOff>
      <xdr:row>38</xdr:row>
      <xdr:rowOff>138544</xdr:rowOff>
    </xdr:from>
    <xdr:to>
      <xdr:col>124</xdr:col>
      <xdr:colOff>318655</xdr:colOff>
      <xdr:row>78</xdr:row>
      <xdr:rowOff>110835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A9DA272-086F-4FD3-8246-AFCFCE0E89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9A3E9E-64C3-4F59-B2F9-25ECC31CB9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121</xdr:col>
      <xdr:colOff>443345</xdr:colOff>
      <xdr:row>108</xdr:row>
      <xdr:rowOff>103214</xdr:rowOff>
    </xdr:from>
    <xdr:to>
      <xdr:col>135</xdr:col>
      <xdr:colOff>484909</xdr:colOff>
      <xdr:row>134</xdr:row>
      <xdr:rowOff>41562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6F41B4A-328E-9CE3-79FD-6DF2DEF91E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121</xdr:col>
      <xdr:colOff>477288</xdr:colOff>
      <xdr:row>79</xdr:row>
      <xdr:rowOff>13854</xdr:rowOff>
    </xdr:from>
    <xdr:to>
      <xdr:col>135</xdr:col>
      <xdr:colOff>554181</xdr:colOff>
      <xdr:row>106</xdr:row>
      <xdr:rowOff>96983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F21DF0C-B1F8-4853-8AF3-4F18646ED9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110</xdr:col>
      <xdr:colOff>845128</xdr:colOff>
      <xdr:row>79</xdr:row>
      <xdr:rowOff>13855</xdr:rowOff>
    </xdr:from>
    <xdr:to>
      <xdr:col>121</xdr:col>
      <xdr:colOff>360218</xdr:colOff>
      <xdr:row>104</xdr:row>
      <xdr:rowOff>83127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F5DB11E-1A72-4885-91FB-66BFD22D7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504824</xdr:colOff>
      <xdr:row>39</xdr:row>
      <xdr:rowOff>78363</xdr:rowOff>
    </xdr:from>
    <xdr:to>
      <xdr:col>107</xdr:col>
      <xdr:colOff>828674</xdr:colOff>
      <xdr:row>69</xdr:row>
      <xdr:rowOff>90270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9492D6-6F38-466A-9F48-D9CD1254FE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DD0C4A-CCA6-44D6-85B4-FD19E695E6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6A8E017-27F0-48CB-BE41-53ABF09E5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163654</xdr:colOff>
      <xdr:row>38</xdr:row>
      <xdr:rowOff>138544</xdr:rowOff>
    </xdr:from>
    <xdr:to>
      <xdr:col>124</xdr:col>
      <xdr:colOff>318655</xdr:colOff>
      <xdr:row>78</xdr:row>
      <xdr:rowOff>110835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A872B7F-D54D-49C8-B7B1-C4758DF76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D65A3BD-E74C-4606-A889-21D80272D9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121</xdr:col>
      <xdr:colOff>443345</xdr:colOff>
      <xdr:row>108</xdr:row>
      <xdr:rowOff>103214</xdr:rowOff>
    </xdr:from>
    <xdr:to>
      <xdr:col>135</xdr:col>
      <xdr:colOff>484909</xdr:colOff>
      <xdr:row>134</xdr:row>
      <xdr:rowOff>41562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791DB10-BD63-474C-8126-082E3D2647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121</xdr:col>
      <xdr:colOff>477288</xdr:colOff>
      <xdr:row>79</xdr:row>
      <xdr:rowOff>13854</xdr:rowOff>
    </xdr:from>
    <xdr:to>
      <xdr:col>135</xdr:col>
      <xdr:colOff>554181</xdr:colOff>
      <xdr:row>106</xdr:row>
      <xdr:rowOff>96983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D9ACA52-4B42-4170-BDC6-097560BD21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110</xdr:col>
      <xdr:colOff>845128</xdr:colOff>
      <xdr:row>79</xdr:row>
      <xdr:rowOff>13855</xdr:rowOff>
    </xdr:from>
    <xdr:to>
      <xdr:col>121</xdr:col>
      <xdr:colOff>360218</xdr:colOff>
      <xdr:row>104</xdr:row>
      <xdr:rowOff>83127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0956E04-6C82-4179-B4CF-C0258F3E5C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997527</xdr:colOff>
      <xdr:row>0</xdr:row>
      <xdr:rowOff>13855</xdr:rowOff>
    </xdr:from>
    <xdr:to>
      <xdr:col>3</xdr:col>
      <xdr:colOff>41563</xdr:colOff>
      <xdr:row>29</xdr:row>
      <xdr:rowOff>96982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13EC517-470F-2872-4AC6-D9E444AA4288}"/>
            </a:ext>
          </a:extLst>
        </xdr:cNvPr>
        <xdr:cNvSpPr/>
      </xdr:nvSpPr>
      <xdr:spPr>
        <a:xfrm>
          <a:off x="2036618" y="13855"/>
          <a:ext cx="1274618" cy="694112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1011382</xdr:colOff>
      <xdr:row>34</xdr:row>
      <xdr:rowOff>138545</xdr:rowOff>
    </xdr:from>
    <xdr:to>
      <xdr:col>2</xdr:col>
      <xdr:colOff>526473</xdr:colOff>
      <xdr:row>40</xdr:row>
      <xdr:rowOff>69273</xdr:rowOff>
    </xdr:to>
    <xdr:sp macro="" textlink="">
      <xdr:nvSpPr>
        <xdr:cNvPr id="11" name="Speech Bubble: Rectangle with Corners Rounded 10">
          <a:extLst>
            <a:ext uri="{FF2B5EF4-FFF2-40B4-BE49-F238E27FC236}">
              <a16:creationId xmlns:a16="http://schemas.microsoft.com/office/drawing/2014/main" id="{9C82F012-D8C4-3DBA-96DD-2E75D288D4A8}"/>
            </a:ext>
          </a:extLst>
        </xdr:cNvPr>
        <xdr:cNvSpPr/>
      </xdr:nvSpPr>
      <xdr:spPr>
        <a:xfrm>
          <a:off x="1011382" y="7952509"/>
          <a:ext cx="1593273" cy="1011382"/>
        </a:xfrm>
        <a:prstGeom prst="wedgeRoundRectCallout">
          <a:avLst>
            <a:gd name="adj1" fmla="val 42645"/>
            <a:gd name="adj2" fmla="val -147089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loading</a:t>
          </a:r>
          <a:r>
            <a:rPr lang="en-US" sz="1100" baseline="0"/>
            <a:t> data from RTD each hour.. </a:t>
          </a:r>
          <a:endParaRPr lang="en-US" sz="1100"/>
        </a:p>
      </xdr:txBody>
    </xdr:sp>
    <xdr:clientData/>
  </xdr:twoCellAnchor>
  <xdr:twoCellAnchor editAs="oneCell">
    <xdr:from>
      <xdr:col>2</xdr:col>
      <xdr:colOff>720437</xdr:colOff>
      <xdr:row>38</xdr:row>
      <xdr:rowOff>152400</xdr:rowOff>
    </xdr:from>
    <xdr:to>
      <xdr:col>7</xdr:col>
      <xdr:colOff>1124147</xdr:colOff>
      <xdr:row>43</xdr:row>
      <xdr:rowOff>105369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C319CB1-B4AC-2B18-6F6E-A45DB4B3F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98619" y="8686800"/>
          <a:ext cx="6264183" cy="853514"/>
        </a:xfrm>
        <a:prstGeom prst="rect">
          <a:avLst/>
        </a:prstGeom>
      </xdr:spPr>
    </xdr:pic>
    <xdr:clientData/>
  </xdr:twoCellAnchor>
  <xdr:twoCellAnchor>
    <xdr:from>
      <xdr:col>8</xdr:col>
      <xdr:colOff>138546</xdr:colOff>
      <xdr:row>39</xdr:row>
      <xdr:rowOff>41564</xdr:rowOff>
    </xdr:from>
    <xdr:to>
      <xdr:col>12</xdr:col>
      <xdr:colOff>665019</xdr:colOff>
      <xdr:row>43</xdr:row>
      <xdr:rowOff>138547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93CB7999-725A-F9F7-AEF5-4DEC4C6852AE}"/>
            </a:ext>
          </a:extLst>
        </xdr:cNvPr>
        <xdr:cNvSpPr/>
      </xdr:nvSpPr>
      <xdr:spPr>
        <a:xfrm>
          <a:off x="9240982" y="8756073"/>
          <a:ext cx="5126182" cy="8174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/>
            <a:t>step</a:t>
          </a:r>
          <a:r>
            <a:rPr lang="en-US" sz="1800" baseline="0"/>
            <a:t> (1) Load data close each  1 hour</a:t>
          </a:r>
          <a:endParaRPr lang="en-US" sz="1800"/>
        </a:p>
      </xdr:txBody>
    </xdr:sp>
    <xdr:clientData/>
  </xdr:twoCellAnchor>
  <xdr:twoCellAnchor>
    <xdr:from>
      <xdr:col>33</xdr:col>
      <xdr:colOff>110837</xdr:colOff>
      <xdr:row>37</xdr:row>
      <xdr:rowOff>138545</xdr:rowOff>
    </xdr:from>
    <xdr:to>
      <xdr:col>37</xdr:col>
      <xdr:colOff>1080656</xdr:colOff>
      <xdr:row>42</xdr:row>
      <xdr:rowOff>55419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A1B4183-139F-4D8E-8463-9714A5CBDA71}"/>
            </a:ext>
          </a:extLst>
        </xdr:cNvPr>
        <xdr:cNvSpPr/>
      </xdr:nvSpPr>
      <xdr:spPr>
        <a:xfrm>
          <a:off x="36548292" y="8492836"/>
          <a:ext cx="5126182" cy="8174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/>
            <a:t>step</a:t>
          </a:r>
          <a:r>
            <a:rPr lang="en-US" sz="1800" baseline="0"/>
            <a:t> (2) Calculation of % Change</a:t>
          </a:r>
          <a:endParaRPr lang="en-US" sz="1800"/>
        </a:p>
      </xdr:txBody>
    </xdr:sp>
    <xdr:clientData/>
  </xdr:twoCellAnchor>
  <xdr:twoCellAnchor editAs="oneCell">
    <xdr:from>
      <xdr:col>30</xdr:col>
      <xdr:colOff>69271</xdr:colOff>
      <xdr:row>43</xdr:row>
      <xdr:rowOff>69272</xdr:rowOff>
    </xdr:from>
    <xdr:to>
      <xdr:col>39</xdr:col>
      <xdr:colOff>149665</xdr:colOff>
      <xdr:row>50</xdr:row>
      <xdr:rowOff>58296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A504607-30B4-CC7C-1442-70D26AE7F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4677926" y="9504217"/>
          <a:ext cx="8420830" cy="1249788"/>
        </a:xfrm>
        <a:prstGeom prst="rect">
          <a:avLst/>
        </a:prstGeom>
      </xdr:spPr>
    </xdr:pic>
    <xdr:clientData/>
  </xdr:twoCellAnchor>
  <xdr:twoCellAnchor>
    <xdr:from>
      <xdr:col>67</xdr:col>
      <xdr:colOff>401782</xdr:colOff>
      <xdr:row>1</xdr:row>
      <xdr:rowOff>83128</xdr:rowOff>
    </xdr:from>
    <xdr:to>
      <xdr:col>72</xdr:col>
      <xdr:colOff>471055</xdr:colOff>
      <xdr:row>4</xdr:row>
      <xdr:rowOff>193965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F150310A-B71F-4997-85F5-6A1BCC1CF648}"/>
            </a:ext>
          </a:extLst>
        </xdr:cNvPr>
        <xdr:cNvSpPr/>
      </xdr:nvSpPr>
      <xdr:spPr>
        <a:xfrm>
          <a:off x="73470655" y="346364"/>
          <a:ext cx="5126182" cy="8174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/>
            <a:t>step</a:t>
          </a:r>
          <a:r>
            <a:rPr lang="en-US" sz="1800" baseline="0"/>
            <a:t> (3) Calculation % change and Sum all period below</a:t>
          </a:r>
          <a:endParaRPr lang="en-US" sz="1800"/>
        </a:p>
      </xdr:txBody>
    </xdr:sp>
    <xdr:clientData/>
  </xdr:twoCellAnchor>
  <xdr:twoCellAnchor editAs="oneCell">
    <xdr:from>
      <xdr:col>37</xdr:col>
      <xdr:colOff>138546</xdr:colOff>
      <xdr:row>36</xdr:row>
      <xdr:rowOff>55419</xdr:rowOff>
    </xdr:from>
    <xdr:to>
      <xdr:col>44</xdr:col>
      <xdr:colOff>440612</xdr:colOff>
      <xdr:row>43</xdr:row>
      <xdr:rowOff>44444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348DDF6-B9AB-B893-0EE2-DAFA91D81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0732364" y="8229601"/>
          <a:ext cx="8420830" cy="1249788"/>
        </a:xfrm>
        <a:prstGeom prst="rect">
          <a:avLst/>
        </a:prstGeom>
      </xdr:spPr>
    </xdr:pic>
    <xdr:clientData/>
  </xdr:twoCellAnchor>
  <xdr:twoCellAnchor>
    <xdr:from>
      <xdr:col>99</xdr:col>
      <xdr:colOff>637310</xdr:colOff>
      <xdr:row>1</xdr:row>
      <xdr:rowOff>166255</xdr:rowOff>
    </xdr:from>
    <xdr:to>
      <xdr:col>107</xdr:col>
      <xdr:colOff>568037</xdr:colOff>
      <xdr:row>5</xdr:row>
      <xdr:rowOff>41565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E2B2FF4E-99B5-43CA-AC4F-DD3CC9256AC1}"/>
            </a:ext>
          </a:extLst>
        </xdr:cNvPr>
        <xdr:cNvSpPr/>
      </xdr:nvSpPr>
      <xdr:spPr>
        <a:xfrm>
          <a:off x="103742837" y="429491"/>
          <a:ext cx="5126182" cy="8174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/>
            <a:t>step</a:t>
          </a:r>
          <a:r>
            <a:rPr lang="en-US" sz="1800" baseline="0"/>
            <a:t> (4) Calculation  UFO each currency</a:t>
          </a:r>
          <a:endParaRPr lang="en-US" sz="1800"/>
        </a:p>
      </xdr:txBody>
    </xdr:sp>
    <xdr:clientData/>
  </xdr:twoCellAnchor>
  <xdr:twoCellAnchor>
    <xdr:from>
      <xdr:col>129</xdr:col>
      <xdr:colOff>429491</xdr:colOff>
      <xdr:row>35</xdr:row>
      <xdr:rowOff>69273</xdr:rowOff>
    </xdr:from>
    <xdr:to>
      <xdr:col>137</xdr:col>
      <xdr:colOff>498764</xdr:colOff>
      <xdr:row>39</xdr:row>
      <xdr:rowOff>166256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8B663A8C-6063-4E25-8E35-B0FBECB251BF}"/>
            </a:ext>
          </a:extLst>
        </xdr:cNvPr>
        <xdr:cNvSpPr/>
      </xdr:nvSpPr>
      <xdr:spPr>
        <a:xfrm>
          <a:off x="127323273" y="8063346"/>
          <a:ext cx="5126182" cy="8174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/>
            <a:t>step</a:t>
          </a:r>
          <a:r>
            <a:rPr lang="en-US" sz="1800" baseline="0"/>
            <a:t> (5) Calculation  Portfolio performance</a:t>
          </a:r>
          <a:endParaRPr lang="en-US" sz="1800"/>
        </a:p>
      </xdr:txBody>
    </xdr:sp>
    <xdr:clientData/>
  </xdr:twoCellAnchor>
  <xdr:twoCellAnchor>
    <xdr:from>
      <xdr:col>140</xdr:col>
      <xdr:colOff>346363</xdr:colOff>
      <xdr:row>4</xdr:row>
      <xdr:rowOff>180111</xdr:rowOff>
    </xdr:from>
    <xdr:to>
      <xdr:col>146</xdr:col>
      <xdr:colOff>540328</xdr:colOff>
      <xdr:row>10</xdr:row>
      <xdr:rowOff>55418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B9C5318-7CC2-0ADA-2314-6FAE7A3F4F74}"/>
            </a:ext>
          </a:extLst>
        </xdr:cNvPr>
        <xdr:cNvSpPr txBox="1"/>
      </xdr:nvSpPr>
      <xdr:spPr>
        <a:xfrm>
          <a:off x="134125854" y="1149929"/>
          <a:ext cx="3629892" cy="12884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 Now H1 performacne reduced</a:t>
          </a:r>
          <a:r>
            <a:rPr lang="en-US" sz="1400" b="1" baseline="0">
              <a:solidFill>
                <a:srgbClr val="FF0000"/>
              </a:solidFill>
            </a:rPr>
            <a:t>  of </a:t>
          </a:r>
        </a:p>
        <a:p>
          <a:r>
            <a:rPr lang="en-US" sz="1400" b="1" baseline="0">
              <a:solidFill>
                <a:srgbClr val="00B050"/>
              </a:solidFill>
            </a:rPr>
            <a:t>Buy : NZDJPY </a:t>
          </a:r>
        </a:p>
        <a:p>
          <a:r>
            <a:rPr lang="en-US" sz="1400" b="1" baseline="0">
              <a:solidFill>
                <a:srgbClr val="00B050"/>
              </a:solidFill>
            </a:rPr>
            <a:t>Exit if already issued buy </a:t>
          </a:r>
        </a:p>
        <a:p>
          <a:r>
            <a:rPr lang="en-US" sz="1400" b="1" baseline="0">
              <a:solidFill>
                <a:srgbClr val="00B050"/>
              </a:solidFill>
            </a:rPr>
            <a:t>not yet waiting untill   performance increaing </a:t>
          </a:r>
        </a:p>
        <a:p>
          <a:endParaRPr lang="en-US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471055</xdr:colOff>
      <xdr:row>8</xdr:row>
      <xdr:rowOff>83128</xdr:rowOff>
    </xdr:from>
    <xdr:to>
      <xdr:col>141</xdr:col>
      <xdr:colOff>429491</xdr:colOff>
      <xdr:row>13</xdr:row>
      <xdr:rowOff>166254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993519C7-104E-FBBA-32CA-464739E10C1F}"/>
            </a:ext>
          </a:extLst>
        </xdr:cNvPr>
        <xdr:cNvCxnSpPr/>
      </xdr:nvCxnSpPr>
      <xdr:spPr>
        <a:xfrm>
          <a:off x="133640946" y="1995055"/>
          <a:ext cx="1177636" cy="1260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137</xdr:col>
      <xdr:colOff>41563</xdr:colOff>
      <xdr:row>19</xdr:row>
      <xdr:rowOff>152402</xdr:rowOff>
    </xdr:from>
    <xdr:to>
      <xdr:col>141</xdr:col>
      <xdr:colOff>401782</xdr:colOff>
      <xdr:row>23</xdr:row>
      <xdr:rowOff>55419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7E98851F-ABE0-4F1D-A101-F2680CD93AD6}"/>
            </a:ext>
          </a:extLst>
        </xdr:cNvPr>
        <xdr:cNvSpPr txBox="1"/>
      </xdr:nvSpPr>
      <xdr:spPr>
        <a:xfrm>
          <a:off x="131992254" y="4655129"/>
          <a:ext cx="2798619" cy="845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tx1">
                  <a:lumMod val="65000"/>
                  <a:lumOff val="35000"/>
                </a:schemeClr>
              </a:solidFill>
            </a:rPr>
            <a:t>14 Hr ago : the  H1 performacne increasing</a:t>
          </a:r>
          <a:r>
            <a:rPr lang="en-US" sz="1400" b="1" baseline="0">
              <a:solidFill>
                <a:schemeClr val="tx1">
                  <a:lumMod val="65000"/>
                  <a:lumOff val="35000"/>
                </a:schemeClr>
              </a:solidFill>
            </a:rPr>
            <a:t>  (issue buy) </a:t>
          </a:r>
        </a:p>
        <a:p>
          <a:r>
            <a:rPr lang="en-US" sz="1400" b="1" baseline="0">
              <a:solidFill>
                <a:srgbClr val="00B050"/>
              </a:solidFill>
            </a:rPr>
            <a:t>Buy : NZDJPY </a:t>
          </a:r>
        </a:p>
        <a:p>
          <a:endParaRPr lang="en-US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137</xdr:col>
      <xdr:colOff>180109</xdr:colOff>
      <xdr:row>9</xdr:row>
      <xdr:rowOff>193963</xdr:rowOff>
    </xdr:from>
    <xdr:to>
      <xdr:col>138</xdr:col>
      <xdr:colOff>568036</xdr:colOff>
      <xdr:row>18</xdr:row>
      <xdr:rowOff>152400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61F4E18D-9F2E-E05C-4C32-4BC46AD4E6DF}"/>
            </a:ext>
          </a:extLst>
        </xdr:cNvPr>
        <xdr:cNvCxnSpPr/>
      </xdr:nvCxnSpPr>
      <xdr:spPr>
        <a:xfrm flipV="1">
          <a:off x="132130800" y="2341418"/>
          <a:ext cx="997527" cy="20781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137</xdr:col>
      <xdr:colOff>110838</xdr:colOff>
      <xdr:row>18</xdr:row>
      <xdr:rowOff>221673</xdr:rowOff>
    </xdr:from>
    <xdr:to>
      <xdr:col>141</xdr:col>
      <xdr:colOff>498764</xdr:colOff>
      <xdr:row>19</xdr:row>
      <xdr:rowOff>27709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3B43885E-5D1F-4D41-9115-39FB66F399B6}"/>
            </a:ext>
          </a:extLst>
        </xdr:cNvPr>
        <xdr:cNvCxnSpPr/>
      </xdr:nvCxnSpPr>
      <xdr:spPr>
        <a:xfrm flipH="1">
          <a:off x="132061529" y="4488873"/>
          <a:ext cx="2826326" cy="41563"/>
        </a:xfrm>
        <a:prstGeom prst="straightConnector1">
          <a:avLst/>
        </a:prstGeom>
        <a:ln w="28575" cap="flat" cmpd="sng" algn="ctr">
          <a:solidFill>
            <a:schemeClr val="accent6"/>
          </a:solidFill>
          <a:prstDash val="dashDot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ya\OneDrive\Desktop\RT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SATORI"/>
      <sheetName val="Data"/>
      <sheetName val="PreviousPriceData"/>
      <sheetName val="Position sizing"/>
      <sheetName val="ProbScalping(Day)"/>
      <sheetName val="ProbScalping(Week)"/>
      <sheetName val="IdentifyTrend"/>
      <sheetName val="ProbManual"/>
      <sheetName val="ProbAuto"/>
      <sheetName val="RTD"/>
    </sheetNames>
    <sheetDataSet>
      <sheetData sheetId="0"/>
      <sheetData sheetId="1">
        <row r="1">
          <cell r="AH1" t="str">
            <v>AUDUSD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B9F06B-43F0-4B2E-86C8-2472C1C3F880}" name="Table124" displayName="Table124" ref="C1:AD37" headerRowDxfId="141" dataDxfId="139" totalsRowDxfId="137" headerRowBorderDxfId="140" tableBorderDxfId="138" totalsRowBorderDxfId="136">
  <tableColumns count="28">
    <tableColumn id="1" xr3:uid="{18E4C186-070D-40F2-B013-8BB8B05B7ECC}" name="AUDUSD" totalsRowLabel="Total" dataDxfId="135" totalsRowDxfId="134">
      <calculatedColumnFormula>RTD("fxbluelabs.excelrtd", , "2000072004","@bh,AUDUSD,h1,close,1")</calculatedColumnFormula>
    </tableColumn>
    <tableColumn id="2" xr3:uid="{F350DE49-A415-414E-B323-88BDA9F6518E}" name="AUDNZD" dataDxfId="133" totalsRowDxfId="132">
      <calculatedColumnFormula>RTD("fxbluelabs.excelrtd", , "2000072004","@bh,AUDNZD,h1,close,1")</calculatedColumnFormula>
    </tableColumn>
    <tableColumn id="3" xr3:uid="{10736815-72AB-4629-9E66-914976F8DAAC}" name="AUDJPY" dataDxfId="131" totalsRowDxfId="130">
      <calculatedColumnFormula>RTD("fxbluelabs.excelrtd", , "2000072004","@bh,AUDJPY,h1,close,1")</calculatedColumnFormula>
    </tableColumn>
    <tableColumn id="4" xr3:uid="{AAD5D3D0-B1E8-4570-B687-AA877E60643E}" name="AUDCHF" dataDxfId="129" totalsRowDxfId="128">
      <calculatedColumnFormula>RTD("fxbluelabs.excelrtd", , "2000072004","@bh,AUDCHF,h1,close,1")</calculatedColumnFormula>
    </tableColumn>
    <tableColumn id="5" xr3:uid="{76F0531E-436E-4C68-9059-71CDF7D21787}" name="AUDCAD" dataDxfId="127" totalsRowDxfId="126">
      <calculatedColumnFormula>RTD("fxbluelabs.excelrtd", , "2000072004","@bh,AUDCAD,h1,close,1")</calculatedColumnFormula>
    </tableColumn>
    <tableColumn id="6" xr3:uid="{279D3BDB-B2B1-4323-BB58-BA230BC6DEFC}" name="EURUSD" dataDxfId="125" totalsRowDxfId="124">
      <calculatedColumnFormula>RTD("fxbluelabs.excelrtd", , "2000072004","@bh,EURUSD,h1,close,1")</calculatedColumnFormula>
    </tableColumn>
    <tableColumn id="7" xr3:uid="{0757C1F0-6515-411E-8117-1068D37B7303}" name="EURCAD" dataDxfId="123" totalsRowDxfId="122">
      <calculatedColumnFormula>RTD("fxbluelabs.excelrtd", , "2000072004","@bh,EURCAD,h1,close,1")</calculatedColumnFormula>
    </tableColumn>
    <tableColumn id="8" xr3:uid="{129DFCF4-5951-4C36-B20E-CD70562FCDC6}" name="EURGBP" dataDxfId="121" totalsRowDxfId="120">
      <calculatedColumnFormula>RTD("fxbluelabs.excelrtd", , "2000072004","@bh,EURGBP,h1,close,1")</calculatedColumnFormula>
    </tableColumn>
    <tableColumn id="9" xr3:uid="{DDFD7643-0C34-4B6A-B250-B9C484C0251B}" name="EURCHF" dataDxfId="119" totalsRowDxfId="118">
      <calculatedColumnFormula>RTD("fxbluelabs.excelrtd", , "2000072004","@bh,EURCHF,h1,close,1")</calculatedColumnFormula>
    </tableColumn>
    <tableColumn id="10" xr3:uid="{B03BB671-E70C-46FF-8C0C-61039182B22D}" name="EURJPY" dataDxfId="117" totalsRowDxfId="116">
      <calculatedColumnFormula>RTD("fxbluelabs.excelrtd", , "2000072004","@bh,EURJPY,h1,close,1")</calculatedColumnFormula>
    </tableColumn>
    <tableColumn id="11" xr3:uid="{2D0C1E34-18C3-4458-BC34-A6A3794B468D}" name="EURAUD" dataDxfId="115" totalsRowDxfId="114">
      <calculatedColumnFormula>RTD("fxbluelabs.excelrtd", , "2000072004","@bh,EURAUD,h1,close,1")</calculatedColumnFormula>
    </tableColumn>
    <tableColumn id="12" xr3:uid="{F568802C-939C-4FB6-8F7B-7FF4B5ED16CC}" name="EURNZD" dataDxfId="113" totalsRowDxfId="112">
      <calculatedColumnFormula>RTD("fxbluelabs.excelrtd", , "2000072004","@bh,EURNZD,h1,close,1")</calculatedColumnFormula>
    </tableColumn>
    <tableColumn id="13" xr3:uid="{175CE806-EF82-46C4-8111-DBE497D242AC}" name="GBPUSD" dataDxfId="111" totalsRowDxfId="110">
      <calculatedColumnFormula>RTD("fxbluelabs.excelrtd", , "2000072004","@bh,GBPUSD,h1,close,1")</calculatedColumnFormula>
    </tableColumn>
    <tableColumn id="14" xr3:uid="{96C03226-9486-43B2-8515-DD0CC935B7FB}" name="GBPAUD" dataDxfId="109" totalsRowDxfId="108">
      <calculatedColumnFormula>RTD("fxbluelabs.excelrtd", , "2000072004","@bh,GBPAUD,h1,close,1")</calculatedColumnFormula>
    </tableColumn>
    <tableColumn id="15" xr3:uid="{25FFFFB9-D46C-4E1E-BE60-32EDE8CA03B4}" name="GBPNZD" dataDxfId="107" totalsRowDxfId="106">
      <calculatedColumnFormula>RTD("fxbluelabs.excelrtd", , "2000072004","@bh,GBPNZD,h1,close,1")</calculatedColumnFormula>
    </tableColumn>
    <tableColumn id="16" xr3:uid="{87096E31-0191-423A-8BC7-B5EC1C98C2B5}" name="GBPCAD" dataDxfId="105" totalsRowDxfId="104">
      <calculatedColumnFormula>RTD("fxbluelabs.excelrtd", , "2000072004","@bh,GBPCAD,h1,close,1")</calculatedColumnFormula>
    </tableColumn>
    <tableColumn id="17" xr3:uid="{167AED93-E66B-4216-8247-D135A758F972}" name="GBPCHF" dataDxfId="103" totalsRowDxfId="102">
      <calculatedColumnFormula>RTD("fxbluelabs.excelrtd", , "2000072004","@bh,GBPCHF,h1,close,1")</calculatedColumnFormula>
    </tableColumn>
    <tableColumn id="18" xr3:uid="{D88582C5-6263-4CC4-8C34-7FB89D83768B}" name="GBPJPY" dataDxfId="101" totalsRowDxfId="100">
      <calculatedColumnFormula>RTD("fxbluelabs.excelrtd", , "2000072004","@bh,GBPJPY,h1,close,1")</calculatedColumnFormula>
    </tableColumn>
    <tableColumn id="19" xr3:uid="{12007F3D-F588-45E1-B64A-7E95A7F46117}" name="NZDJPY" dataDxfId="99" totalsRowDxfId="98">
      <calculatedColumnFormula>RTD("fxbluelabs.excelrtd", , "2000072004","@bh,NZDJPY,h1,close,1")</calculatedColumnFormula>
    </tableColumn>
    <tableColumn id="20" xr3:uid="{3481813E-9FEF-4425-BAFE-FE1B6FFD39DA}" name="NZDCHF" dataDxfId="97" totalsRowDxfId="96">
      <calculatedColumnFormula>RTD("fxbluelabs.excelrtd", , "2000072004","@bh,NZDCHF,h1,close,1")</calculatedColumnFormula>
    </tableColumn>
    <tableColumn id="21" xr3:uid="{7D7EE9CA-164F-4873-A4CB-7EA91C554507}" name="NZDUSD" dataDxfId="95" totalsRowDxfId="94">
      <calculatedColumnFormula>RTD("fxbluelabs.excelrtd", , "2000072004","@bh,NZDUSD,h1,close,1")</calculatedColumnFormula>
    </tableColumn>
    <tableColumn id="22" xr3:uid="{9C17CC30-87FC-4F48-BBD4-9CDD07C753E7}" name="NZDCAD" dataDxfId="93" totalsRowDxfId="92">
      <calculatedColumnFormula>RTD("fxbluelabs.excelrtd", , "2000072004","@bh,NZDCAD,h1,close,1")</calculatedColumnFormula>
    </tableColumn>
    <tableColumn id="23" xr3:uid="{818C894F-D2E5-44ED-BD41-0424AE30111C}" name="CADJPY" dataDxfId="91" totalsRowDxfId="90">
      <calculatedColumnFormula>RTD("fxbluelabs.excelrtd", , "2000072004","@bh,CADJPY,h1,close,1")</calculatedColumnFormula>
    </tableColumn>
    <tableColumn id="24" xr3:uid="{00515F5B-FDFF-4524-95CD-836B126F5C1F}" name="CADCHF" dataDxfId="89" totalsRowDxfId="88">
      <calculatedColumnFormula>RTD("fxbluelabs.excelrtd", , "2000072004","@bh,CADCHF,h1,close,1")</calculatedColumnFormula>
    </tableColumn>
    <tableColumn id="25" xr3:uid="{483A6DF0-45E6-40B6-8153-B0BE74BE8093}" name="CHFJPY" dataDxfId="87" totalsRowDxfId="86">
      <calculatedColumnFormula>RTD("fxbluelabs.excelrtd", , "2000072004","@bh,CHFJPY,h1,close,1")</calculatedColumnFormula>
    </tableColumn>
    <tableColumn id="26" xr3:uid="{E631BE92-21E5-41E0-8792-E3C647A28211}" name="USDCAD" dataDxfId="85" totalsRowDxfId="84">
      <calculatedColumnFormula>RTD("fxbluelabs.excelrtd", , "2000072004","@bh,USDCAD,h1,close,1")</calculatedColumnFormula>
    </tableColumn>
    <tableColumn id="27" xr3:uid="{1D5F5A85-CBF7-4B1A-ADB8-628770A8692E}" name="USDCHF" dataDxfId="83" totalsRowDxfId="82">
      <calculatedColumnFormula>RTD("fxbluelabs.excelrtd", , "2000072004","@bh,USDCHF,h1,close,1")</calculatedColumnFormula>
    </tableColumn>
    <tableColumn id="28" xr3:uid="{C47A2A97-1500-454C-8EFB-306EC9708080}" name="USDJPY" totalsRowFunction="sum" dataDxfId="81" totalsRowDxfId="80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5B1345-F198-47CB-B37D-CED234E5B1E4}" name="Table1242" displayName="Table1242" ref="C1:AD37" headerRowDxfId="61" dataDxfId="60" totalsRowDxfId="59" headerRowBorderDxfId="57" tableBorderDxfId="58" totalsRowBorderDxfId="56">
  <tableColumns count="28">
    <tableColumn id="1" xr3:uid="{802AF25B-F96C-4E2D-8742-DACF3DF9BD3D}" name="AUDUSD" totalsRowLabel="Total" dataDxfId="54" totalsRowDxfId="55">
      <calculatedColumnFormula>RTD("fxbluelabs.excelrtd", , "2000072004","@bh,AUDUSD,h1,close,1")</calculatedColumnFormula>
    </tableColumn>
    <tableColumn id="2" xr3:uid="{7B1D3990-3122-4604-BA4B-737C692DE326}" name="AUDNZD" dataDxfId="52" totalsRowDxfId="53">
      <calculatedColumnFormula>RTD("fxbluelabs.excelrtd", , "2000072004","@bh,AUDNZD,h1,close,1")</calculatedColumnFormula>
    </tableColumn>
    <tableColumn id="3" xr3:uid="{1BCE6DC7-FC1A-44BF-8FF3-20D7894BAE9E}" name="AUDJPY" dataDxfId="50" totalsRowDxfId="51">
      <calculatedColumnFormula>RTD("fxbluelabs.excelrtd", , "2000072004","@bh,AUDJPY,h1,close,1")</calculatedColumnFormula>
    </tableColumn>
    <tableColumn id="4" xr3:uid="{B6899F16-930A-411C-A6F7-A182DF057EC8}" name="AUDCHF" dataDxfId="48" totalsRowDxfId="49">
      <calculatedColumnFormula>RTD("fxbluelabs.excelrtd", , "2000072004","@bh,AUDCHF,h1,close,1")</calculatedColumnFormula>
    </tableColumn>
    <tableColumn id="5" xr3:uid="{0F405DEA-2E13-440A-AA5A-4D326682D216}" name="AUDCAD" dataDxfId="46" totalsRowDxfId="47">
      <calculatedColumnFormula>RTD("fxbluelabs.excelrtd", , "2000072004","@bh,AUDCAD,h1,close,1")</calculatedColumnFormula>
    </tableColumn>
    <tableColumn id="6" xr3:uid="{FE121BA3-81A4-4D8A-9484-F0058C116EF4}" name="EURUSD" dataDxfId="44" totalsRowDxfId="45">
      <calculatedColumnFormula>RTD("fxbluelabs.excelrtd", , "2000072004","@bh,EURUSD,h1,close,1")</calculatedColumnFormula>
    </tableColumn>
    <tableColumn id="7" xr3:uid="{D5CD0FA9-C247-42B0-80B7-CF2CA53CA8EF}" name="EURCAD" dataDxfId="42" totalsRowDxfId="43">
      <calculatedColumnFormula>RTD("fxbluelabs.excelrtd", , "2000072004","@bh,EURCAD,h1,close,1")</calculatedColumnFormula>
    </tableColumn>
    <tableColumn id="8" xr3:uid="{3929ECBD-2DB1-4AE9-9353-199797802795}" name="EURGBP" dataDxfId="40" totalsRowDxfId="41">
      <calculatedColumnFormula>RTD("fxbluelabs.excelrtd", , "2000072004","@bh,EURGBP,h1,close,1")</calculatedColumnFormula>
    </tableColumn>
    <tableColumn id="9" xr3:uid="{E8D57007-7F7E-4E57-A359-4BBB4DA4733B}" name="EURCHF" dataDxfId="38" totalsRowDxfId="39">
      <calculatedColumnFormula>RTD("fxbluelabs.excelrtd", , "2000072004","@bh,EURCHF,h1,close,1")</calculatedColumnFormula>
    </tableColumn>
    <tableColumn id="10" xr3:uid="{6AF7CC78-3A26-41E0-AF58-253611443569}" name="EURJPY" dataDxfId="36" totalsRowDxfId="37">
      <calculatedColumnFormula>RTD("fxbluelabs.excelrtd", , "2000072004","@bh,EURJPY,h1,close,1")</calculatedColumnFormula>
    </tableColumn>
    <tableColumn id="11" xr3:uid="{34225024-03E4-4994-8CCD-28560FE2E50B}" name="EURAUD" dataDxfId="34" totalsRowDxfId="35">
      <calculatedColumnFormula>RTD("fxbluelabs.excelrtd", , "2000072004","@bh,EURAUD,h1,close,1")</calculatedColumnFormula>
    </tableColumn>
    <tableColumn id="12" xr3:uid="{C4798412-AF07-4C44-BB70-0AD7A702A6C7}" name="EURNZD" dataDxfId="32" totalsRowDxfId="33">
      <calculatedColumnFormula>RTD("fxbluelabs.excelrtd", , "2000072004","@bh,EURNZD,h1,close,1")</calculatedColumnFormula>
    </tableColumn>
    <tableColumn id="13" xr3:uid="{FC5FF2F4-29AD-4515-A3FA-423653615743}" name="GBPUSD" dataDxfId="30" totalsRowDxfId="31">
      <calculatedColumnFormula>RTD("fxbluelabs.excelrtd", , "2000072004","@bh,GBPUSD,h1,close,1")</calculatedColumnFormula>
    </tableColumn>
    <tableColumn id="14" xr3:uid="{5789B543-79DB-4CCF-867B-0D1148250A20}" name="GBPAUD" dataDxfId="28" totalsRowDxfId="29">
      <calculatedColumnFormula>RTD("fxbluelabs.excelrtd", , "2000072004","@bh,GBPAUD,h1,close,1")</calculatedColumnFormula>
    </tableColumn>
    <tableColumn id="15" xr3:uid="{A6CFB951-1D5F-404E-B4B7-E2F9FA1B6838}" name="GBPNZD" dataDxfId="26" totalsRowDxfId="27">
      <calculatedColumnFormula>RTD("fxbluelabs.excelrtd", , "2000072004","@bh,GBPNZD,h1,close,1")</calculatedColumnFormula>
    </tableColumn>
    <tableColumn id="16" xr3:uid="{8D4F915A-B957-47F0-8DE9-BD329ECDFA39}" name="GBPCAD" dataDxfId="24" totalsRowDxfId="25">
      <calculatedColumnFormula>RTD("fxbluelabs.excelrtd", , "2000072004","@bh,GBPCAD,h1,close,1")</calculatedColumnFormula>
    </tableColumn>
    <tableColumn id="17" xr3:uid="{FDC4573B-1BC7-433E-887A-E7BABA53214B}" name="GBPCHF" dataDxfId="22" totalsRowDxfId="23">
      <calculatedColumnFormula>RTD("fxbluelabs.excelrtd", , "2000072004","@bh,GBPCHF,h1,close,1")</calculatedColumnFormula>
    </tableColumn>
    <tableColumn id="18" xr3:uid="{E6D58CD9-B311-4511-8DC1-AC5459EEB416}" name="GBPJPY" dataDxfId="20" totalsRowDxfId="21">
      <calculatedColumnFormula>RTD("fxbluelabs.excelrtd", , "2000072004","@bh,GBPJPY,h1,close,1")</calculatedColumnFormula>
    </tableColumn>
    <tableColumn id="19" xr3:uid="{349EB3FC-2797-4793-849F-99E3919429FB}" name="NZDJPY" dataDxfId="18" totalsRowDxfId="19">
      <calculatedColumnFormula>RTD("fxbluelabs.excelrtd", , "2000072004","@bh,NZDJPY,h1,close,1")</calculatedColumnFormula>
    </tableColumn>
    <tableColumn id="20" xr3:uid="{3D0C83E5-0E68-4225-ADF9-6FACD2BF6477}" name="NZDCHF" dataDxfId="16" totalsRowDxfId="17">
      <calculatedColumnFormula>RTD("fxbluelabs.excelrtd", , "2000072004","@bh,NZDCHF,h1,close,1")</calculatedColumnFormula>
    </tableColumn>
    <tableColumn id="21" xr3:uid="{3EEB27C5-0334-49D2-A8F7-337EBCADCEB0}" name="NZDUSD" dataDxfId="14" totalsRowDxfId="15">
      <calculatedColumnFormula>RTD("fxbluelabs.excelrtd", , "2000072004","@bh,NZDUSD,h1,close,1")</calculatedColumnFormula>
    </tableColumn>
    <tableColumn id="22" xr3:uid="{B429A5E3-2D3D-4B05-A783-98922C8326CD}" name="NZDCAD" dataDxfId="12" totalsRowDxfId="13">
      <calculatedColumnFormula>RTD("fxbluelabs.excelrtd", , "2000072004","@bh,NZDCAD,h1,close,1")</calculatedColumnFormula>
    </tableColumn>
    <tableColumn id="23" xr3:uid="{5533D78A-573C-40B6-A72C-F4B43EE80E7E}" name="CADJPY" dataDxfId="10" totalsRowDxfId="11">
      <calculatedColumnFormula>RTD("fxbluelabs.excelrtd", , "2000072004","@bh,CADJPY,h1,close,1")</calculatedColumnFormula>
    </tableColumn>
    <tableColumn id="24" xr3:uid="{950A5B6B-DED9-4644-8939-6320555570F2}" name="CADCHF" dataDxfId="8" totalsRowDxfId="9">
      <calculatedColumnFormula>RTD("fxbluelabs.excelrtd", , "2000072004","@bh,CADCHF,h1,close,1")</calculatedColumnFormula>
    </tableColumn>
    <tableColumn id="25" xr3:uid="{7491EA21-95FB-4913-9C20-4E5AA055E622}" name="CHFJPY" dataDxfId="6" totalsRowDxfId="7">
      <calculatedColumnFormula>RTD("fxbluelabs.excelrtd", , "2000072004","@bh,CHFJPY,h1,close,1")</calculatedColumnFormula>
    </tableColumn>
    <tableColumn id="26" xr3:uid="{27D9EA6A-5F09-4DAF-9EB8-2B6D5FB2CDDF}" name="USDCAD" dataDxfId="4" totalsRowDxfId="5">
      <calculatedColumnFormula>RTD("fxbluelabs.excelrtd", , "2000072004","@bh,USDCAD,h1,close,1")</calculatedColumnFormula>
    </tableColumn>
    <tableColumn id="27" xr3:uid="{9764691E-04D6-42BE-AF38-5506CB343D72}" name="USDCHF" dataDxfId="2" totalsRowDxfId="3">
      <calculatedColumnFormula>RTD("fxbluelabs.excelrtd", , "2000072004","@bh,USDCHF,h1,close,1")</calculatedColumnFormula>
    </tableColumn>
    <tableColumn id="28" xr3:uid="{A975CCCB-8849-4CF1-89CD-2F1959C137E2}" name="USDJPY" totalsRowFunction="sum" dataDxfId="0" totalsRowDxfId="1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24635-57A6-48D6-BFF2-5F0804818FCE}">
  <dimension ref="A1:FN119"/>
  <sheetViews>
    <sheetView topLeftCell="DV1" zoomScale="55" zoomScaleNormal="55" workbookViewId="0">
      <selection activeCell="EW19" sqref="EW19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38.5546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27" t="s">
        <v>1</v>
      </c>
      <c r="D1" s="28" t="s">
        <v>2</v>
      </c>
      <c r="E1" s="28" t="s">
        <v>3</v>
      </c>
      <c r="F1" s="28" t="s">
        <v>4</v>
      </c>
      <c r="G1" s="28" t="s">
        <v>5</v>
      </c>
      <c r="H1" s="28" t="s">
        <v>6</v>
      </c>
      <c r="I1" s="28" t="s">
        <v>7</v>
      </c>
      <c r="J1" s="28" t="s">
        <v>8</v>
      </c>
      <c r="K1" s="28" t="s">
        <v>9</v>
      </c>
      <c r="L1" s="28" t="s">
        <v>10</v>
      </c>
      <c r="M1" s="28" t="s">
        <v>11</v>
      </c>
      <c r="N1" s="28" t="s">
        <v>12</v>
      </c>
      <c r="O1" s="28" t="s">
        <v>13</v>
      </c>
      <c r="P1" s="28" t="s">
        <v>14</v>
      </c>
      <c r="Q1" s="28" t="s">
        <v>15</v>
      </c>
      <c r="R1" s="28" t="s">
        <v>16</v>
      </c>
      <c r="S1" s="28" t="s">
        <v>17</v>
      </c>
      <c r="T1" s="28" t="s">
        <v>18</v>
      </c>
      <c r="U1" s="28" t="s">
        <v>19</v>
      </c>
      <c r="V1" s="28" t="s">
        <v>20</v>
      </c>
      <c r="W1" s="28" t="s">
        <v>21</v>
      </c>
      <c r="X1" s="28" t="s">
        <v>22</v>
      </c>
      <c r="Y1" s="28" t="s">
        <v>23</v>
      </c>
      <c r="Z1" s="28" t="s">
        <v>24</v>
      </c>
      <c r="AA1" s="28" t="s">
        <v>25</v>
      </c>
      <c r="AB1" s="28" t="s">
        <v>26</v>
      </c>
      <c r="AC1" s="28" t="s">
        <v>27</v>
      </c>
      <c r="AD1" s="29" t="s">
        <v>28</v>
      </c>
      <c r="AH1" s="17" t="s">
        <v>29</v>
      </c>
      <c r="AI1" s="40" t="s">
        <v>1</v>
      </c>
      <c r="AJ1" s="40" t="s">
        <v>2</v>
      </c>
      <c r="AK1" s="40" t="s">
        <v>3</v>
      </c>
      <c r="AL1" s="40" t="s">
        <v>4</v>
      </c>
      <c r="AM1" s="40" t="s">
        <v>5</v>
      </c>
      <c r="AN1" s="40" t="s">
        <v>6</v>
      </c>
      <c r="AO1" s="40" t="s">
        <v>7</v>
      </c>
      <c r="AP1" s="40" t="s">
        <v>8</v>
      </c>
      <c r="AQ1" s="40" t="s">
        <v>9</v>
      </c>
      <c r="AR1" s="40" t="s">
        <v>10</v>
      </c>
      <c r="AS1" s="40" t="s">
        <v>11</v>
      </c>
      <c r="AT1" s="40" t="s">
        <v>12</v>
      </c>
      <c r="AU1" s="40" t="s">
        <v>13</v>
      </c>
      <c r="AV1" s="40" t="s">
        <v>14</v>
      </c>
      <c r="AW1" s="40" t="s">
        <v>15</v>
      </c>
      <c r="AX1" s="40" t="s">
        <v>16</v>
      </c>
      <c r="AY1" s="40" t="s">
        <v>17</v>
      </c>
      <c r="AZ1" s="40" t="s">
        <v>18</v>
      </c>
      <c r="BA1" s="40" t="s">
        <v>19</v>
      </c>
      <c r="BB1" s="40" t="s">
        <v>20</v>
      </c>
      <c r="BC1" s="40" t="s">
        <v>21</v>
      </c>
      <c r="BD1" s="40" t="s">
        <v>22</v>
      </c>
      <c r="BE1" s="40" t="s">
        <v>23</v>
      </c>
      <c r="BF1" s="40" t="s">
        <v>24</v>
      </c>
      <c r="BG1" s="40" t="s">
        <v>25</v>
      </c>
      <c r="BH1" s="40" t="s">
        <v>26</v>
      </c>
      <c r="BI1" s="40" t="s">
        <v>27</v>
      </c>
      <c r="BJ1" s="40" t="s">
        <v>28</v>
      </c>
      <c r="BN1" s="43" t="s">
        <v>29</v>
      </c>
      <c r="BO1" s="44" t="s">
        <v>1</v>
      </c>
      <c r="BP1" s="44" t="s">
        <v>2</v>
      </c>
      <c r="BQ1" s="44" t="s">
        <v>3</v>
      </c>
      <c r="BR1" s="44" t="s">
        <v>4</v>
      </c>
      <c r="BS1" s="44" t="s">
        <v>5</v>
      </c>
      <c r="BT1" s="44" t="s">
        <v>6</v>
      </c>
      <c r="BU1" s="44" t="s">
        <v>7</v>
      </c>
      <c r="BV1" s="44" t="s">
        <v>8</v>
      </c>
      <c r="BW1" s="44" t="s">
        <v>9</v>
      </c>
      <c r="BX1" s="44" t="s">
        <v>10</v>
      </c>
      <c r="BY1" s="44" t="s">
        <v>11</v>
      </c>
      <c r="BZ1" s="44" t="s">
        <v>12</v>
      </c>
      <c r="CA1" s="44" t="s">
        <v>13</v>
      </c>
      <c r="CB1" s="44" t="s">
        <v>14</v>
      </c>
      <c r="CC1" s="44" t="s">
        <v>15</v>
      </c>
      <c r="CD1" s="44" t="s">
        <v>16</v>
      </c>
      <c r="CE1" s="44" t="s">
        <v>17</v>
      </c>
      <c r="CF1" s="44" t="s">
        <v>18</v>
      </c>
      <c r="CG1" s="44" t="s">
        <v>19</v>
      </c>
      <c r="CH1" s="44" t="s">
        <v>20</v>
      </c>
      <c r="CI1" s="44" t="s">
        <v>21</v>
      </c>
      <c r="CJ1" s="44" t="s">
        <v>22</v>
      </c>
      <c r="CK1" s="44" t="s">
        <v>23</v>
      </c>
      <c r="CL1" s="44" t="s">
        <v>24</v>
      </c>
      <c r="CM1" s="44" t="s">
        <v>25</v>
      </c>
      <c r="CN1" s="44" t="s">
        <v>26</v>
      </c>
      <c r="CO1" s="44" t="s">
        <v>27</v>
      </c>
      <c r="CP1" s="44" t="s">
        <v>28</v>
      </c>
      <c r="CU1" s="22" t="s">
        <v>29</v>
      </c>
      <c r="CV1" s="22" t="s">
        <v>30</v>
      </c>
      <c r="CW1" s="22" t="s">
        <v>31</v>
      </c>
      <c r="CX1" s="22" t="s">
        <v>32</v>
      </c>
      <c r="CY1" s="22" t="s">
        <v>33</v>
      </c>
      <c r="CZ1" s="22" t="s">
        <v>34</v>
      </c>
      <c r="DA1" s="22" t="s">
        <v>35</v>
      </c>
      <c r="DB1" s="22" t="s">
        <v>36</v>
      </c>
      <c r="DC1" s="22" t="s">
        <v>37</v>
      </c>
      <c r="DF1" s="17" t="s">
        <v>29</v>
      </c>
      <c r="DG1" s="17" t="s">
        <v>26</v>
      </c>
      <c r="DH1" s="17" t="s">
        <v>7</v>
      </c>
      <c r="DI1" s="17" t="s">
        <v>27</v>
      </c>
      <c r="DJ1" s="17" t="s">
        <v>9</v>
      </c>
      <c r="DK1" s="17" t="s">
        <v>38</v>
      </c>
      <c r="DL1" s="17" t="s">
        <v>8</v>
      </c>
      <c r="DM1" s="17" t="s">
        <v>39</v>
      </c>
      <c r="DN1" s="17" t="s">
        <v>11</v>
      </c>
      <c r="DO1" s="17" t="s">
        <v>40</v>
      </c>
      <c r="DP1" s="17" t="s">
        <v>12</v>
      </c>
      <c r="DQ1" s="17" t="s">
        <v>28</v>
      </c>
      <c r="DR1" s="17" t="s">
        <v>10</v>
      </c>
      <c r="DS1" s="17" t="s">
        <v>41</v>
      </c>
      <c r="DT1" s="17" t="s">
        <v>42</v>
      </c>
      <c r="DX1" s="4" t="s">
        <v>29</v>
      </c>
      <c r="DY1" s="4" t="s">
        <v>43</v>
      </c>
      <c r="DZ1" s="4"/>
      <c r="EA1" s="4" t="s">
        <v>44</v>
      </c>
      <c r="EB1" s="4" t="s">
        <v>30</v>
      </c>
      <c r="EC1" s="4" t="s">
        <v>31</v>
      </c>
      <c r="ED1" s="4" t="s">
        <v>32</v>
      </c>
      <c r="EE1" s="4" t="s">
        <v>33</v>
      </c>
      <c r="EF1" s="4" t="s">
        <v>45</v>
      </c>
      <c r="EG1" s="4" t="s">
        <v>35</v>
      </c>
      <c r="EH1" s="4" t="s">
        <v>36</v>
      </c>
      <c r="EI1" s="4" t="s">
        <v>37</v>
      </c>
      <c r="EJ1" s="2" t="s">
        <v>46</v>
      </c>
      <c r="EM1" s="3" t="s">
        <v>29</v>
      </c>
      <c r="EN1" s="3" t="s">
        <v>30</v>
      </c>
      <c r="EO1" s="3" t="s">
        <v>31</v>
      </c>
      <c r="EP1" s="3" t="s">
        <v>32</v>
      </c>
      <c r="EQ1" s="3" t="s">
        <v>33</v>
      </c>
      <c r="ER1" s="3" t="s">
        <v>34</v>
      </c>
      <c r="ES1" s="3" t="s">
        <v>35</v>
      </c>
      <c r="ET1" s="3" t="s">
        <v>36</v>
      </c>
      <c r="EU1" s="3" t="s">
        <v>37</v>
      </c>
      <c r="EW1" s="5" t="s">
        <v>51</v>
      </c>
      <c r="FB1" s="3" t="s">
        <v>29</v>
      </c>
      <c r="FC1" s="3" t="s">
        <v>30</v>
      </c>
      <c r="FD1" s="3" t="s">
        <v>31</v>
      </c>
      <c r="FE1" s="3" t="s">
        <v>32</v>
      </c>
      <c r="FF1" s="3" t="s">
        <v>33</v>
      </c>
      <c r="FG1" s="3" t="s">
        <v>34</v>
      </c>
      <c r="FH1" s="3" t="s">
        <v>35</v>
      </c>
      <c r="FI1" s="3" t="s">
        <v>36</v>
      </c>
      <c r="FJ1" s="3" t="s">
        <v>37</v>
      </c>
    </row>
    <row r="2" spans="1:170" ht="18.600000000000001" thickBot="1" x14ac:dyDescent="0.4">
      <c r="A2" s="6">
        <f ca="1">NOW()</f>
        <v>45524.864356828701</v>
      </c>
      <c r="B2" s="6" t="s">
        <v>49</v>
      </c>
      <c r="C2" s="30">
        <f>RTD("fxbluelabs.excelrtd", , "21422436","@bh,AUDUSD,h1,close,0")</f>
        <v>0.67413999999999996</v>
      </c>
      <c r="D2" s="31">
        <f>RTD("fxbluelabs.excelrtd", , "21422436","@bh,AUDNZD,h1,close,0")</f>
        <v>1.0971500000000001</v>
      </c>
      <c r="E2" s="32">
        <f>RTD("fxbluelabs.excelrtd", , "21422436","@bh,AUDJPY,h1,close,0")</f>
        <v>98.54</v>
      </c>
      <c r="F2" s="31">
        <f>RTD("fxbluelabs.excelrtd", , "21422436","@bh,AUDCHF,h1,close,0")</f>
        <v>0.57874999999999999</v>
      </c>
      <c r="G2" s="31">
        <f>RTD("fxbluelabs.excelrtd", , "21422436","@bh,AUDCAD,h1,close,0")</f>
        <v>0.91876999999999998</v>
      </c>
      <c r="H2" s="31">
        <f>RTD("fxbluelabs.excelrtd", , "21422436","@bh,EURUSD,h1,close,0")</f>
        <v>1.1103099999999999</v>
      </c>
      <c r="I2" s="31">
        <f>RTD("fxbluelabs.excelrtd", , "21422436","@bh,EURCAD,h1,close,0")</f>
        <v>1.51319</v>
      </c>
      <c r="J2" s="31">
        <f>RTD("fxbluelabs.excelrtd", , "21422436","@bh,EURGBP,h1,close,0")</f>
        <v>0.85221999999999998</v>
      </c>
      <c r="K2" s="31">
        <f>RTD("fxbluelabs.excelrtd", , "21422436","@bh,EURCHF,h1,close,0")</f>
        <v>0.95323000000000002</v>
      </c>
      <c r="L2" s="32">
        <f>RTD("fxbluelabs.excelrtd", , "21422436","@bh,EURJPY,h1,close,0")</f>
        <v>162.29599999999999</v>
      </c>
      <c r="M2" s="31">
        <f>RTD("fxbluelabs.excelrtd", , "21422436","@bh,EURAUD,h1,close,0")</f>
        <v>1.6469800000000001</v>
      </c>
      <c r="N2" s="31">
        <f>RTD("fxbluelabs.excelrtd", , "21422436","@bh,EURNZD,h1,close,0")</f>
        <v>1.80698</v>
      </c>
      <c r="O2" s="31">
        <f>RTD("fxbluelabs.excelrtd", , "21422436","@bh,GBPUSD,h1,close,0")</f>
        <v>1.3028299999999999</v>
      </c>
      <c r="P2" s="31">
        <f>RTD("fxbluelabs.excelrtd", , "21422436","@bh,GBPAUD,h1,close,0")</f>
        <v>1.9325699999999999</v>
      </c>
      <c r="Q2" s="31">
        <f>RTD("fxbluelabs.excelrtd", , "21422436","@bh,GBPNZD,h1,close,0")</f>
        <v>2.1203099999999999</v>
      </c>
      <c r="R2" s="31">
        <f>RTD("fxbluelabs.excelrtd", , "21422436","@bh,GBPCAD,h1,close,0")</f>
        <v>1.77559</v>
      </c>
      <c r="S2" s="31">
        <f>RTD("fxbluelabs.excelrtd", , "21422436","@bh,GBPCHF,h1,close,0")</f>
        <v>1.1184799999999999</v>
      </c>
      <c r="T2" s="32">
        <f>RTD("fxbluelabs.excelrtd", , "21422436","@bh,GBPJPY,h1,close,0")</f>
        <v>190.435</v>
      </c>
      <c r="U2" s="32">
        <f>RTD("fxbluelabs.excelrtd", , "21422436","@bh,NZDJPY,h1,close,0")</f>
        <v>89.807000000000002</v>
      </c>
      <c r="V2" s="31">
        <f>RTD("fxbluelabs.excelrtd", , "21422436","@bh,NZDCHF,h1,close,0")</f>
        <v>0.52746000000000004</v>
      </c>
      <c r="W2" s="31">
        <f>RTD("fxbluelabs.excelrtd", , "21422436","@bh,NZDUSD,h1,close,0")</f>
        <v>0.61438999999999999</v>
      </c>
      <c r="X2" s="31">
        <f>RTD("fxbluelabs.excelrtd", , "21422436","@bh,NZDCAD,h1,close,0")</f>
        <v>0.83733000000000002</v>
      </c>
      <c r="Y2" s="32">
        <f>RTD("fxbluelabs.excelrtd", , "21422436","@bh,CADJPY,h1,close,0")</f>
        <v>107.251</v>
      </c>
      <c r="Z2" s="31">
        <f>RTD("fxbluelabs.excelrtd", , "21422436","@bh,CADCHF,h1,close,0")</f>
        <v>0.62990999999999997</v>
      </c>
      <c r="AA2" s="32">
        <f>RTD("fxbluelabs.excelrtd", , "21422436","@bh,CHFJPY,h1,close,0")</f>
        <v>170.255</v>
      </c>
      <c r="AB2" s="31">
        <f>RTD("fxbluelabs.excelrtd", , "21422436","@bh,USDCAD,h1,close,0")</f>
        <v>1.36293</v>
      </c>
      <c r="AC2" s="31">
        <f>RTD("fxbluelabs.excelrtd", , "21422436","@bh,USDCHF,h1,close,0")</f>
        <v>0.85853999999999997</v>
      </c>
      <c r="AD2" s="33">
        <f>RTD("fxbluelabs.excelrtd", , "21422436","@bh,USDJPY,h1,close,0")</f>
        <v>146.172</v>
      </c>
      <c r="AH2" s="23">
        <v>1</v>
      </c>
      <c r="AI2" s="41">
        <f>IF(C2=0,0,(C2-C3)*100/C3)</f>
        <v>-2.9666548000504334E-3</v>
      </c>
      <c r="AJ2" s="41">
        <f t="shared" ref="AJ2:AY3" si="0">IF(D2=0,0,(D2-D3)*100/D3)</f>
        <v>9.114607069348955E-4</v>
      </c>
      <c r="AK2" s="41">
        <f t="shared" si="0"/>
        <v>-2.029591443237745E-3</v>
      </c>
      <c r="AL2" s="41">
        <f t="shared" si="0"/>
        <v>-7.2517568244207395E-2</v>
      </c>
      <c r="AM2" s="41">
        <f t="shared" si="0"/>
        <v>5.8808795182033365E-2</v>
      </c>
      <c r="AN2" s="41">
        <f>IF(H2=0,0,(H2-H3)*100/H3)</f>
        <v>4.234844662293398E-2</v>
      </c>
      <c r="AO2" s="41">
        <f t="shared" si="0"/>
        <v>0.10452431513420372</v>
      </c>
      <c r="AP2" s="41">
        <f t="shared" si="0"/>
        <v>3.5214574138412877E-2</v>
      </c>
      <c r="AQ2" s="41">
        <f t="shared" si="0"/>
        <v>-2.4122669015999881E-2</v>
      </c>
      <c r="AR2" s="41">
        <f t="shared" si="0"/>
        <v>4.6233225044839218E-2</v>
      </c>
      <c r="AS2" s="41">
        <f t="shared" si="0"/>
        <v>4.5558640044223976E-2</v>
      </c>
      <c r="AT2" s="41">
        <f t="shared" si="0"/>
        <v>4.5400186030032937E-2</v>
      </c>
      <c r="AU2" s="41">
        <f t="shared" si="0"/>
        <v>8.4438712846837734E-3</v>
      </c>
      <c r="AV2" s="41">
        <f t="shared" si="0"/>
        <v>1.2937815682695487E-2</v>
      </c>
      <c r="AW2" s="41">
        <f t="shared" si="0"/>
        <v>1.2735608762098474E-2</v>
      </c>
      <c r="AX2" s="41">
        <f t="shared" si="0"/>
        <v>7.2704728625374138E-2</v>
      </c>
      <c r="AY2" s="41">
        <f t="shared" si="0"/>
        <v>-6.0759855605991453E-2</v>
      </c>
      <c r="AZ2" s="41">
        <f t="shared" ref="AY2:BJ17" si="1">IF(T2=0,0,(T2-T3)*100/T3)</f>
        <v>1.0503374208970004E-2</v>
      </c>
      <c r="BA2" s="41">
        <f t="shared" si="1"/>
        <v>-5.5671847859923539E-3</v>
      </c>
      <c r="BB2" s="41">
        <f t="shared" si="1"/>
        <v>-7.5777668321137415E-2</v>
      </c>
      <c r="BC2" s="41">
        <f t="shared" si="1"/>
        <v>-6.5100987907556604E-3</v>
      </c>
      <c r="BD2" s="41">
        <f t="shared" si="1"/>
        <v>5.6162321057282034E-2</v>
      </c>
      <c r="BE2" s="41">
        <f t="shared" si="1"/>
        <v>-6.1500041931835864E-2</v>
      </c>
      <c r="BF2" s="41">
        <f t="shared" si="1"/>
        <v>-0.13159146399467253</v>
      </c>
      <c r="BG2" s="41">
        <f t="shared" si="1"/>
        <v>6.9944044764188515E-2</v>
      </c>
      <c r="BH2" s="41">
        <f t="shared" si="1"/>
        <v>6.3139192552518084E-2</v>
      </c>
      <c r="BI2" s="41">
        <f t="shared" si="1"/>
        <v>-6.8674123822934766E-2</v>
      </c>
      <c r="BJ2" s="41">
        <f t="shared" si="1"/>
        <v>6.8413023103404565E-4</v>
      </c>
      <c r="BN2" s="26">
        <v>1</v>
      </c>
      <c r="BO2" s="45">
        <f>AI2+SUM(AI3:AI37)</f>
        <v>0.76922558160723775</v>
      </c>
      <c r="BP2" s="45">
        <f t="shared" ref="BP2:BP28" si="2">AJ2+SUM(AJ3:AJ37)</f>
        <v>-0.4633889612742928</v>
      </c>
      <c r="BQ2" s="45">
        <f t="shared" ref="BQ2:CP11" si="3">AK2+SUM(AK3:AK37)</f>
        <v>0.64887170176130393</v>
      </c>
      <c r="BR2" s="45">
        <f t="shared" si="3"/>
        <v>-1.6082359955393769E-2</v>
      </c>
      <c r="BS2" s="45">
        <f t="shared" si="3"/>
        <v>0.37122412367035412</v>
      </c>
      <c r="BT2" s="45">
        <f t="shared" si="3"/>
        <v>0.5975899560190564</v>
      </c>
      <c r="BU2" s="45">
        <f t="shared" si="3"/>
        <v>0.20091427560449809</v>
      </c>
      <c r="BV2" s="45">
        <f t="shared" si="3"/>
        <v>-4.5242223565834586E-3</v>
      </c>
      <c r="BW2" s="45">
        <f t="shared" si="3"/>
        <v>-0.18181306356226945</v>
      </c>
      <c r="BX2" s="45">
        <f t="shared" si="3"/>
        <v>0.48084352511125888</v>
      </c>
      <c r="BY2" s="45">
        <f t="shared" si="3"/>
        <v>-0.16948950687877298</v>
      </c>
      <c r="BZ2" s="45">
        <f t="shared" si="3"/>
        <v>-0.63388444978291847</v>
      </c>
      <c r="CA2" s="45">
        <f t="shared" si="3"/>
        <v>0.60641141503288221</v>
      </c>
      <c r="CB2" s="45">
        <f t="shared" si="3"/>
        <v>-0.16054868166106678</v>
      </c>
      <c r="CC2" s="45">
        <f t="shared" si="3"/>
        <v>-0.62485690853169418</v>
      </c>
      <c r="CD2" s="45">
        <f t="shared" si="3"/>
        <v>0.21064366389076597</v>
      </c>
      <c r="CE2" s="45">
        <f t="shared" si="3"/>
        <v>-0.17798108654982808</v>
      </c>
      <c r="CF2" s="45">
        <f t="shared" si="3"/>
        <v>0.48603880485987644</v>
      </c>
      <c r="CG2" s="45">
        <f t="shared" si="3"/>
        <v>1.1059184996692115</v>
      </c>
      <c r="CH2" s="45">
        <f t="shared" si="3"/>
        <v>0.44175159196533076</v>
      </c>
      <c r="CI2" s="45">
        <f t="shared" si="3"/>
        <v>1.2259724807148722</v>
      </c>
      <c r="CJ2" s="45">
        <f t="shared" si="3"/>
        <v>0.82919680017155628</v>
      </c>
      <c r="CK2" s="45">
        <f t="shared" si="3"/>
        <v>0.27668131058968526</v>
      </c>
      <c r="CL2" s="45">
        <f t="shared" si="3"/>
        <v>-0.38723702860896786</v>
      </c>
      <c r="CM2" s="45">
        <f t="shared" si="3"/>
        <v>0.66040633160233919</v>
      </c>
      <c r="CN2" s="45">
        <f t="shared" si="3"/>
        <v>-0.39506121744888351</v>
      </c>
      <c r="CO2" s="45">
        <f t="shared" si="3"/>
        <v>-0.77984463232012524</v>
      </c>
      <c r="CP2" s="45">
        <f t="shared" si="3"/>
        <v>-0.11923699546297672</v>
      </c>
      <c r="CU2" s="23">
        <v>1</v>
      </c>
      <c r="CV2" s="24">
        <f>BT2+BU2+BV2+BW2+BX2+BY2+BZ2</f>
        <v>0.28963651415426905</v>
      </c>
      <c r="CW2" s="24">
        <f>CN2+CO2+CP2-CI2-CA2-BT2-BO2</f>
        <v>-4.4933422786060344</v>
      </c>
      <c r="CX2" s="24">
        <f>CK2+CL2-CN2-CJ2-CD2-BU2-BS2</f>
        <v>-1.3274733639075735</v>
      </c>
      <c r="CY2" s="24">
        <f>CM2-CO2-CH2-CE2-BW2-BR2</f>
        <v>1.374375882024625</v>
      </c>
      <c r="CZ2" s="24">
        <f>CA2+CB2+CC2+CD2+CE2+CF2-BV2</f>
        <v>0.34423142939751905</v>
      </c>
      <c r="DA2" s="24">
        <f>BO2+BP2+BQ2+BR2+BS2-BY2-CB2</f>
        <v>1.639888274349049</v>
      </c>
      <c r="DB2" s="24">
        <f>CG2+CH2+CI2+CJ2-CC2-BZ2-BP2</f>
        <v>5.3249696921098773</v>
      </c>
      <c r="DC2" s="24">
        <f>-BQ2-BX2-CF2-CG2-CK2-CM2-CP2</f>
        <v>-3.5395231781306986</v>
      </c>
      <c r="DF2" s="18">
        <v>1</v>
      </c>
      <c r="DG2" s="19">
        <f>CN2</f>
        <v>-0.39506121744888351</v>
      </c>
      <c r="DH2" s="19">
        <f>BU2</f>
        <v>0.20091427560449809</v>
      </c>
      <c r="DI2" s="19">
        <f>CO2</f>
        <v>-0.77984463232012524</v>
      </c>
      <c r="DJ2" s="19">
        <f>BW2</f>
        <v>-0.18181306356226945</v>
      </c>
      <c r="DK2" s="19">
        <f>-(CA2)</f>
        <v>-0.60641141503288221</v>
      </c>
      <c r="DL2" s="19">
        <f>BV2</f>
        <v>-4.5242223565834586E-3</v>
      </c>
      <c r="DM2" s="19">
        <f>-(BO2)</f>
        <v>-0.76922558160723775</v>
      </c>
      <c r="DN2" s="19">
        <f>BY2</f>
        <v>-0.16948950687877298</v>
      </c>
      <c r="DO2" s="19">
        <f>-(CI2)</f>
        <v>-1.2259724807148722</v>
      </c>
      <c r="DP2" s="19">
        <f>BZ2</f>
        <v>-0.63388444978291847</v>
      </c>
      <c r="DQ2" s="19">
        <f>CP2</f>
        <v>-0.11923699546297672</v>
      </c>
      <c r="DR2" s="19">
        <f>BX2</f>
        <v>0.48084352511125888</v>
      </c>
      <c r="DS2" s="19">
        <f>-(BT2)</f>
        <v>-0.5975899560190564</v>
      </c>
      <c r="DT2" s="19">
        <f>BT2</f>
        <v>0.5975899560190564</v>
      </c>
      <c r="DX2">
        <v>1</v>
      </c>
      <c r="DY2" s="9">
        <f t="shared" ref="DY2:DY37" si="4"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8.864492870240575</v>
      </c>
      <c r="EC2" t="s">
        <v>52</v>
      </c>
      <c r="ED2" t="s">
        <v>52</v>
      </c>
      <c r="EH2" t="s">
        <v>47</v>
      </c>
      <c r="EI2" t="s">
        <v>48</v>
      </c>
      <c r="EJ2" t="s">
        <v>47</v>
      </c>
      <c r="EM2" s="7">
        <v>1</v>
      </c>
      <c r="EN2" s="8">
        <f>BT2+BU2+BV2+BW2+BX2+BY2+BZ2</f>
        <v>0.28963651415426905</v>
      </c>
      <c r="EO2" s="8">
        <f t="shared" ref="EO2:EO37" si="5">CN2+CO2+CP2-CI2-CA2-BT2-BO2</f>
        <v>-4.4933422786060344</v>
      </c>
      <c r="EP2" s="8">
        <f>CK2+CL2-CN2-CJ2-CD2-BU2-BS2</f>
        <v>-1.3274733639075735</v>
      </c>
      <c r="EQ2" s="8">
        <f>CM2-CO2-CH2-CE2-BW2-BR2</f>
        <v>1.374375882024625</v>
      </c>
      <c r="ER2" s="8">
        <f>CA2+CB2+CC2+CD2+CE2+CF2-BV2</f>
        <v>0.34423142939751905</v>
      </c>
      <c r="ES2" s="8">
        <f>BO2+BP2+BQ2+BR2+BS2-BY2-CB2</f>
        <v>1.639888274349049</v>
      </c>
      <c r="ET2" s="8">
        <f>CG2+CH2+CI2+CJ2-CC2-BZ2-BP2</f>
        <v>5.3249696921098773</v>
      </c>
      <c r="EU2" s="8">
        <f>-BQ2-BX2-CF2-CG2-CK2-CM2-CP2</f>
        <v>-3.5395231781306986</v>
      </c>
      <c r="EW2" s="15">
        <f>LARGE($EN$2:$EU$2,1)</f>
        <v>5.3249696921098773</v>
      </c>
      <c r="EX2" s="14" t="str">
        <f>INDEX(EN1:EU1,MATCH(EW2,EN2:EU2,0))</f>
        <v>NZD</v>
      </c>
      <c r="FK2" s="10"/>
      <c r="FL2" s="10"/>
    </row>
    <row r="3" spans="1:170" ht="18.600000000000001" thickBot="1" x14ac:dyDescent="0.4">
      <c r="A3" s="12" t="s">
        <v>50</v>
      </c>
      <c r="B3" s="13">
        <v>1</v>
      </c>
      <c r="C3" s="30">
        <f>RTD("fxbluelabs.excelrtd", , "21422436","@bh,AUDUSD,h1,close,1")</f>
        <v>0.67415999999999998</v>
      </c>
      <c r="D3" s="31">
        <f>RTD("fxbluelabs.excelrtd", , "21422436","@bh,AUDNZD,h1,close,1")</f>
        <v>1.09714</v>
      </c>
      <c r="E3" s="32">
        <f>RTD("fxbluelabs.excelrtd", , "21422436","@bh,AUDJPY,h1,close,1")</f>
        <v>98.542000000000002</v>
      </c>
      <c r="F3" s="31">
        <f>RTD("fxbluelabs.excelrtd", , "21422436","@bh,AUDCHF,h1,close,1")</f>
        <v>0.57916999999999996</v>
      </c>
      <c r="G3" s="31">
        <f>RTD("fxbluelabs.excelrtd", , "21422436","@bh,AUDCAD,h1,close,1")</f>
        <v>0.91822999999999999</v>
      </c>
      <c r="H3" s="31">
        <f>RTD("fxbluelabs.excelrtd", , "21422436","@bh,EURUSD,h1,close,1")</f>
        <v>1.1098399999999999</v>
      </c>
      <c r="I3" s="31">
        <f>RTD("fxbluelabs.excelrtd", , "21422436","@bh,EURCAD,h1,close,1")</f>
        <v>1.5116099999999999</v>
      </c>
      <c r="J3" s="31">
        <f>RTD("fxbluelabs.excelrtd", , "21422436","@bh,EURGBP,h1,close,1")</f>
        <v>0.85192000000000001</v>
      </c>
      <c r="K3" s="31">
        <f>RTD("fxbluelabs.excelrtd", , "21422436","@bh,EURCHF,h1,close,1")</f>
        <v>0.95345999999999997</v>
      </c>
      <c r="L3" s="32">
        <f>RTD("fxbluelabs.excelrtd", , "21422436","@bh,EURJPY,h1,close,1")</f>
        <v>162.221</v>
      </c>
      <c r="M3" s="31">
        <f>RTD("fxbluelabs.excelrtd", , "21422436","@bh,EURAUD,h1,close,1")</f>
        <v>1.6462300000000001</v>
      </c>
      <c r="N3" s="31">
        <f>RTD("fxbluelabs.excelrtd", , "21422436","@bh,EURNZD,h1,close,1")</f>
        <v>1.80616</v>
      </c>
      <c r="O3" s="31">
        <f>RTD("fxbluelabs.excelrtd", , "21422436","@bh,GBPUSD,h1,close,1")</f>
        <v>1.3027200000000001</v>
      </c>
      <c r="P3" s="31">
        <f>RTD("fxbluelabs.excelrtd", , "21422436","@bh,GBPAUD,h1,close,1")</f>
        <v>1.93232</v>
      </c>
      <c r="Q3" s="31">
        <f>RTD("fxbluelabs.excelrtd", , "21422436","@bh,GBPNZD,h1,close,1")</f>
        <v>2.1200399999999999</v>
      </c>
      <c r="R3" s="31">
        <f>RTD("fxbluelabs.excelrtd", , "21422436","@bh,GBPCAD,h1,close,1")</f>
        <v>1.7743</v>
      </c>
      <c r="S3" s="31">
        <f>RTD("fxbluelabs.excelrtd", , "21422436","@bh,GBPCHF,h1,close,1")</f>
        <v>1.1191599999999999</v>
      </c>
      <c r="T3" s="32">
        <f>RTD("fxbluelabs.excelrtd", , "21422436","@bh,GBPJPY,h1,close,1")</f>
        <v>190.41499999999999</v>
      </c>
      <c r="U3" s="32">
        <f>RTD("fxbluelabs.excelrtd", , "21422436","@bh,NZDJPY,h1,close,1")</f>
        <v>89.811999999999998</v>
      </c>
      <c r="V3" s="31">
        <f>RTD("fxbluelabs.excelrtd", , "21422436","@bh,NZDCHF,h1,close,1")</f>
        <v>0.52786</v>
      </c>
      <c r="W3" s="31">
        <f>RTD("fxbluelabs.excelrtd", , "21422436","@bh,NZDUSD,h1,close,1")</f>
        <v>0.61443000000000003</v>
      </c>
      <c r="X3" s="31">
        <f>RTD("fxbluelabs.excelrtd", , "21422436","@bh,NZDCAD,h1,close,1")</f>
        <v>0.83686000000000005</v>
      </c>
      <c r="Y3" s="32">
        <f>RTD("fxbluelabs.excelrtd", , "21422436","@bh,CADJPY,h1,close,1")</f>
        <v>107.31699999999999</v>
      </c>
      <c r="Z3" s="31">
        <f>RTD("fxbluelabs.excelrtd", , "21422436","@bh,CADCHF,h1,close,1")</f>
        <v>0.63073999999999997</v>
      </c>
      <c r="AA3" s="32">
        <f>RTD("fxbluelabs.excelrtd", , "21422436","@bh,CHFJPY,h1,close,1")</f>
        <v>170.136</v>
      </c>
      <c r="AB3" s="31">
        <f>RTD("fxbluelabs.excelrtd", , "21422436","@bh,USDCAD,h1,close,1")</f>
        <v>1.3620699999999999</v>
      </c>
      <c r="AC3" s="31">
        <f>RTD("fxbluelabs.excelrtd", , "21422436","@bh,USDCHF,h1,close,1")</f>
        <v>0.85912999999999995</v>
      </c>
      <c r="AD3" s="33">
        <f>RTD("fxbluelabs.excelrtd", , "21422436","@bh,USDJPY,h1,close,1")</f>
        <v>146.17099999999999</v>
      </c>
      <c r="AH3" s="23">
        <v>2</v>
      </c>
      <c r="AI3" s="42">
        <f>IF(C3=0,0,(C3-C4)*100/C4)</f>
        <v>0.1158335560901724</v>
      </c>
      <c r="AJ3" s="42">
        <f t="shared" si="0"/>
        <v>7.3882863736281723E-2</v>
      </c>
      <c r="AK3" s="42">
        <f t="shared" si="0"/>
        <v>-2.5363458358265419E-2</v>
      </c>
      <c r="AL3" s="42">
        <f t="shared" si="0"/>
        <v>6.5654209644246772E-2</v>
      </c>
      <c r="AM3" s="42">
        <f t="shared" si="0"/>
        <v>0.16034731009206021</v>
      </c>
      <c r="AN3" s="42">
        <f>IF(H3=0,0,(H3-H4)*100/H4)</f>
        <v>0.15702553921124923</v>
      </c>
      <c r="AO3" s="42">
        <f t="shared" si="0"/>
        <v>0.20217956196637835</v>
      </c>
      <c r="AP3" s="42">
        <f t="shared" si="0"/>
        <v>7.0434108891202791E-3</v>
      </c>
      <c r="AQ3" s="42">
        <f t="shared" si="0"/>
        <v>0.10709336021166907</v>
      </c>
      <c r="AR3" s="42">
        <f t="shared" si="0"/>
        <v>1.6646731691687261E-2</v>
      </c>
      <c r="AS3" s="42">
        <f t="shared" si="0"/>
        <v>4.1931523998206023E-2</v>
      </c>
      <c r="AT3" s="42">
        <f t="shared" si="0"/>
        <v>0.11640411072802405</v>
      </c>
      <c r="AU3" s="42">
        <f t="shared" si="0"/>
        <v>0.14837137431869937</v>
      </c>
      <c r="AV3" s="42">
        <f t="shared" si="0"/>
        <v>3.5203246981839985E-2</v>
      </c>
      <c r="AW3" s="42">
        <f t="shared" si="0"/>
        <v>0.11002450760489968</v>
      </c>
      <c r="AX3" s="42">
        <f t="shared" si="0"/>
        <v>0.19482169579580164</v>
      </c>
      <c r="AY3" s="42">
        <f t="shared" si="1"/>
        <v>0.10196597556393613</v>
      </c>
      <c r="AZ3" s="42">
        <f t="shared" si="1"/>
        <v>9.9792012437264748E-3</v>
      </c>
      <c r="BA3" s="42">
        <f t="shared" si="1"/>
        <v>-9.5663974726911086E-2</v>
      </c>
      <c r="BB3" s="42">
        <f t="shared" si="1"/>
        <v>-5.6830021405926412E-3</v>
      </c>
      <c r="BC3" s="42">
        <f t="shared" si="1"/>
        <v>4.3962485345836987E-2</v>
      </c>
      <c r="BD3" s="42">
        <f t="shared" si="1"/>
        <v>8.8504042481949236E-2</v>
      </c>
      <c r="BE3" s="42">
        <f t="shared" si="1"/>
        <v>-0.18508873097958653</v>
      </c>
      <c r="BF3" s="42">
        <f t="shared" si="1"/>
        <v>-9.5035955269750838E-2</v>
      </c>
      <c r="BG3" s="42">
        <f t="shared" si="1"/>
        <v>-8.8673827127150315E-2</v>
      </c>
      <c r="BH3" s="42">
        <f t="shared" si="1"/>
        <v>4.4070012559948725E-2</v>
      </c>
      <c r="BI3" s="42">
        <f t="shared" si="1"/>
        <v>-5.0025594490209116E-2</v>
      </c>
      <c r="BJ3" s="42">
        <f t="shared" si="1"/>
        <v>-0.14005028146691567</v>
      </c>
      <c r="BN3" s="26">
        <v>2</v>
      </c>
      <c r="BO3" s="46">
        <f t="shared" ref="BO3:BO28" si="6">AI3+SUM(AI4:AI38)</f>
        <v>0.77219223640728818</v>
      </c>
      <c r="BP3" s="46">
        <f t="shared" si="2"/>
        <v>-0.46430042198122745</v>
      </c>
      <c r="BQ3" s="46">
        <f t="shared" si="3"/>
        <v>0.65090129320454171</v>
      </c>
      <c r="BR3" s="46">
        <f t="shared" si="3"/>
        <v>5.6435208288813613E-2</v>
      </c>
      <c r="BS3" s="46">
        <f t="shared" si="3"/>
        <v>0.31241532848832071</v>
      </c>
      <c r="BT3" s="46">
        <f t="shared" si="3"/>
        <v>0.55524150939612227</v>
      </c>
      <c r="BU3" s="46">
        <f t="shared" si="3"/>
        <v>9.6389960470294356E-2</v>
      </c>
      <c r="BV3" s="46">
        <f t="shared" si="3"/>
        <v>-3.9738796494996335E-2</v>
      </c>
      <c r="BW3" s="46">
        <f t="shared" si="3"/>
        <v>-0.15769039454626951</v>
      </c>
      <c r="BX3" s="46">
        <f t="shared" si="3"/>
        <v>0.43461030006641954</v>
      </c>
      <c r="BY3" s="46">
        <f t="shared" si="3"/>
        <v>-0.21504814692299698</v>
      </c>
      <c r="BZ3" s="46">
        <f t="shared" si="3"/>
        <v>-0.6792846358129514</v>
      </c>
      <c r="CA3" s="46">
        <f t="shared" si="3"/>
        <v>0.59796754374819827</v>
      </c>
      <c r="CB3" s="46">
        <f t="shared" si="3"/>
        <v>-0.17348649734376223</v>
      </c>
      <c r="CC3" s="46">
        <f t="shared" si="3"/>
        <v>-0.63759251729379263</v>
      </c>
      <c r="CD3" s="46">
        <f t="shared" si="3"/>
        <v>0.13793893526539189</v>
      </c>
      <c r="CE3" s="46">
        <f t="shared" si="3"/>
        <v>-0.11722123094383666</v>
      </c>
      <c r="CF3" s="46">
        <f t="shared" si="3"/>
        <v>0.47553543065090659</v>
      </c>
      <c r="CG3" s="46">
        <f t="shared" si="3"/>
        <v>1.1114856844552041</v>
      </c>
      <c r="CH3" s="46">
        <f t="shared" si="3"/>
        <v>0.51752926028646806</v>
      </c>
      <c r="CI3" s="46">
        <f t="shared" si="3"/>
        <v>1.2324825795056278</v>
      </c>
      <c r="CJ3" s="46">
        <f t="shared" si="3"/>
        <v>0.77303447911427425</v>
      </c>
      <c r="CK3" s="46">
        <f t="shared" si="3"/>
        <v>0.33818135252152104</v>
      </c>
      <c r="CL3" s="46">
        <f t="shared" si="3"/>
        <v>-0.25564556461429533</v>
      </c>
      <c r="CM3" s="46">
        <f t="shared" si="3"/>
        <v>0.59046228683815072</v>
      </c>
      <c r="CN3" s="46">
        <f t="shared" si="3"/>
        <v>-0.45820041000140171</v>
      </c>
      <c r="CO3" s="46">
        <f t="shared" si="3"/>
        <v>-0.71117050849719043</v>
      </c>
      <c r="CP3" s="46">
        <f t="shared" si="3"/>
        <v>-0.11992112569401064</v>
      </c>
      <c r="CU3" s="23">
        <v>2</v>
      </c>
      <c r="CV3" s="25">
        <f t="shared" ref="CV3:CV37" si="7">BT3+BU3+BV3+BW3+BX3+BY3+BZ3</f>
        <v>-5.5202038443781243E-3</v>
      </c>
      <c r="CW3" s="25">
        <f t="shared" ref="CW3:CW37" si="8">CN3+CO3+CP3-CI3-CA3-BT3-BO3</f>
        <v>-4.447175913249839</v>
      </c>
      <c r="CX3" s="25">
        <f t="shared" ref="CX3:CX37" si="9">CK3+CL3-CN3-CJ3-CD3-BU3-BS3</f>
        <v>-0.77904250542965392</v>
      </c>
      <c r="CY3" s="25">
        <f t="shared" ref="CY3:CY37" si="10">CM3-CO3-CH3-CE3-BW3-BR3</f>
        <v>1.0025799522501657</v>
      </c>
      <c r="CZ3" s="25">
        <f t="shared" ref="CZ3:CZ37" si="11">CA3+CB3+CC3+CD3+CE3+CF3-BV3</f>
        <v>0.3228804605781016</v>
      </c>
      <c r="DA3" s="25">
        <f t="shared" ref="DA3:DA37" si="12">BO3+BP3+BQ3+BR3+BS3-BY3-CB3</f>
        <v>1.7161782886744958</v>
      </c>
      <c r="DB3" s="25">
        <f t="shared" ref="DB3:DB37" si="13">CG3+CH3+CI3+CJ3-CC3-BZ3-BP3</f>
        <v>5.4157095784495457</v>
      </c>
      <c r="DC3" s="25">
        <f t="shared" ref="DC3:DC37" si="14">-BQ3-BX3-CF3-CG3-CK3-CM3-CP3</f>
        <v>-3.4812552220427331</v>
      </c>
      <c r="DF3" s="20">
        <v>2</v>
      </c>
      <c r="DG3" s="21">
        <f>CN3</f>
        <v>-0.45820041000140171</v>
      </c>
      <c r="DH3" s="21">
        <f t="shared" ref="DH3:DH37" si="15">BU3</f>
        <v>9.6389960470294356E-2</v>
      </c>
      <c r="DI3" s="21">
        <f t="shared" ref="DI3:DI37" si="16">CO3</f>
        <v>-0.71117050849719043</v>
      </c>
      <c r="DJ3" s="21">
        <f t="shared" ref="DJ3:DJ37" si="17">BW3</f>
        <v>-0.15769039454626951</v>
      </c>
      <c r="DK3" s="21">
        <f t="shared" ref="DK3:DK37" si="18">-(CA3)</f>
        <v>-0.59796754374819827</v>
      </c>
      <c r="DL3" s="21">
        <f t="shared" ref="DL3:DL37" si="19">BV3</f>
        <v>-3.9738796494996335E-2</v>
      </c>
      <c r="DM3" s="21">
        <f t="shared" ref="DM3:DM37" si="20">-(BO3)</f>
        <v>-0.77219223640728818</v>
      </c>
      <c r="DN3" s="21">
        <f t="shared" ref="DN3:DN37" si="21">BY3</f>
        <v>-0.21504814692299698</v>
      </c>
      <c r="DO3" s="21">
        <f t="shared" ref="DO3:DO37" si="22">-(CI3)</f>
        <v>-1.2324825795056278</v>
      </c>
      <c r="DP3" s="21">
        <f t="shared" ref="DP3:DP37" si="23">BZ3</f>
        <v>-0.6792846358129514</v>
      </c>
      <c r="DQ3" s="21">
        <f t="shared" ref="DQ3:DQ37" si="24">CP3</f>
        <v>-0.11992112569401064</v>
      </c>
      <c r="DR3" s="21">
        <f t="shared" ref="DR3:DR37" si="25">BX3</f>
        <v>0.43461030006641954</v>
      </c>
      <c r="DS3" s="21">
        <f t="shared" ref="DS3:DS37" si="26">-(BT3)</f>
        <v>-0.55524150939612227</v>
      </c>
      <c r="DT3" s="21">
        <f t="shared" ref="DT3:DT37" si="27">BT3</f>
        <v>0.55524150939612227</v>
      </c>
      <c r="DX3">
        <v>2</v>
      </c>
      <c r="DY3" s="9">
        <f t="shared" si="4"/>
        <v>8.8969648004922792</v>
      </c>
      <c r="EJ3" t="s">
        <v>48</v>
      </c>
      <c r="EM3" s="11">
        <v>2</v>
      </c>
      <c r="EN3" s="8">
        <f t="shared" ref="EN3:EN37" si="28">BT3+BU3+BV3+BW3+BX3+BY3+BZ3</f>
        <v>-5.5202038443781243E-3</v>
      </c>
      <c r="EO3" s="8">
        <f t="shared" si="5"/>
        <v>-4.447175913249839</v>
      </c>
      <c r="EP3" s="8">
        <f t="shared" ref="EP3:EP37" si="29">CK3+CL3-CN3-CJ3-CD3-BU3-BS3</f>
        <v>-0.77904250542965392</v>
      </c>
      <c r="EQ3" s="8">
        <f t="shared" ref="EQ3:EQ37" si="30">CM3-CO3-CH3-CE3-BW3-BR3</f>
        <v>1.0025799522501657</v>
      </c>
      <c r="ER3" s="8">
        <f t="shared" ref="ER3:ER37" si="31">CA3+CB3+CC3+CD3+CE3+CF3-BV3</f>
        <v>0.3228804605781016</v>
      </c>
      <c r="ES3" s="8">
        <f t="shared" ref="ES3:ES37" si="32">BO3+BP3+BQ3+BR3+BS3-BY3-CB3</f>
        <v>1.7161782886744958</v>
      </c>
      <c r="ET3" s="8">
        <f t="shared" ref="ET3:ET37" si="33">CG3+CH3+CI3+CJ3-CC3-BZ3-BP3</f>
        <v>5.4157095784495457</v>
      </c>
      <c r="EU3" s="8">
        <f t="shared" ref="EU3:EU37" si="34">-BQ3-BX3-CF3-CG3-CK3-CM3-CP3</f>
        <v>-3.4812552220427331</v>
      </c>
      <c r="EW3" s="15">
        <f>LARGE($EN$2:$EU$2,2)</f>
        <v>1.639888274349049</v>
      </c>
      <c r="EX3" s="14" t="str">
        <f>INDEX(EN1:EU1,MATCH(EW3,EN2:EU2,0))</f>
        <v>AUD</v>
      </c>
      <c r="FK3" s="10"/>
      <c r="FL3" s="10"/>
    </row>
    <row r="4" spans="1:170" ht="18.600000000000001" thickBot="1" x14ac:dyDescent="0.4">
      <c r="A4" s="12" t="s">
        <v>50</v>
      </c>
      <c r="B4" s="13">
        <v>2</v>
      </c>
      <c r="C4" s="30">
        <f>RTD("fxbluelabs.excelrtd", , "21422436","@bh,AUDUSD,h1,close,2")</f>
        <v>0.67337999999999998</v>
      </c>
      <c r="D4" s="31">
        <f>RTD("fxbluelabs.excelrtd", , "21422436","@bh,AUDNZD,h1,close,2")</f>
        <v>1.09633</v>
      </c>
      <c r="E4" s="32">
        <f>RTD("fxbluelabs.excelrtd", , "21422436","@bh,AUDJPY,h1,close,2")</f>
        <v>98.566999999999993</v>
      </c>
      <c r="F4" s="31">
        <f>RTD("fxbluelabs.excelrtd", , "21422436","@bh,AUDCHF,h1,close,2")</f>
        <v>0.57879000000000003</v>
      </c>
      <c r="G4" s="31">
        <f>RTD("fxbluelabs.excelrtd", , "21422436","@bh,AUDCAD,h1,close,2")</f>
        <v>0.91676000000000002</v>
      </c>
      <c r="H4" s="31">
        <f>RTD("fxbluelabs.excelrtd", , "21422436","@bh,EURUSD,h1,close,2")</f>
        <v>1.1081000000000001</v>
      </c>
      <c r="I4" s="31">
        <f>RTD("fxbluelabs.excelrtd", , "21422436","@bh,EURCAD,h1,close,2")</f>
        <v>1.5085599999999999</v>
      </c>
      <c r="J4" s="31">
        <f>RTD("fxbluelabs.excelrtd", , "21422436","@bh,EURGBP,h1,close,2")</f>
        <v>0.85185999999999995</v>
      </c>
      <c r="K4" s="31">
        <f>RTD("fxbluelabs.excelrtd", , "21422436","@bh,EURCHF,h1,close,2")</f>
        <v>0.95243999999999995</v>
      </c>
      <c r="L4" s="32">
        <f>RTD("fxbluelabs.excelrtd", , "21422436","@bh,EURJPY,h1,close,2")</f>
        <v>162.19399999999999</v>
      </c>
      <c r="M4" s="31">
        <f>RTD("fxbluelabs.excelrtd", , "21422436","@bh,EURAUD,h1,close,2")</f>
        <v>1.64554</v>
      </c>
      <c r="N4" s="31">
        <f>RTD("fxbluelabs.excelrtd", , "21422436","@bh,EURNZD,h1,close,2")</f>
        <v>1.80406</v>
      </c>
      <c r="O4" s="31">
        <f>RTD("fxbluelabs.excelrtd", , "21422436","@bh,GBPUSD,h1,close,2")</f>
        <v>1.3007899999999999</v>
      </c>
      <c r="P4" s="31">
        <f>RTD("fxbluelabs.excelrtd", , "21422436","@bh,GBPAUD,h1,close,2")</f>
        <v>1.93164</v>
      </c>
      <c r="Q4" s="31">
        <f>RTD("fxbluelabs.excelrtd", , "21422436","@bh,GBPNZD,h1,close,2")</f>
        <v>2.1177100000000002</v>
      </c>
      <c r="R4" s="31">
        <f>RTD("fxbluelabs.excelrtd", , "21422436","@bh,GBPCAD,h1,close,2")</f>
        <v>1.77085</v>
      </c>
      <c r="S4" s="31">
        <f>RTD("fxbluelabs.excelrtd", , "21422436","@bh,GBPCHF,h1,close,2")</f>
        <v>1.11802</v>
      </c>
      <c r="T4" s="32">
        <f>RTD("fxbluelabs.excelrtd", , "21422436","@bh,GBPJPY,h1,close,2")</f>
        <v>190.39599999999999</v>
      </c>
      <c r="U4" s="32">
        <f>RTD("fxbluelabs.excelrtd", , "21422436","@bh,NZDJPY,h1,close,2")</f>
        <v>89.897999999999996</v>
      </c>
      <c r="V4" s="31">
        <f>RTD("fxbluelabs.excelrtd", , "21422436","@bh,NZDCHF,h1,close,2")</f>
        <v>0.52788999999999997</v>
      </c>
      <c r="W4" s="31">
        <f>RTD("fxbluelabs.excelrtd", , "21422436","@bh,NZDUSD,h1,close,2")</f>
        <v>0.61416000000000004</v>
      </c>
      <c r="X4" s="31">
        <f>RTD("fxbluelabs.excelrtd", , "21422436","@bh,NZDCAD,h1,close,2")</f>
        <v>0.83611999999999997</v>
      </c>
      <c r="Y4" s="32">
        <f>RTD("fxbluelabs.excelrtd", , "21422436","@bh,CADJPY,h1,close,2")</f>
        <v>107.51600000000001</v>
      </c>
      <c r="Z4" s="31">
        <f>RTD("fxbluelabs.excelrtd", , "21422436","@bh,CADCHF,h1,close,2")</f>
        <v>0.63134000000000001</v>
      </c>
      <c r="AA4" s="32">
        <f>RTD("fxbluelabs.excelrtd", , "21422436","@bh,CHFJPY,h1,close,2")</f>
        <v>170.28700000000001</v>
      </c>
      <c r="AB4" s="31">
        <f>RTD("fxbluelabs.excelrtd", , "21422436","@bh,USDCAD,h1,close,2")</f>
        <v>1.36147</v>
      </c>
      <c r="AC4" s="31">
        <f>RTD("fxbluelabs.excelrtd", , "21422436","@bh,USDCHF,h1,close,2")</f>
        <v>0.85955999999999999</v>
      </c>
      <c r="AD4" s="33">
        <f>RTD("fxbluelabs.excelrtd", , "21422436","@bh,USDJPY,h1,close,2")</f>
        <v>146.376</v>
      </c>
      <c r="AH4" s="23">
        <v>3</v>
      </c>
      <c r="AI4" s="41">
        <f t="shared" ref="AI4:AX19" si="35">IF(C4=0,0,(C4-C5)*100/C5)</f>
        <v>2.5252150146314448E-2</v>
      </c>
      <c r="AJ4" s="41">
        <f t="shared" si="35"/>
        <v>1.0034482129504524E-2</v>
      </c>
      <c r="AK4" s="41">
        <f t="shared" si="35"/>
        <v>-2.4342992768103488E-2</v>
      </c>
      <c r="AL4" s="41">
        <f t="shared" si="35"/>
        <v>2.246569660942082E-2</v>
      </c>
      <c r="AM4" s="41">
        <f t="shared" si="35"/>
        <v>5.5661664392907005E-2</v>
      </c>
      <c r="AN4" s="41">
        <f>IF(H4=0,0,(H4-H5)*100/H5)</f>
        <v>-9.9259165681443457E-3</v>
      </c>
      <c r="AO4" s="41">
        <f t="shared" si="35"/>
        <v>2.0553621747045277E-2</v>
      </c>
      <c r="AP4" s="41">
        <f t="shared" si="35"/>
        <v>-4.10696893958147E-2</v>
      </c>
      <c r="AQ4" s="41">
        <f t="shared" si="35"/>
        <v>-9.4485213064191675E-3</v>
      </c>
      <c r="AR4" s="41">
        <f t="shared" si="35"/>
        <v>-6.0384985088613848E-2</v>
      </c>
      <c r="AS4" s="41">
        <f t="shared" si="35"/>
        <v>-3.5234369304790958E-2</v>
      </c>
      <c r="AT4" s="41">
        <f t="shared" si="35"/>
        <v>-2.5491543457534689E-2</v>
      </c>
      <c r="AU4" s="41">
        <f t="shared" si="35"/>
        <v>3.0760002768396862E-2</v>
      </c>
      <c r="AV4" s="41">
        <f t="shared" si="35"/>
        <v>2.5885410465008372E-3</v>
      </c>
      <c r="AW4" s="41">
        <f t="shared" si="35"/>
        <v>1.2278920399554704E-2</v>
      </c>
      <c r="AX4" s="41">
        <f t="shared" si="35"/>
        <v>5.8198008837061763E-2</v>
      </c>
      <c r="AY4" s="41">
        <f t="shared" si="1"/>
        <v>2.5945442996083447E-2</v>
      </c>
      <c r="AZ4" s="41">
        <f t="shared" si="1"/>
        <v>-2.205442191159411E-2</v>
      </c>
      <c r="BA4" s="41">
        <f t="shared" si="1"/>
        <v>-3.4471638737232607E-2</v>
      </c>
      <c r="BB4" s="41">
        <f t="shared" si="1"/>
        <v>1.326209692698543E-2</v>
      </c>
      <c r="BC4" s="41">
        <f t="shared" si="1"/>
        <v>1.4656309541263129E-2</v>
      </c>
      <c r="BD4" s="41">
        <f t="shared" si="1"/>
        <v>4.5468686433572152E-2</v>
      </c>
      <c r="BE4" s="41">
        <f t="shared" si="1"/>
        <v>-8.0852764328121982E-2</v>
      </c>
      <c r="BF4" s="41">
        <f t="shared" si="1"/>
        <v>-3.3251524028173933E-2</v>
      </c>
      <c r="BG4" s="41">
        <f t="shared" si="1"/>
        <v>-5.2824031412692679E-2</v>
      </c>
      <c r="BH4" s="41">
        <f t="shared" si="1"/>
        <v>3.0858528342078903E-2</v>
      </c>
      <c r="BI4" s="41">
        <f t="shared" si="1"/>
        <v>1.1633994531969622E-3</v>
      </c>
      <c r="BJ4" s="41">
        <f t="shared" si="1"/>
        <v>-4.9164208456245716E-2</v>
      </c>
      <c r="BN4" s="26">
        <v>3</v>
      </c>
      <c r="BO4" s="45">
        <f t="shared" si="6"/>
        <v>0.65635868031711575</v>
      </c>
      <c r="BP4" s="45">
        <f t="shared" si="2"/>
        <v>-0.53818328571750929</v>
      </c>
      <c r="BQ4" s="45">
        <f t="shared" si="3"/>
        <v>0.67626475156280719</v>
      </c>
      <c r="BR4" s="45">
        <f t="shared" si="3"/>
        <v>-9.2190013554332359E-3</v>
      </c>
      <c r="BS4" s="45">
        <f t="shared" si="3"/>
        <v>0.15206801839626047</v>
      </c>
      <c r="BT4" s="45">
        <f t="shared" si="3"/>
        <v>0.39821597018487309</v>
      </c>
      <c r="BU4" s="45">
        <f t="shared" si="3"/>
        <v>-0.10578960149608393</v>
      </c>
      <c r="BV4" s="45">
        <f t="shared" si="3"/>
        <v>-4.6782207384116599E-2</v>
      </c>
      <c r="BW4" s="45">
        <f t="shared" si="3"/>
        <v>-0.26478375475793858</v>
      </c>
      <c r="BX4" s="45">
        <f t="shared" si="3"/>
        <v>0.41796356837473242</v>
      </c>
      <c r="BY4" s="45">
        <f t="shared" si="3"/>
        <v>-0.256979670921203</v>
      </c>
      <c r="BZ4" s="45">
        <f t="shared" si="3"/>
        <v>-0.79568874654097543</v>
      </c>
      <c r="CA4" s="45">
        <f t="shared" si="3"/>
        <v>0.44959616942949898</v>
      </c>
      <c r="CB4" s="45">
        <f t="shared" si="3"/>
        <v>-0.20868974432560225</v>
      </c>
      <c r="CC4" s="45">
        <f t="shared" si="3"/>
        <v>-0.74761702489869231</v>
      </c>
      <c r="CD4" s="45">
        <f t="shared" si="3"/>
        <v>-5.6882760530409748E-2</v>
      </c>
      <c r="CE4" s="45">
        <f t="shared" si="3"/>
        <v>-0.21918720650777276</v>
      </c>
      <c r="CF4" s="45">
        <f t="shared" si="3"/>
        <v>0.46555622940717989</v>
      </c>
      <c r="CG4" s="45">
        <f t="shared" si="3"/>
        <v>1.2071496591821149</v>
      </c>
      <c r="CH4" s="45">
        <f t="shared" si="3"/>
        <v>0.52321226242706076</v>
      </c>
      <c r="CI4" s="45">
        <f t="shared" si="3"/>
        <v>1.1885200941597909</v>
      </c>
      <c r="CJ4" s="45">
        <f t="shared" si="3"/>
        <v>0.68453043663232516</v>
      </c>
      <c r="CK4" s="45">
        <f t="shared" si="3"/>
        <v>0.5232700835011076</v>
      </c>
      <c r="CL4" s="45">
        <f t="shared" si="3"/>
        <v>-0.16060960934454455</v>
      </c>
      <c r="CM4" s="45">
        <f t="shared" si="3"/>
        <v>0.67913611396530105</v>
      </c>
      <c r="CN4" s="45">
        <f t="shared" si="3"/>
        <v>-0.50227042256135046</v>
      </c>
      <c r="CO4" s="45">
        <f t="shared" si="3"/>
        <v>-0.66114491400698128</v>
      </c>
      <c r="CP4" s="45">
        <f t="shared" si="3"/>
        <v>2.0129155772905007E-2</v>
      </c>
      <c r="CU4" s="23">
        <v>3</v>
      </c>
      <c r="CV4" s="24">
        <f t="shared" si="7"/>
        <v>-0.65384444254071206</v>
      </c>
      <c r="CW4" s="24">
        <f t="shared" si="8"/>
        <v>-3.8359770948867054</v>
      </c>
      <c r="CX4" s="24">
        <f t="shared" si="9"/>
        <v>0.19100480371582154</v>
      </c>
      <c r="CY4" s="24">
        <f t="shared" si="10"/>
        <v>1.310258728166366</v>
      </c>
      <c r="CZ4" s="24">
        <f t="shared" si="11"/>
        <v>-0.27044213004168166</v>
      </c>
      <c r="DA4" s="24">
        <f t="shared" si="12"/>
        <v>1.402958578450046</v>
      </c>
      <c r="DB4" s="24">
        <f t="shared" si="13"/>
        <v>5.6849015095584692</v>
      </c>
      <c r="DC4" s="24">
        <f t="shared" si="14"/>
        <v>-3.989469561766148</v>
      </c>
      <c r="DF4" s="18">
        <v>3</v>
      </c>
      <c r="DG4" s="19">
        <f t="shared" ref="DG4:DG37" si="36">CN4</f>
        <v>-0.50227042256135046</v>
      </c>
      <c r="DH4" s="19">
        <f t="shared" si="15"/>
        <v>-0.10578960149608393</v>
      </c>
      <c r="DI4" s="19">
        <f t="shared" si="16"/>
        <v>-0.66114491400698128</v>
      </c>
      <c r="DJ4" s="19">
        <f t="shared" si="17"/>
        <v>-0.26478375475793858</v>
      </c>
      <c r="DK4" s="19">
        <f t="shared" si="18"/>
        <v>-0.44959616942949898</v>
      </c>
      <c r="DL4" s="19">
        <f t="shared" si="19"/>
        <v>-4.6782207384116599E-2</v>
      </c>
      <c r="DM4" s="19">
        <f t="shared" si="20"/>
        <v>-0.65635868031711575</v>
      </c>
      <c r="DN4" s="19">
        <f t="shared" si="21"/>
        <v>-0.256979670921203</v>
      </c>
      <c r="DO4" s="19">
        <f t="shared" si="22"/>
        <v>-1.1885200941597909</v>
      </c>
      <c r="DP4" s="19">
        <f t="shared" si="23"/>
        <v>-0.79568874654097543</v>
      </c>
      <c r="DQ4" s="19">
        <f t="shared" si="24"/>
        <v>2.0129155772905007E-2</v>
      </c>
      <c r="DR4" s="19">
        <f t="shared" si="25"/>
        <v>0.41796356837473242</v>
      </c>
      <c r="DS4" s="19">
        <f t="shared" si="26"/>
        <v>-0.39821597018487309</v>
      </c>
      <c r="DT4" s="19">
        <f t="shared" si="27"/>
        <v>0.39821597018487309</v>
      </c>
      <c r="DX4">
        <v>3</v>
      </c>
      <c r="DY4" s="9">
        <f t="shared" si="4"/>
        <v>9.674371071324618</v>
      </c>
      <c r="EJ4" t="str">
        <f>"-"</f>
        <v>-</v>
      </c>
      <c r="EM4" s="11">
        <v>3</v>
      </c>
      <c r="EN4" s="8">
        <f t="shared" si="28"/>
        <v>-0.65384444254071206</v>
      </c>
      <c r="EO4" s="8">
        <f t="shared" si="5"/>
        <v>-3.8359770948867054</v>
      </c>
      <c r="EP4" s="8">
        <f t="shared" si="29"/>
        <v>0.19100480371582154</v>
      </c>
      <c r="EQ4" s="8">
        <f t="shared" si="30"/>
        <v>1.310258728166366</v>
      </c>
      <c r="ER4" s="8">
        <f t="shared" si="31"/>
        <v>-0.27044213004168166</v>
      </c>
      <c r="ES4" s="8">
        <f t="shared" si="32"/>
        <v>1.402958578450046</v>
      </c>
      <c r="ET4" s="8">
        <f t="shared" si="33"/>
        <v>5.6849015095584692</v>
      </c>
      <c r="EU4" s="8">
        <f t="shared" si="34"/>
        <v>-3.989469561766148</v>
      </c>
      <c r="EW4" s="15">
        <f>LARGE($EN$2:$EU$2,3)</f>
        <v>1.374375882024625</v>
      </c>
      <c r="EX4" s="14" t="str">
        <f>INDEX(EN1:EU1,MATCH(EW4,EN2:EU2,0))</f>
        <v>CHF</v>
      </c>
      <c r="FK4" s="10"/>
      <c r="FL4" s="10"/>
    </row>
    <row r="5" spans="1:170" ht="18.600000000000001" thickBot="1" x14ac:dyDescent="0.4">
      <c r="A5" s="12" t="s">
        <v>50</v>
      </c>
      <c r="B5" s="13">
        <v>3</v>
      </c>
      <c r="C5" s="30">
        <f>RTD("fxbluelabs.excelrtd", , "21422436","@bh,AUDUSD,h1,close,3")</f>
        <v>0.67320999999999998</v>
      </c>
      <c r="D5" s="31">
        <f>RTD("fxbluelabs.excelrtd", , "21422436","@bh,AUDNZD,h1,close,3")</f>
        <v>1.09622</v>
      </c>
      <c r="E5" s="32">
        <f>RTD("fxbluelabs.excelrtd", , "21422436","@bh,AUDJPY,h1,close,3")</f>
        <v>98.590999999999994</v>
      </c>
      <c r="F5" s="31">
        <f>RTD("fxbluelabs.excelrtd", , "21422436","@bh,AUDCHF,h1,close,3")</f>
        <v>0.57865999999999995</v>
      </c>
      <c r="G5" s="31">
        <f>RTD("fxbluelabs.excelrtd", , "21422436","@bh,AUDCAD,h1,close,3")</f>
        <v>0.91625000000000001</v>
      </c>
      <c r="H5" s="31">
        <f>RTD("fxbluelabs.excelrtd", , "21422436","@bh,EURUSD,h1,close,3")</f>
        <v>1.1082099999999999</v>
      </c>
      <c r="I5" s="31">
        <f>RTD("fxbluelabs.excelrtd", , "21422436","@bh,EURCAD,h1,close,3")</f>
        <v>1.5082500000000001</v>
      </c>
      <c r="J5" s="31">
        <f>RTD("fxbluelabs.excelrtd", , "21422436","@bh,EURGBP,h1,close,3")</f>
        <v>0.85221000000000002</v>
      </c>
      <c r="K5" s="31">
        <f>RTD("fxbluelabs.excelrtd", , "21422436","@bh,EURCHF,h1,close,3")</f>
        <v>0.95252999999999999</v>
      </c>
      <c r="L5" s="32">
        <f>RTD("fxbluelabs.excelrtd", , "21422436","@bh,EURJPY,h1,close,3")</f>
        <v>162.292</v>
      </c>
      <c r="M5" s="31">
        <f>RTD("fxbluelabs.excelrtd", , "21422436","@bh,EURAUD,h1,close,3")</f>
        <v>1.64612</v>
      </c>
      <c r="N5" s="31">
        <f>RTD("fxbluelabs.excelrtd", , "21422436","@bh,EURNZD,h1,close,3")</f>
        <v>1.8045199999999999</v>
      </c>
      <c r="O5" s="31">
        <f>RTD("fxbluelabs.excelrtd", , "21422436","@bh,GBPUSD,h1,close,3")</f>
        <v>1.3003899999999999</v>
      </c>
      <c r="P5" s="31">
        <f>RTD("fxbluelabs.excelrtd", , "21422436","@bh,GBPAUD,h1,close,3")</f>
        <v>1.9315899999999999</v>
      </c>
      <c r="Q5" s="31">
        <f>RTD("fxbluelabs.excelrtd", , "21422436","@bh,GBPNZD,h1,close,3")</f>
        <v>2.1174499999999998</v>
      </c>
      <c r="R5" s="31">
        <f>RTD("fxbluelabs.excelrtd", , "21422436","@bh,GBPCAD,h1,close,3")</f>
        <v>1.7698199999999999</v>
      </c>
      <c r="S5" s="31">
        <f>RTD("fxbluelabs.excelrtd", , "21422436","@bh,GBPCHF,h1,close,3")</f>
        <v>1.1177299999999999</v>
      </c>
      <c r="T5" s="32">
        <f>RTD("fxbluelabs.excelrtd", , "21422436","@bh,GBPJPY,h1,close,3")</f>
        <v>190.43799999999999</v>
      </c>
      <c r="U5" s="32">
        <f>RTD("fxbluelabs.excelrtd", , "21422436","@bh,NZDJPY,h1,close,3")</f>
        <v>89.929000000000002</v>
      </c>
      <c r="V5" s="31">
        <f>RTD("fxbluelabs.excelrtd", , "21422436","@bh,NZDCHF,h1,close,3")</f>
        <v>0.52781999999999996</v>
      </c>
      <c r="W5" s="31">
        <f>RTD("fxbluelabs.excelrtd", , "21422436","@bh,NZDUSD,h1,close,3")</f>
        <v>0.61407</v>
      </c>
      <c r="X5" s="31">
        <f>RTD("fxbluelabs.excelrtd", , "21422436","@bh,NZDCAD,h1,close,3")</f>
        <v>0.83574000000000004</v>
      </c>
      <c r="Y5" s="32">
        <f>RTD("fxbluelabs.excelrtd", , "21422436","@bh,CADJPY,h1,close,3")</f>
        <v>107.60299999999999</v>
      </c>
      <c r="Z5" s="31">
        <f>RTD("fxbluelabs.excelrtd", , "21422436","@bh,CADCHF,h1,close,3")</f>
        <v>0.63154999999999994</v>
      </c>
      <c r="AA5" s="32">
        <f>RTD("fxbluelabs.excelrtd", , "21422436","@bh,CHFJPY,h1,close,3")</f>
        <v>170.37700000000001</v>
      </c>
      <c r="AB5" s="31">
        <f>RTD("fxbluelabs.excelrtd", , "21422436","@bh,USDCAD,h1,close,3")</f>
        <v>1.3610500000000001</v>
      </c>
      <c r="AC5" s="31">
        <f>RTD("fxbluelabs.excelrtd", , "21422436","@bh,USDCHF,h1,close,3")</f>
        <v>0.85955000000000004</v>
      </c>
      <c r="AD5" s="33">
        <f>RTD("fxbluelabs.excelrtd", , "21422436","@bh,USDJPY,h1,close,3")</f>
        <v>146.44800000000001</v>
      </c>
      <c r="AH5" s="23">
        <v>4</v>
      </c>
      <c r="AI5" s="42">
        <f t="shared" si="35"/>
        <v>3.5662808148954332E-2</v>
      </c>
      <c r="AJ5" s="42">
        <f t="shared" si="35"/>
        <v>-6.4726099204141421E-2</v>
      </c>
      <c r="AK5" s="42">
        <f t="shared" si="35"/>
        <v>1.826057845454707E-2</v>
      </c>
      <c r="AL5" s="42">
        <f t="shared" si="35"/>
        <v>-1.7278319165128897E-2</v>
      </c>
      <c r="AM5" s="42">
        <f t="shared" si="35"/>
        <v>3.2743227609061676E-3</v>
      </c>
      <c r="AN5" s="42">
        <f t="shared" si="35"/>
        <v>5.688076707776489E-2</v>
      </c>
      <c r="AO5" s="42">
        <f t="shared" si="35"/>
        <v>2.1884450103464608E-2</v>
      </c>
      <c r="AP5" s="42">
        <f t="shared" si="35"/>
        <v>6.3404839902777468E-2</v>
      </c>
      <c r="AQ5" s="42">
        <f t="shared" si="35"/>
        <v>1.0498467223737549E-3</v>
      </c>
      <c r="AR5" s="42">
        <f t="shared" si="35"/>
        <v>3.57508290493933E-2</v>
      </c>
      <c r="AS5" s="42">
        <f t="shared" si="35"/>
        <v>1.8835710075891656E-2</v>
      </c>
      <c r="AT5" s="42">
        <f t="shared" si="35"/>
        <v>-4.5974464785227709E-2</v>
      </c>
      <c r="AU5" s="42">
        <f t="shared" si="35"/>
        <v>-4.6137875350971604E-3</v>
      </c>
      <c r="AV5" s="42">
        <f t="shared" si="35"/>
        <v>-4.2951325281259167E-2</v>
      </c>
      <c r="AW5" s="42">
        <f t="shared" si="35"/>
        <v>-0.10803211714645887</v>
      </c>
      <c r="AX5" s="42">
        <f t="shared" si="35"/>
        <v>-3.9536407383149862E-2</v>
      </c>
      <c r="AY5" s="42">
        <f t="shared" si="1"/>
        <v>-6.2587734592253863E-2</v>
      </c>
      <c r="AZ5" s="42">
        <f t="shared" si="1"/>
        <v>-2.5198702266834214E-2</v>
      </c>
      <c r="BA5" s="42">
        <f t="shared" si="1"/>
        <v>7.5672427415672913E-2</v>
      </c>
      <c r="BB5" s="42">
        <f t="shared" si="1"/>
        <v>3.9802126570749691E-2</v>
      </c>
      <c r="BC5" s="42">
        <f t="shared" si="1"/>
        <v>9.6172654365257126E-2</v>
      </c>
      <c r="BD5" s="42">
        <f t="shared" si="1"/>
        <v>6.2259045520949685E-2</v>
      </c>
      <c r="BE5" s="42">
        <f t="shared" si="1"/>
        <v>1.4871685240773636E-2</v>
      </c>
      <c r="BF5" s="42">
        <f t="shared" si="1"/>
        <v>-2.2162769712996723E-2</v>
      </c>
      <c r="BG5" s="42">
        <f t="shared" si="1"/>
        <v>3.6403135366827245E-2</v>
      </c>
      <c r="BH5" s="42">
        <f t="shared" si="1"/>
        <v>-3.3786016995828526E-2</v>
      </c>
      <c r="BI5" s="42">
        <f t="shared" si="1"/>
        <v>-5.5812006557902041E-2</v>
      </c>
      <c r="BJ5" s="42">
        <f t="shared" si="1"/>
        <v>-1.9798330113257618E-2</v>
      </c>
      <c r="BN5" s="26">
        <v>4</v>
      </c>
      <c r="BO5" s="46">
        <f t="shared" si="6"/>
        <v>0.63110653017080121</v>
      </c>
      <c r="BP5" s="46">
        <f t="shared" si="2"/>
        <v>-0.54821776784701393</v>
      </c>
      <c r="BQ5" s="46">
        <f t="shared" si="3"/>
        <v>0.70060774433091066</v>
      </c>
      <c r="BR5" s="46">
        <f t="shared" si="3"/>
        <v>-3.1684697964854056E-2</v>
      </c>
      <c r="BS5" s="46">
        <f t="shared" si="3"/>
        <v>9.6406354003353456E-2</v>
      </c>
      <c r="BT5" s="46">
        <f t="shared" si="3"/>
        <v>0.40814188675301744</v>
      </c>
      <c r="BU5" s="46">
        <f t="shared" si="3"/>
        <v>-0.12634322324312922</v>
      </c>
      <c r="BV5" s="46">
        <f t="shared" si="3"/>
        <v>-5.7125179883019267E-3</v>
      </c>
      <c r="BW5" s="46">
        <f t="shared" si="3"/>
        <v>-0.25533523345151954</v>
      </c>
      <c r="BX5" s="46">
        <f t="shared" si="3"/>
        <v>0.47834855346334626</v>
      </c>
      <c r="BY5" s="46">
        <f t="shared" si="3"/>
        <v>-0.22174530161641201</v>
      </c>
      <c r="BZ5" s="46">
        <f t="shared" si="3"/>
        <v>-0.77019720308344086</v>
      </c>
      <c r="CA5" s="46">
        <f t="shared" si="3"/>
        <v>0.41883616666110207</v>
      </c>
      <c r="CB5" s="46">
        <f t="shared" si="3"/>
        <v>-0.21127828537210308</v>
      </c>
      <c r="CC5" s="46">
        <f t="shared" si="3"/>
        <v>-0.759895945298247</v>
      </c>
      <c r="CD5" s="46">
        <f t="shared" si="3"/>
        <v>-0.11508076936747152</v>
      </c>
      <c r="CE5" s="46">
        <f t="shared" si="3"/>
        <v>-0.24513264950385621</v>
      </c>
      <c r="CF5" s="46">
        <f t="shared" si="3"/>
        <v>0.48761065131877407</v>
      </c>
      <c r="CG5" s="46">
        <f t="shared" si="3"/>
        <v>1.2416212979193477</v>
      </c>
      <c r="CH5" s="46">
        <f t="shared" si="3"/>
        <v>0.50995016550007533</v>
      </c>
      <c r="CI5" s="46">
        <f t="shared" si="3"/>
        <v>1.1738637846185278</v>
      </c>
      <c r="CJ5" s="46">
        <f t="shared" si="3"/>
        <v>0.639061750198753</v>
      </c>
      <c r="CK5" s="46">
        <f t="shared" si="3"/>
        <v>0.60412284782922954</v>
      </c>
      <c r="CL5" s="46">
        <f t="shared" si="3"/>
        <v>-0.12735808531637063</v>
      </c>
      <c r="CM5" s="46">
        <f t="shared" si="3"/>
        <v>0.7319601453779937</v>
      </c>
      <c r="CN5" s="46">
        <f t="shared" si="3"/>
        <v>-0.53312895090342938</v>
      </c>
      <c r="CO5" s="46">
        <f t="shared" si="3"/>
        <v>-0.66230831346017827</v>
      </c>
      <c r="CP5" s="46">
        <f t="shared" si="3"/>
        <v>6.9293364229150708E-2</v>
      </c>
      <c r="CU5" s="23">
        <v>4</v>
      </c>
      <c r="CV5" s="25">
        <f t="shared" si="7"/>
        <v>-0.49284303916643979</v>
      </c>
      <c r="CW5" s="25">
        <f t="shared" si="8"/>
        <v>-3.7580922683379052</v>
      </c>
      <c r="CX5" s="25">
        <f t="shared" si="9"/>
        <v>0.51584960182478246</v>
      </c>
      <c r="CY5" s="25">
        <f t="shared" si="10"/>
        <v>1.4164708742583263</v>
      </c>
      <c r="CZ5" s="25">
        <f t="shared" si="11"/>
        <v>-0.41922831357349966</v>
      </c>
      <c r="DA5" s="25">
        <f t="shared" si="12"/>
        <v>1.2812417496817123</v>
      </c>
      <c r="DB5" s="25">
        <f t="shared" si="13"/>
        <v>5.642807914465406</v>
      </c>
      <c r="DC5" s="25">
        <f t="shared" si="14"/>
        <v>-4.3135646044687528</v>
      </c>
      <c r="DF5" s="20">
        <v>4</v>
      </c>
      <c r="DG5" s="21">
        <f t="shared" si="36"/>
        <v>-0.53312895090342938</v>
      </c>
      <c r="DH5" s="21">
        <f t="shared" si="15"/>
        <v>-0.12634322324312922</v>
      </c>
      <c r="DI5" s="21">
        <f t="shared" si="16"/>
        <v>-0.66230831346017827</v>
      </c>
      <c r="DJ5" s="21">
        <f t="shared" si="17"/>
        <v>-0.25533523345151954</v>
      </c>
      <c r="DK5" s="21">
        <f t="shared" si="18"/>
        <v>-0.41883616666110207</v>
      </c>
      <c r="DL5" s="21">
        <f t="shared" si="19"/>
        <v>-5.7125179883019267E-3</v>
      </c>
      <c r="DM5" s="21">
        <f t="shared" si="20"/>
        <v>-0.63110653017080121</v>
      </c>
      <c r="DN5" s="21">
        <f t="shared" si="21"/>
        <v>-0.22174530161641201</v>
      </c>
      <c r="DO5" s="21">
        <f t="shared" si="22"/>
        <v>-1.1738637846185278</v>
      </c>
      <c r="DP5" s="21">
        <f t="shared" si="23"/>
        <v>-0.77019720308344086</v>
      </c>
      <c r="DQ5" s="21">
        <f t="shared" si="24"/>
        <v>6.9293364229150708E-2</v>
      </c>
      <c r="DR5" s="21">
        <f t="shared" si="25"/>
        <v>0.47834855346334626</v>
      </c>
      <c r="DS5" s="21">
        <f t="shared" si="26"/>
        <v>-0.40814188675301744</v>
      </c>
      <c r="DT5" s="21">
        <f t="shared" si="27"/>
        <v>0.40814188675301744</v>
      </c>
      <c r="DX5">
        <v>4</v>
      </c>
      <c r="DY5" s="9">
        <f t="shared" si="4"/>
        <v>9.9563725189341596</v>
      </c>
      <c r="EM5" s="11">
        <v>4</v>
      </c>
      <c r="EN5" s="8">
        <f t="shared" si="28"/>
        <v>-0.49284303916643979</v>
      </c>
      <c r="EO5" s="8">
        <f t="shared" si="5"/>
        <v>-3.7580922683379052</v>
      </c>
      <c r="EP5" s="8">
        <f t="shared" si="29"/>
        <v>0.51584960182478246</v>
      </c>
      <c r="EQ5" s="8">
        <f t="shared" si="30"/>
        <v>1.4164708742583263</v>
      </c>
      <c r="ER5" s="8">
        <f t="shared" si="31"/>
        <v>-0.41922831357349966</v>
      </c>
      <c r="ES5" s="8">
        <f t="shared" si="32"/>
        <v>1.2812417496817123</v>
      </c>
      <c r="ET5" s="8">
        <f t="shared" si="33"/>
        <v>5.642807914465406</v>
      </c>
      <c r="EU5" s="8">
        <f t="shared" si="34"/>
        <v>-4.3135646044687528</v>
      </c>
      <c r="EW5" s="15">
        <f>LARGE($EN$2:$EU$2,4)</f>
        <v>0.34423142939751905</v>
      </c>
      <c r="EX5" s="14" t="str">
        <f>INDEX(EN1:EU1,MATCH(EW5,EN2:EU2,0))</f>
        <v>GBP</v>
      </c>
      <c r="FK5" s="10"/>
      <c r="FL5" s="10"/>
    </row>
    <row r="6" spans="1:170" ht="18.600000000000001" thickBot="1" x14ac:dyDescent="0.4">
      <c r="A6" s="12" t="s">
        <v>50</v>
      </c>
      <c r="B6" s="13">
        <v>4</v>
      </c>
      <c r="C6" s="30">
        <f>RTD("fxbluelabs.excelrtd", , "21422436","@bh,AUDUSD,h1,close,4")</f>
        <v>0.67296999999999996</v>
      </c>
      <c r="D6" s="31">
        <f>RTD("fxbluelabs.excelrtd", , "21422436","@bh,AUDNZD,h1,close,4")</f>
        <v>1.09693</v>
      </c>
      <c r="E6" s="32">
        <f>RTD("fxbluelabs.excelrtd", , "21422436","@bh,AUDJPY,h1,close,4")</f>
        <v>98.572999999999993</v>
      </c>
      <c r="F6" s="31">
        <f>RTD("fxbluelabs.excelrtd", , "21422436","@bh,AUDCHF,h1,close,4")</f>
        <v>0.57876000000000005</v>
      </c>
      <c r="G6" s="31">
        <f>RTD("fxbluelabs.excelrtd", , "21422436","@bh,AUDCAD,h1,close,4")</f>
        <v>0.91622000000000003</v>
      </c>
      <c r="H6" s="31">
        <f>RTD("fxbluelabs.excelrtd", , "21422436","@bh,EURUSD,h1,close,4")</f>
        <v>1.10758</v>
      </c>
      <c r="I6" s="31">
        <f>RTD("fxbluelabs.excelrtd", , "21422436","@bh,EURCAD,h1,close,4")</f>
        <v>1.5079199999999999</v>
      </c>
      <c r="J6" s="31">
        <f>RTD("fxbluelabs.excelrtd", , "21422436","@bh,EURGBP,h1,close,4")</f>
        <v>0.85167000000000004</v>
      </c>
      <c r="K6" s="31">
        <f>RTD("fxbluelabs.excelrtd", , "21422436","@bh,EURCHF,h1,close,4")</f>
        <v>0.95252000000000003</v>
      </c>
      <c r="L6" s="32">
        <f>RTD("fxbluelabs.excelrtd", , "21422436","@bh,EURJPY,h1,close,4")</f>
        <v>162.23400000000001</v>
      </c>
      <c r="M6" s="31">
        <f>RTD("fxbluelabs.excelrtd", , "21422436","@bh,EURAUD,h1,close,4")</f>
        <v>1.64581</v>
      </c>
      <c r="N6" s="31">
        <f>RTD("fxbluelabs.excelrtd", , "21422436","@bh,EURNZD,h1,close,4")</f>
        <v>1.80535</v>
      </c>
      <c r="O6" s="31">
        <f>RTD("fxbluelabs.excelrtd", , "21422436","@bh,GBPUSD,h1,close,4")</f>
        <v>1.3004500000000001</v>
      </c>
      <c r="P6" s="31">
        <f>RTD("fxbluelabs.excelrtd", , "21422436","@bh,GBPAUD,h1,close,4")</f>
        <v>1.93242</v>
      </c>
      <c r="Q6" s="31">
        <f>RTD("fxbluelabs.excelrtd", , "21422436","@bh,GBPNZD,h1,close,4")</f>
        <v>2.1197400000000002</v>
      </c>
      <c r="R6" s="31">
        <f>RTD("fxbluelabs.excelrtd", , "21422436","@bh,GBPCAD,h1,close,4")</f>
        <v>1.7705200000000001</v>
      </c>
      <c r="S6" s="31">
        <f>RTD("fxbluelabs.excelrtd", , "21422436","@bh,GBPCHF,h1,close,4")</f>
        <v>1.11843</v>
      </c>
      <c r="T6" s="32">
        <f>RTD("fxbluelabs.excelrtd", , "21422436","@bh,GBPJPY,h1,close,4")</f>
        <v>190.48599999999999</v>
      </c>
      <c r="U6" s="32">
        <f>RTD("fxbluelabs.excelrtd", , "21422436","@bh,NZDJPY,h1,close,4")</f>
        <v>89.861000000000004</v>
      </c>
      <c r="V6" s="31">
        <f>RTD("fxbluelabs.excelrtd", , "21422436","@bh,NZDCHF,h1,close,4")</f>
        <v>0.52761000000000002</v>
      </c>
      <c r="W6" s="31">
        <f>RTD("fxbluelabs.excelrtd", , "21422436","@bh,NZDUSD,h1,close,4")</f>
        <v>0.61348000000000003</v>
      </c>
      <c r="X6" s="31">
        <f>RTD("fxbluelabs.excelrtd", , "21422436","@bh,NZDCAD,h1,close,4")</f>
        <v>0.83521999999999996</v>
      </c>
      <c r="Y6" s="32">
        <f>RTD("fxbluelabs.excelrtd", , "21422436","@bh,CADJPY,h1,close,4")</f>
        <v>107.587</v>
      </c>
      <c r="Z6" s="31">
        <f>RTD("fxbluelabs.excelrtd", , "21422436","@bh,CADCHF,h1,close,4")</f>
        <v>0.63168999999999997</v>
      </c>
      <c r="AA6" s="32">
        <f>RTD("fxbluelabs.excelrtd", , "21422436","@bh,CHFJPY,h1,close,4")</f>
        <v>170.315</v>
      </c>
      <c r="AB6" s="31">
        <f>RTD("fxbluelabs.excelrtd", , "21422436","@bh,USDCAD,h1,close,4")</f>
        <v>1.36151</v>
      </c>
      <c r="AC6" s="31">
        <f>RTD("fxbluelabs.excelrtd", , "21422436","@bh,USDCHF,h1,close,4")</f>
        <v>0.86002999999999996</v>
      </c>
      <c r="AD6" s="33">
        <f>RTD("fxbluelabs.excelrtd", , "21422436","@bh,USDJPY,h1,close,4")</f>
        <v>146.477</v>
      </c>
      <c r="AH6" s="23">
        <v>5</v>
      </c>
      <c r="AI6" s="41">
        <f t="shared" si="35"/>
        <v>2.2294224309619734E-2</v>
      </c>
      <c r="AJ6" s="41">
        <f t="shared" si="35"/>
        <v>4.2865220801485727E-2</v>
      </c>
      <c r="AK6" s="41">
        <f t="shared" si="35"/>
        <v>-9.1294556815649328E-3</v>
      </c>
      <c r="AL6" s="41">
        <f t="shared" si="35"/>
        <v>1.38245662542476E-2</v>
      </c>
      <c r="AM6" s="41">
        <f t="shared" si="35"/>
        <v>1.0915600576342508E-2</v>
      </c>
      <c r="AN6" s="41">
        <f t="shared" si="35"/>
        <v>-3.6101734688347799E-2</v>
      </c>
      <c r="AO6" s="41">
        <f t="shared" si="35"/>
        <v>-4.7725103404394287E-2</v>
      </c>
      <c r="AP6" s="41">
        <f t="shared" si="35"/>
        <v>-6.4537326042564055E-2</v>
      </c>
      <c r="AQ6" s="41">
        <f t="shared" si="35"/>
        <v>-3.9878266344835343E-2</v>
      </c>
      <c r="AR6" s="41">
        <f t="shared" si="35"/>
        <v>-6.2217020359133325E-2</v>
      </c>
      <c r="AS6" s="41">
        <f t="shared" si="35"/>
        <v>-5.5868296563494436E-2</v>
      </c>
      <c r="AT6" s="41">
        <f t="shared" si="35"/>
        <v>-1.4953312435617266E-2</v>
      </c>
      <c r="AU6" s="41">
        <f t="shared" si="35"/>
        <v>2.7690390665272249E-2</v>
      </c>
      <c r="AV6" s="41">
        <f t="shared" si="35"/>
        <v>8.7980333807738901E-3</v>
      </c>
      <c r="AW6" s="41">
        <f t="shared" si="35"/>
        <v>5.0031151471684396E-2</v>
      </c>
      <c r="AX6" s="41">
        <f t="shared" si="35"/>
        <v>1.6947046129870243E-2</v>
      </c>
      <c r="AY6" s="41">
        <f t="shared" si="1"/>
        <v>2.3252278276105327E-2</v>
      </c>
      <c r="AZ6" s="41">
        <f t="shared" si="1"/>
        <v>-1.5748940883800768E-3</v>
      </c>
      <c r="BA6" s="41">
        <f t="shared" si="1"/>
        <v>-5.0052276822460905E-2</v>
      </c>
      <c r="BB6" s="41">
        <f t="shared" si="1"/>
        <v>-2.6527711984846797E-2</v>
      </c>
      <c r="BC6" s="41">
        <f t="shared" si="1"/>
        <v>-1.9556714471970174E-2</v>
      </c>
      <c r="BD6" s="41">
        <f t="shared" si="1"/>
        <v>-3.3512866546984793E-2</v>
      </c>
      <c r="BE6" s="41">
        <f t="shared" si="1"/>
        <v>-1.6727847218996034E-2</v>
      </c>
      <c r="BF6" s="41">
        <f t="shared" si="1"/>
        <v>7.9159014628577187E-3</v>
      </c>
      <c r="BG6" s="41">
        <f t="shared" si="1"/>
        <v>-2.4067247411301521E-2</v>
      </c>
      <c r="BH6" s="41">
        <f t="shared" si="1"/>
        <v>-1.3218867730545791E-2</v>
      </c>
      <c r="BI6" s="41">
        <f t="shared" si="1"/>
        <v>-8.1385885362184052E-3</v>
      </c>
      <c r="BJ6" s="41">
        <f t="shared" si="1"/>
        <v>-3.0712111491781095E-2</v>
      </c>
      <c r="BN6" s="26">
        <v>5</v>
      </c>
      <c r="BO6" s="45">
        <f t="shared" si="6"/>
        <v>0.59544372202184692</v>
      </c>
      <c r="BP6" s="45">
        <f t="shared" si="2"/>
        <v>-0.48349166864287235</v>
      </c>
      <c r="BQ6" s="45">
        <f t="shared" si="3"/>
        <v>0.68234716587636346</v>
      </c>
      <c r="BR6" s="45">
        <f t="shared" si="3"/>
        <v>-1.4406378799725112E-2</v>
      </c>
      <c r="BS6" s="45">
        <f t="shared" si="3"/>
        <v>9.3132031242447302E-2</v>
      </c>
      <c r="BT6" s="45">
        <f t="shared" si="3"/>
        <v>0.35126111967525248</v>
      </c>
      <c r="BU6" s="45">
        <f t="shared" si="3"/>
        <v>-0.14822767334659384</v>
      </c>
      <c r="BV6" s="45">
        <f t="shared" si="3"/>
        <v>-6.9117357891079367E-2</v>
      </c>
      <c r="BW6" s="45">
        <f t="shared" si="3"/>
        <v>-0.25638508017389328</v>
      </c>
      <c r="BX6" s="45">
        <f t="shared" si="3"/>
        <v>0.44259772441395284</v>
      </c>
      <c r="BY6" s="45">
        <f t="shared" si="3"/>
        <v>-0.24058101169230364</v>
      </c>
      <c r="BZ6" s="45">
        <f t="shared" si="3"/>
        <v>-0.72422273829821304</v>
      </c>
      <c r="CA6" s="45">
        <f t="shared" si="3"/>
        <v>0.42344995419619924</v>
      </c>
      <c r="CB6" s="45">
        <f t="shared" si="3"/>
        <v>-0.16832696009084391</v>
      </c>
      <c r="CC6" s="45">
        <f t="shared" si="3"/>
        <v>-0.65186382815178823</v>
      </c>
      <c r="CD6" s="45">
        <f t="shared" si="3"/>
        <v>-7.5544361984321642E-2</v>
      </c>
      <c r="CE6" s="45">
        <f t="shared" si="3"/>
        <v>-0.18254491491160235</v>
      </c>
      <c r="CF6" s="45">
        <f t="shared" si="3"/>
        <v>0.51280935358560842</v>
      </c>
      <c r="CG6" s="45">
        <f t="shared" si="3"/>
        <v>1.1659488705036749</v>
      </c>
      <c r="CH6" s="45">
        <f t="shared" si="3"/>
        <v>0.47014803892932555</v>
      </c>
      <c r="CI6" s="45">
        <f t="shared" si="3"/>
        <v>1.0776911302532708</v>
      </c>
      <c r="CJ6" s="45">
        <f t="shared" si="3"/>
        <v>0.57680270467780326</v>
      </c>
      <c r="CK6" s="45">
        <f t="shared" si="3"/>
        <v>0.589251162588456</v>
      </c>
      <c r="CL6" s="45">
        <f t="shared" si="3"/>
        <v>-0.1051953156033739</v>
      </c>
      <c r="CM6" s="45">
        <f t="shared" si="3"/>
        <v>0.69555701001116643</v>
      </c>
      <c r="CN6" s="45">
        <f t="shared" si="3"/>
        <v>-0.49934293390760082</v>
      </c>
      <c r="CO6" s="45">
        <f t="shared" si="3"/>
        <v>-0.60649630690227618</v>
      </c>
      <c r="CP6" s="45">
        <f t="shared" si="3"/>
        <v>8.9091694342408323E-2</v>
      </c>
      <c r="CU6" s="23">
        <v>5</v>
      </c>
      <c r="CV6" s="24">
        <f t="shared" si="7"/>
        <v>-0.6446750173128778</v>
      </c>
      <c r="CW6" s="24">
        <f t="shared" si="8"/>
        <v>-3.4645934726140375</v>
      </c>
      <c r="CX6" s="24">
        <f t="shared" si="9"/>
        <v>0.53723608030334791</v>
      </c>
      <c r="CY6" s="24">
        <f t="shared" si="10"/>
        <v>1.2852416518693377</v>
      </c>
      <c r="CZ6" s="24">
        <f t="shared" si="11"/>
        <v>-7.2903399465669094E-2</v>
      </c>
      <c r="DA6" s="24">
        <f t="shared" si="12"/>
        <v>1.2819328434812078</v>
      </c>
      <c r="DB6" s="24">
        <f t="shared" si="13"/>
        <v>5.1501689794569483</v>
      </c>
      <c r="DC6" s="24">
        <f t="shared" si="14"/>
        <v>-4.1776029813216304</v>
      </c>
      <c r="DF6" s="18">
        <v>5</v>
      </c>
      <c r="DG6" s="19">
        <f t="shared" si="36"/>
        <v>-0.49934293390760082</v>
      </c>
      <c r="DH6" s="19">
        <f t="shared" si="15"/>
        <v>-0.14822767334659384</v>
      </c>
      <c r="DI6" s="19">
        <f t="shared" si="16"/>
        <v>-0.60649630690227618</v>
      </c>
      <c r="DJ6" s="19">
        <f t="shared" si="17"/>
        <v>-0.25638508017389328</v>
      </c>
      <c r="DK6" s="19">
        <f t="shared" si="18"/>
        <v>-0.42344995419619924</v>
      </c>
      <c r="DL6" s="19">
        <f t="shared" si="19"/>
        <v>-6.9117357891079367E-2</v>
      </c>
      <c r="DM6" s="19">
        <f t="shared" si="20"/>
        <v>-0.59544372202184692</v>
      </c>
      <c r="DN6" s="19">
        <f t="shared" si="21"/>
        <v>-0.24058101169230364</v>
      </c>
      <c r="DO6" s="19">
        <f t="shared" si="22"/>
        <v>-1.0776911302532708</v>
      </c>
      <c r="DP6" s="19">
        <f t="shared" si="23"/>
        <v>-0.72422273829821304</v>
      </c>
      <c r="DQ6" s="19">
        <f t="shared" si="24"/>
        <v>8.9091694342408323E-2</v>
      </c>
      <c r="DR6" s="19">
        <f t="shared" si="25"/>
        <v>0.44259772441395284</v>
      </c>
      <c r="DS6" s="19">
        <f t="shared" si="26"/>
        <v>-0.35126111967525248</v>
      </c>
      <c r="DT6" s="19">
        <f t="shared" si="27"/>
        <v>0.35126111967525248</v>
      </c>
      <c r="DX6">
        <v>5</v>
      </c>
      <c r="DY6" s="9">
        <f t="shared" si="4"/>
        <v>9.3277719607785787</v>
      </c>
      <c r="EM6" s="11">
        <v>5</v>
      </c>
      <c r="EN6" s="8">
        <f t="shared" si="28"/>
        <v>-0.6446750173128778</v>
      </c>
      <c r="EO6" s="8">
        <f t="shared" si="5"/>
        <v>-3.4645934726140375</v>
      </c>
      <c r="EP6" s="8">
        <f t="shared" si="29"/>
        <v>0.53723608030334791</v>
      </c>
      <c r="EQ6" s="8">
        <f t="shared" si="30"/>
        <v>1.2852416518693377</v>
      </c>
      <c r="ER6" s="8">
        <f t="shared" si="31"/>
        <v>-7.2903399465669094E-2</v>
      </c>
      <c r="ES6" s="8">
        <f t="shared" si="32"/>
        <v>1.2819328434812078</v>
      </c>
      <c r="ET6" s="8">
        <f t="shared" si="33"/>
        <v>5.1501689794569483</v>
      </c>
      <c r="EU6" s="8">
        <f t="shared" si="34"/>
        <v>-4.1776029813216304</v>
      </c>
      <c r="EW6" s="15">
        <f>LARGE($EN$2:$EU$2,5)</f>
        <v>0.28963651415426905</v>
      </c>
      <c r="EX6" s="14" t="str">
        <f>INDEX(EN1:EU1,MATCH(EW6,EN2:EU2,0))</f>
        <v>EUR</v>
      </c>
      <c r="FK6" s="10"/>
    </row>
    <row r="7" spans="1:170" ht="18.600000000000001" thickBot="1" x14ac:dyDescent="0.4">
      <c r="A7" s="12" t="s">
        <v>50</v>
      </c>
      <c r="B7" s="13">
        <v>5</v>
      </c>
      <c r="C7" s="30">
        <f>RTD("fxbluelabs.excelrtd", , "21422436","@bh,AUDUSD,h1,close,5")</f>
        <v>0.67281999999999997</v>
      </c>
      <c r="D7" s="31">
        <f>RTD("fxbluelabs.excelrtd", , "21422436","@bh,AUDNZD,h1,close,5")</f>
        <v>1.09646</v>
      </c>
      <c r="E7" s="32">
        <f>RTD("fxbluelabs.excelrtd", , "21422436","@bh,AUDJPY,h1,close,5")</f>
        <v>98.581999999999994</v>
      </c>
      <c r="F7" s="31">
        <f>RTD("fxbluelabs.excelrtd", , "21422436","@bh,AUDCHF,h1,close,5")</f>
        <v>0.57867999999999997</v>
      </c>
      <c r="G7" s="31">
        <f>RTD("fxbluelabs.excelrtd", , "21422436","@bh,AUDCAD,h1,close,5")</f>
        <v>0.91612000000000005</v>
      </c>
      <c r="H7" s="31">
        <f>RTD("fxbluelabs.excelrtd", , "21422436","@bh,EURUSD,h1,close,5")</f>
        <v>1.10798</v>
      </c>
      <c r="I7" s="31">
        <f>RTD("fxbluelabs.excelrtd", , "21422436","@bh,EURCAD,h1,close,5")</f>
        <v>1.50864</v>
      </c>
      <c r="J7" s="31">
        <f>RTD("fxbluelabs.excelrtd", , "21422436","@bh,EURGBP,h1,close,5")</f>
        <v>0.85221999999999998</v>
      </c>
      <c r="K7" s="31">
        <f>RTD("fxbluelabs.excelrtd", , "21422436","@bh,EURCHF,h1,close,5")</f>
        <v>0.95289999999999997</v>
      </c>
      <c r="L7" s="32">
        <f>RTD("fxbluelabs.excelrtd", , "21422436","@bh,EURJPY,h1,close,5")</f>
        <v>162.33500000000001</v>
      </c>
      <c r="M7" s="31">
        <f>RTD("fxbluelabs.excelrtd", , "21422436","@bh,EURAUD,h1,close,5")</f>
        <v>1.64673</v>
      </c>
      <c r="N7" s="31">
        <f>RTD("fxbluelabs.excelrtd", , "21422436","@bh,EURNZD,h1,close,5")</f>
        <v>1.80562</v>
      </c>
      <c r="O7" s="31">
        <f>RTD("fxbluelabs.excelrtd", , "21422436","@bh,GBPUSD,h1,close,5")</f>
        <v>1.30009</v>
      </c>
      <c r="P7" s="31">
        <f>RTD("fxbluelabs.excelrtd", , "21422436","@bh,GBPAUD,h1,close,5")</f>
        <v>1.93225</v>
      </c>
      <c r="Q7" s="31">
        <f>RTD("fxbluelabs.excelrtd", , "21422436","@bh,GBPNZD,h1,close,5")</f>
        <v>2.1186799999999999</v>
      </c>
      <c r="R7" s="31">
        <f>RTD("fxbluelabs.excelrtd", , "21422436","@bh,GBPCAD,h1,close,5")</f>
        <v>1.7702199999999999</v>
      </c>
      <c r="S7" s="31">
        <f>RTD("fxbluelabs.excelrtd", , "21422436","@bh,GBPCHF,h1,close,5")</f>
        <v>1.1181700000000001</v>
      </c>
      <c r="T7" s="32">
        <f>RTD("fxbluelabs.excelrtd", , "21422436","@bh,GBPJPY,h1,close,5")</f>
        <v>190.489</v>
      </c>
      <c r="U7" s="32">
        <f>RTD("fxbluelabs.excelrtd", , "21422436","@bh,NZDJPY,h1,close,5")</f>
        <v>89.906000000000006</v>
      </c>
      <c r="V7" s="31">
        <f>RTD("fxbluelabs.excelrtd", , "21422436","@bh,NZDCHF,h1,close,5")</f>
        <v>0.52775000000000005</v>
      </c>
      <c r="W7" s="31">
        <f>RTD("fxbluelabs.excelrtd", , "21422436","@bh,NZDUSD,h1,close,5")</f>
        <v>0.61360000000000003</v>
      </c>
      <c r="X7" s="31">
        <f>RTD("fxbluelabs.excelrtd", , "21422436","@bh,NZDCAD,h1,close,5")</f>
        <v>0.83550000000000002</v>
      </c>
      <c r="Y7" s="32">
        <f>RTD("fxbluelabs.excelrtd", , "21422436","@bh,CADJPY,h1,close,5")</f>
        <v>107.605</v>
      </c>
      <c r="Z7" s="31">
        <f>RTD("fxbluelabs.excelrtd", , "21422436","@bh,CADCHF,h1,close,5")</f>
        <v>0.63163999999999998</v>
      </c>
      <c r="AA7" s="32">
        <f>RTD("fxbluelabs.excelrtd", , "21422436","@bh,CHFJPY,h1,close,5")</f>
        <v>170.35599999999999</v>
      </c>
      <c r="AB7" s="31">
        <f>RTD("fxbluelabs.excelrtd", , "21422436","@bh,USDCAD,h1,close,5")</f>
        <v>1.3616900000000001</v>
      </c>
      <c r="AC7" s="31">
        <f>RTD("fxbluelabs.excelrtd", , "21422436","@bh,USDCHF,h1,close,5")</f>
        <v>0.86009999999999998</v>
      </c>
      <c r="AD7" s="33">
        <f>RTD("fxbluelabs.excelrtd", , "21422436","@bh,USDJPY,h1,close,5")</f>
        <v>146.52199999999999</v>
      </c>
      <c r="AH7" s="23">
        <v>6</v>
      </c>
      <c r="AI7" s="42">
        <f t="shared" si="35"/>
        <v>2.9734471172426925E-2</v>
      </c>
      <c r="AJ7" s="42">
        <f t="shared" si="35"/>
        <v>-4.831402291724806E-2</v>
      </c>
      <c r="AK7" s="42">
        <f t="shared" si="35"/>
        <v>4.0577005011165554E-3</v>
      </c>
      <c r="AL7" s="42">
        <f t="shared" si="35"/>
        <v>0.12804097311138923</v>
      </c>
      <c r="AM7" s="42">
        <f t="shared" si="35"/>
        <v>8.7332430898301398E-3</v>
      </c>
      <c r="AN7" s="42">
        <f t="shared" si="35"/>
        <v>-6.4039542162370761E-2</v>
      </c>
      <c r="AO7" s="42">
        <f t="shared" si="35"/>
        <v>-8.3449235048681292E-2</v>
      </c>
      <c r="AP7" s="42">
        <f t="shared" si="35"/>
        <v>-4.6914217353576849E-2</v>
      </c>
      <c r="AQ7" s="42">
        <f t="shared" si="35"/>
        <v>3.0442678535813446E-2</v>
      </c>
      <c r="AR7" s="42">
        <f t="shared" si="35"/>
        <v>-9.2931083293318839E-2</v>
      </c>
      <c r="AS7" s="42">
        <f t="shared" si="35"/>
        <v>-9.4643539668383944E-2</v>
      </c>
      <c r="AT7" s="42">
        <f t="shared" si="35"/>
        <v>-0.14102656276788422</v>
      </c>
      <c r="AU7" s="42">
        <f t="shared" si="35"/>
        <v>-1.5381184197369661E-2</v>
      </c>
      <c r="AV7" s="42">
        <f t="shared" si="35"/>
        <v>-4.603908666729039E-2</v>
      </c>
      <c r="AW7" s="42">
        <f t="shared" si="35"/>
        <v>-9.2424928323523184E-2</v>
      </c>
      <c r="AX7" s="42">
        <f t="shared" si="35"/>
        <v>-3.4447123665173926E-2</v>
      </c>
      <c r="AY7" s="42">
        <f t="shared" si="1"/>
        <v>8.2345043633925433E-2</v>
      </c>
      <c r="AZ7" s="42">
        <f t="shared" si="1"/>
        <v>-4.0930486390614827E-2</v>
      </c>
      <c r="BA7" s="42">
        <f t="shared" si="1"/>
        <v>5.119074115291173E-2</v>
      </c>
      <c r="BB7" s="42">
        <f t="shared" si="1"/>
        <v>0.17462938708882028</v>
      </c>
      <c r="BC7" s="42">
        <f t="shared" si="1"/>
        <v>7.6655847862619919E-2</v>
      </c>
      <c r="BD7" s="42">
        <f t="shared" si="1"/>
        <v>5.8681931952909598E-2</v>
      </c>
      <c r="BE7" s="42">
        <f t="shared" si="1"/>
        <v>-5.5756381782533634E-3</v>
      </c>
      <c r="BF7" s="42">
        <f t="shared" si="1"/>
        <v>0.11729275637976905</v>
      </c>
      <c r="BG7" s="42">
        <f t="shared" si="1"/>
        <v>-0.12311949626537995</v>
      </c>
      <c r="BH7" s="42">
        <f t="shared" si="1"/>
        <v>-1.9824370759786811E-2</v>
      </c>
      <c r="BI7" s="42">
        <f t="shared" si="1"/>
        <v>9.8923479778878956E-2</v>
      </c>
      <c r="BJ7" s="42">
        <f t="shared" si="1"/>
        <v>-2.52458054435457E-2</v>
      </c>
      <c r="BN7" s="26">
        <v>6</v>
      </c>
      <c r="BO7" s="46">
        <f t="shared" si="6"/>
        <v>0.57314949771222723</v>
      </c>
      <c r="BP7" s="46">
        <f t="shared" si="2"/>
        <v>-0.52635688944435821</v>
      </c>
      <c r="BQ7" s="46">
        <f t="shared" si="3"/>
        <v>0.69147662155792833</v>
      </c>
      <c r="BR7" s="46">
        <f t="shared" si="3"/>
        <v>-2.8230945053972778E-2</v>
      </c>
      <c r="BS7" s="46">
        <f t="shared" si="3"/>
        <v>8.2216430666104789E-2</v>
      </c>
      <c r="BT7" s="46">
        <f t="shared" si="3"/>
        <v>0.38736285436360041</v>
      </c>
      <c r="BU7" s="46">
        <f t="shared" si="3"/>
        <v>-0.10050256994219955</v>
      </c>
      <c r="BV7" s="46">
        <f t="shared" si="3"/>
        <v>-4.5800318485153535E-3</v>
      </c>
      <c r="BW7" s="46">
        <f t="shared" si="3"/>
        <v>-0.21650681382905784</v>
      </c>
      <c r="BX7" s="46">
        <f t="shared" si="3"/>
        <v>0.50481474477308619</v>
      </c>
      <c r="BY7" s="46">
        <f t="shared" si="3"/>
        <v>-0.18471271512880927</v>
      </c>
      <c r="BZ7" s="46">
        <f t="shared" si="3"/>
        <v>-0.709269425862596</v>
      </c>
      <c r="CA7" s="46">
        <f t="shared" si="3"/>
        <v>0.39575956353092701</v>
      </c>
      <c r="CB7" s="46">
        <f t="shared" si="3"/>
        <v>-0.17712499347161781</v>
      </c>
      <c r="CC7" s="46">
        <f t="shared" si="3"/>
        <v>-0.70189497962347258</v>
      </c>
      <c r="CD7" s="46">
        <f t="shared" si="3"/>
        <v>-9.2491408114191903E-2</v>
      </c>
      <c r="CE7" s="46">
        <f t="shared" si="3"/>
        <v>-0.20579719318770773</v>
      </c>
      <c r="CF7" s="46">
        <f t="shared" si="3"/>
        <v>0.51438424767398849</v>
      </c>
      <c r="CG7" s="46">
        <f t="shared" si="3"/>
        <v>1.2160011473261356</v>
      </c>
      <c r="CH7" s="46">
        <f t="shared" si="3"/>
        <v>0.49667575091417238</v>
      </c>
      <c r="CI7" s="46">
        <f t="shared" si="3"/>
        <v>1.0972478447252407</v>
      </c>
      <c r="CJ7" s="46">
        <f t="shared" si="3"/>
        <v>0.61031557122478797</v>
      </c>
      <c r="CK7" s="46">
        <f t="shared" si="3"/>
        <v>0.60597900980745201</v>
      </c>
      <c r="CL7" s="46">
        <f t="shared" si="3"/>
        <v>-0.11311121706623159</v>
      </c>
      <c r="CM7" s="46">
        <f t="shared" si="3"/>
        <v>0.71962425742246794</v>
      </c>
      <c r="CN7" s="46">
        <f t="shared" si="3"/>
        <v>-0.486124066177055</v>
      </c>
      <c r="CO7" s="46">
        <f t="shared" si="3"/>
        <v>-0.59835771836605778</v>
      </c>
      <c r="CP7" s="46">
        <f t="shared" si="3"/>
        <v>0.11980380583418944</v>
      </c>
      <c r="CU7" s="23">
        <v>6</v>
      </c>
      <c r="CV7" s="25">
        <f t="shared" si="7"/>
        <v>-0.3233939574744914</v>
      </c>
      <c r="CW7" s="25">
        <f t="shared" si="8"/>
        <v>-3.4181977390409184</v>
      </c>
      <c r="CX7" s="25">
        <f t="shared" si="9"/>
        <v>0.47945383508377398</v>
      </c>
      <c r="CY7" s="25">
        <f t="shared" si="10"/>
        <v>1.2718411769450915</v>
      </c>
      <c r="CZ7" s="25">
        <f t="shared" si="11"/>
        <v>-0.26258473134355914</v>
      </c>
      <c r="DA7" s="25">
        <f t="shared" si="12"/>
        <v>1.1540924240383563</v>
      </c>
      <c r="DB7" s="25">
        <f t="shared" si="13"/>
        <v>5.3577616091207627</v>
      </c>
      <c r="DC7" s="25">
        <f t="shared" si="14"/>
        <v>-4.3720838343952479</v>
      </c>
      <c r="DF7" s="20">
        <v>6</v>
      </c>
      <c r="DG7" s="21">
        <f t="shared" si="36"/>
        <v>-0.486124066177055</v>
      </c>
      <c r="DH7" s="21">
        <f t="shared" si="15"/>
        <v>-0.10050256994219955</v>
      </c>
      <c r="DI7" s="21">
        <f t="shared" si="16"/>
        <v>-0.59835771836605778</v>
      </c>
      <c r="DJ7" s="21">
        <f t="shared" si="17"/>
        <v>-0.21650681382905784</v>
      </c>
      <c r="DK7" s="21">
        <f t="shared" si="18"/>
        <v>-0.39575956353092701</v>
      </c>
      <c r="DL7" s="21">
        <f t="shared" si="19"/>
        <v>-4.5800318485153535E-3</v>
      </c>
      <c r="DM7" s="21">
        <f t="shared" si="20"/>
        <v>-0.57314949771222723</v>
      </c>
      <c r="DN7" s="21">
        <f t="shared" si="21"/>
        <v>-0.18471271512880927</v>
      </c>
      <c r="DO7" s="21">
        <f t="shared" si="22"/>
        <v>-1.0972478447252407</v>
      </c>
      <c r="DP7" s="21">
        <f t="shared" si="23"/>
        <v>-0.709269425862596</v>
      </c>
      <c r="DQ7" s="21">
        <f t="shared" si="24"/>
        <v>0.11980380583418944</v>
      </c>
      <c r="DR7" s="21">
        <f t="shared" si="25"/>
        <v>0.50481474477308619</v>
      </c>
      <c r="DS7" s="21">
        <f t="shared" si="26"/>
        <v>-0.38736285436360041</v>
      </c>
      <c r="DT7" s="21">
        <f t="shared" si="27"/>
        <v>0.38736285436360041</v>
      </c>
      <c r="DX7">
        <v>6</v>
      </c>
      <c r="DY7" s="9">
        <f t="shared" si="4"/>
        <v>9.7298454435160107</v>
      </c>
      <c r="EM7" s="7">
        <v>6</v>
      </c>
      <c r="EN7" s="8">
        <f t="shared" si="28"/>
        <v>-0.3233939574744914</v>
      </c>
      <c r="EO7" s="8">
        <f t="shared" si="5"/>
        <v>-3.4181977390409184</v>
      </c>
      <c r="EP7" s="8">
        <f t="shared" si="29"/>
        <v>0.47945383508377398</v>
      </c>
      <c r="EQ7" s="8">
        <f t="shared" si="30"/>
        <v>1.2718411769450915</v>
      </c>
      <c r="ER7" s="8">
        <f t="shared" si="31"/>
        <v>-0.26258473134355914</v>
      </c>
      <c r="ES7" s="8">
        <f t="shared" si="32"/>
        <v>1.1540924240383563</v>
      </c>
      <c r="ET7" s="8">
        <f t="shared" si="33"/>
        <v>5.3577616091207627</v>
      </c>
      <c r="EU7" s="8">
        <f t="shared" si="34"/>
        <v>-4.3720838343952479</v>
      </c>
      <c r="EW7" s="15">
        <f>LARGE($EN$2:$EU$2,6)</f>
        <v>-1.3274733639075735</v>
      </c>
      <c r="EX7" s="14" t="str">
        <f>INDEX(EN1:EU1,MATCH(EW7,EN2:EU2,0))</f>
        <v>CAD</v>
      </c>
      <c r="FK7" s="10"/>
      <c r="FL7" s="10"/>
    </row>
    <row r="8" spans="1:170" ht="18.600000000000001" thickBot="1" x14ac:dyDescent="0.4">
      <c r="A8" s="12" t="s">
        <v>50</v>
      </c>
      <c r="B8" s="13">
        <v>6</v>
      </c>
      <c r="C8" s="30">
        <f>RTD("fxbluelabs.excelrtd", , "21422436","@bh,AUDUSD,h1,close,6")</f>
        <v>0.67262</v>
      </c>
      <c r="D8" s="31">
        <f>RTD("fxbluelabs.excelrtd", , "21422436","@bh,AUDNZD,h1,close,6")</f>
        <v>1.0969899999999999</v>
      </c>
      <c r="E8" s="32">
        <f>RTD("fxbluelabs.excelrtd", , "21422436","@bh,AUDJPY,h1,close,6")</f>
        <v>98.578000000000003</v>
      </c>
      <c r="F8" s="31">
        <f>RTD("fxbluelabs.excelrtd", , "21422436","@bh,AUDCHF,h1,close,6")</f>
        <v>0.57794000000000001</v>
      </c>
      <c r="G8" s="31">
        <f>RTD("fxbluelabs.excelrtd", , "21422436","@bh,AUDCAD,h1,close,6")</f>
        <v>0.91603999999999997</v>
      </c>
      <c r="H8" s="31">
        <f>RTD("fxbluelabs.excelrtd", , "21422436","@bh,EURUSD,h1,close,6")</f>
        <v>1.10869</v>
      </c>
      <c r="I8" s="31">
        <f>RTD("fxbluelabs.excelrtd", , "21422436","@bh,EURCAD,h1,close,6")</f>
        <v>1.5099</v>
      </c>
      <c r="J8" s="31">
        <f>RTD("fxbluelabs.excelrtd", , "21422436","@bh,EURGBP,h1,close,6")</f>
        <v>0.85262000000000004</v>
      </c>
      <c r="K8" s="31">
        <f>RTD("fxbluelabs.excelrtd", , "21422436","@bh,EURCHF,h1,close,6")</f>
        <v>0.95260999999999996</v>
      </c>
      <c r="L8" s="32">
        <f>RTD("fxbluelabs.excelrtd", , "21422436","@bh,EURJPY,h1,close,6")</f>
        <v>162.48599999999999</v>
      </c>
      <c r="M8" s="31">
        <f>RTD("fxbluelabs.excelrtd", , "21422436","@bh,EURAUD,h1,close,6")</f>
        <v>1.64829</v>
      </c>
      <c r="N8" s="31">
        <f>RTD("fxbluelabs.excelrtd", , "21422436","@bh,EURNZD,h1,close,6")</f>
        <v>1.8081700000000001</v>
      </c>
      <c r="O8" s="31">
        <f>RTD("fxbluelabs.excelrtd", , "21422436","@bh,GBPUSD,h1,close,6")</f>
        <v>1.3002899999999999</v>
      </c>
      <c r="P8" s="31">
        <f>RTD("fxbluelabs.excelrtd", , "21422436","@bh,GBPAUD,h1,close,6")</f>
        <v>1.9331400000000001</v>
      </c>
      <c r="Q8" s="31">
        <f>RTD("fxbluelabs.excelrtd", , "21422436","@bh,GBPNZD,h1,close,6")</f>
        <v>2.1206399999999999</v>
      </c>
      <c r="R8" s="31">
        <f>RTD("fxbluelabs.excelrtd", , "21422436","@bh,GBPCAD,h1,close,6")</f>
        <v>1.7708299999999999</v>
      </c>
      <c r="S8" s="31">
        <f>RTD("fxbluelabs.excelrtd", , "21422436","@bh,GBPCHF,h1,close,6")</f>
        <v>1.1172500000000001</v>
      </c>
      <c r="T8" s="32">
        <f>RTD("fxbluelabs.excelrtd", , "21422436","@bh,GBPJPY,h1,close,6")</f>
        <v>190.56700000000001</v>
      </c>
      <c r="U8" s="32">
        <f>RTD("fxbluelabs.excelrtd", , "21422436","@bh,NZDJPY,h1,close,6")</f>
        <v>89.86</v>
      </c>
      <c r="V8" s="31">
        <f>RTD("fxbluelabs.excelrtd", , "21422436","@bh,NZDCHF,h1,close,6")</f>
        <v>0.52683000000000002</v>
      </c>
      <c r="W8" s="31">
        <f>RTD("fxbluelabs.excelrtd", , "21422436","@bh,NZDUSD,h1,close,6")</f>
        <v>0.61312999999999995</v>
      </c>
      <c r="X8" s="31">
        <f>RTD("fxbluelabs.excelrtd", , "21422436","@bh,NZDCAD,h1,close,6")</f>
        <v>0.83501000000000003</v>
      </c>
      <c r="Y8" s="32">
        <f>RTD("fxbluelabs.excelrtd", , "21422436","@bh,CADJPY,h1,close,6")</f>
        <v>107.611</v>
      </c>
      <c r="Z8" s="31">
        <f>RTD("fxbluelabs.excelrtd", , "21422436","@bh,CADCHF,h1,close,6")</f>
        <v>0.63090000000000002</v>
      </c>
      <c r="AA8" s="32">
        <f>RTD("fxbluelabs.excelrtd", , "21422436","@bh,CHFJPY,h1,close,6")</f>
        <v>170.566</v>
      </c>
      <c r="AB8" s="31">
        <f>RTD("fxbluelabs.excelrtd", , "21422436","@bh,USDCAD,h1,close,6")</f>
        <v>1.3619600000000001</v>
      </c>
      <c r="AC8" s="31">
        <f>RTD("fxbluelabs.excelrtd", , "21422436","@bh,USDCHF,h1,close,6")</f>
        <v>0.85924999999999996</v>
      </c>
      <c r="AD8" s="33">
        <f>RTD("fxbluelabs.excelrtd", , "21422436","@bh,USDJPY,h1,close,6")</f>
        <v>146.559</v>
      </c>
      <c r="AH8" s="23">
        <v>7</v>
      </c>
      <c r="AI8" s="41">
        <f t="shared" si="35"/>
        <v>-4.6067198668514178E-2</v>
      </c>
      <c r="AJ8" s="41">
        <f t="shared" si="35"/>
        <v>-0.10108369001003245</v>
      </c>
      <c r="AK8" s="41">
        <f t="shared" si="35"/>
        <v>-0.37896779279051668</v>
      </c>
      <c r="AL8" s="41">
        <f t="shared" si="35"/>
        <v>-0.31048401007348531</v>
      </c>
      <c r="AM8" s="41">
        <f t="shared" si="35"/>
        <v>-9.9242052456521873E-2</v>
      </c>
      <c r="AN8" s="41">
        <f t="shared" si="35"/>
        <v>5.1438472367609955E-2</v>
      </c>
      <c r="AO8" s="41">
        <f t="shared" si="35"/>
        <v>-1.9868470723791495E-3</v>
      </c>
      <c r="AP8" s="41">
        <f t="shared" si="35"/>
        <v>-1.2899745523195323E-2</v>
      </c>
      <c r="AQ8" s="41">
        <f t="shared" si="35"/>
        <v>-0.21473613642553332</v>
      </c>
      <c r="AR8" s="41">
        <f t="shared" si="35"/>
        <v>-0.28107816182246564</v>
      </c>
      <c r="AS8" s="41">
        <f t="shared" si="35"/>
        <v>9.7164615076307373E-2</v>
      </c>
      <c r="AT8" s="41">
        <f t="shared" si="35"/>
        <v>-3.8711675441321113E-3</v>
      </c>
      <c r="AU8" s="41">
        <f t="shared" si="35"/>
        <v>6.1562613025103068E-2</v>
      </c>
      <c r="AV8" s="41">
        <f t="shared" si="35"/>
        <v>0.10667605692152438</v>
      </c>
      <c r="AW8" s="41">
        <f t="shared" si="35"/>
        <v>5.6589893045054032E-3</v>
      </c>
      <c r="AX8" s="41">
        <f t="shared" si="35"/>
        <v>7.3417292596127792E-3</v>
      </c>
      <c r="AY8" s="41">
        <f t="shared" si="1"/>
        <v>-0.20454829662181817</v>
      </c>
      <c r="AZ8" s="41">
        <f t="shared" si="1"/>
        <v>-0.27160545513538692</v>
      </c>
      <c r="BA8" s="41">
        <f t="shared" si="1"/>
        <v>-0.27633199791363267</v>
      </c>
      <c r="BB8" s="41">
        <f t="shared" si="1"/>
        <v>-0.20836095694504761</v>
      </c>
      <c r="BC8" s="41">
        <f t="shared" si="1"/>
        <v>5.548393413730756E-2</v>
      </c>
      <c r="BD8" s="41">
        <f t="shared" si="1"/>
        <v>3.5929004287497293E-3</v>
      </c>
      <c r="BE8" s="41">
        <f t="shared" si="1"/>
        <v>-0.27985506843475066</v>
      </c>
      <c r="BF8" s="41">
        <f t="shared" si="1"/>
        <v>-0.2119448310768075</v>
      </c>
      <c r="BG8" s="41">
        <f t="shared" si="1"/>
        <v>-6.7377153871848117E-2</v>
      </c>
      <c r="BH8" s="41">
        <f t="shared" si="1"/>
        <v>-5.2837056388868403E-2</v>
      </c>
      <c r="BI8" s="41">
        <f t="shared" si="1"/>
        <v>-0.26464545633931025</v>
      </c>
      <c r="BJ8" s="41">
        <f t="shared" si="1"/>
        <v>-0.33322225924692389</v>
      </c>
      <c r="BN8" s="26">
        <v>7</v>
      </c>
      <c r="BO8" s="45">
        <f t="shared" si="6"/>
        <v>0.54341502653980034</v>
      </c>
      <c r="BP8" s="45">
        <f t="shared" si="2"/>
        <v>-0.47804286652711026</v>
      </c>
      <c r="BQ8" s="45">
        <f t="shared" si="3"/>
        <v>0.68741892105681179</v>
      </c>
      <c r="BR8" s="45">
        <f t="shared" si="3"/>
        <v>-0.1562719181653619</v>
      </c>
      <c r="BS8" s="45">
        <f t="shared" si="3"/>
        <v>7.3483187576274672E-2</v>
      </c>
      <c r="BT8" s="45">
        <f t="shared" si="3"/>
        <v>0.45140239652597108</v>
      </c>
      <c r="BU8" s="45">
        <f t="shared" si="3"/>
        <v>-1.7053334893518277E-2</v>
      </c>
      <c r="BV8" s="45">
        <f t="shared" si="3"/>
        <v>4.2334185505061482E-2</v>
      </c>
      <c r="BW8" s="45">
        <f t="shared" si="3"/>
        <v>-0.24694949236487135</v>
      </c>
      <c r="BX8" s="45">
        <f t="shared" si="3"/>
        <v>0.59774582806640519</v>
      </c>
      <c r="BY8" s="45">
        <f t="shared" si="3"/>
        <v>-9.0069175460425296E-2</v>
      </c>
      <c r="BZ8" s="45">
        <f t="shared" si="3"/>
        <v>-0.56824286309471161</v>
      </c>
      <c r="CA8" s="45">
        <f t="shared" si="3"/>
        <v>0.41114074772829667</v>
      </c>
      <c r="CB8" s="45">
        <f t="shared" si="3"/>
        <v>-0.13108590680432741</v>
      </c>
      <c r="CC8" s="45">
        <f t="shared" si="3"/>
        <v>-0.60947005129994947</v>
      </c>
      <c r="CD8" s="45">
        <f t="shared" si="3"/>
        <v>-5.8044284449017977E-2</v>
      </c>
      <c r="CE8" s="45">
        <f t="shared" si="3"/>
        <v>-0.28814223682163315</v>
      </c>
      <c r="CF8" s="45">
        <f t="shared" si="3"/>
        <v>0.55531473406460319</v>
      </c>
      <c r="CG8" s="45">
        <f t="shared" si="3"/>
        <v>1.1648104061732236</v>
      </c>
      <c r="CH8" s="45">
        <f t="shared" si="3"/>
        <v>0.32204636382535212</v>
      </c>
      <c r="CI8" s="45">
        <f t="shared" si="3"/>
        <v>1.0205919968626209</v>
      </c>
      <c r="CJ8" s="45">
        <f t="shared" si="3"/>
        <v>0.55163363927187836</v>
      </c>
      <c r="CK8" s="45">
        <f t="shared" si="3"/>
        <v>0.61155464798570525</v>
      </c>
      <c r="CL8" s="45">
        <f t="shared" si="3"/>
        <v>-0.23040397344600069</v>
      </c>
      <c r="CM8" s="45">
        <f t="shared" si="3"/>
        <v>0.84274375368784793</v>
      </c>
      <c r="CN8" s="45">
        <f t="shared" si="3"/>
        <v>-0.46629969541726812</v>
      </c>
      <c r="CO8" s="45">
        <f t="shared" si="3"/>
        <v>-0.69728119814493672</v>
      </c>
      <c r="CP8" s="45">
        <f t="shared" si="3"/>
        <v>0.14504961127773508</v>
      </c>
      <c r="CU8" s="23">
        <v>7</v>
      </c>
      <c r="CV8" s="24">
        <f t="shared" si="7"/>
        <v>0.16916754428391123</v>
      </c>
      <c r="CW8" s="24">
        <f>CN8+CO8+CP8-CI8-CA8-BT8-BO8</f>
        <v>-3.4450814499411582</v>
      </c>
      <c r="CX8" s="24">
        <f t="shared" si="9"/>
        <v>0.29743116245135592</v>
      </c>
      <c r="CY8" s="24">
        <f t="shared" si="10"/>
        <v>1.9093422353592988</v>
      </c>
      <c r="CZ8" s="24">
        <f t="shared" si="11"/>
        <v>-0.1626211830870897</v>
      </c>
      <c r="DA8" s="24">
        <f t="shared" si="12"/>
        <v>0.89115743274516734</v>
      </c>
      <c r="DB8" s="24">
        <f t="shared" si="13"/>
        <v>4.7148381870548466</v>
      </c>
      <c r="DC8" s="24">
        <f t="shared" si="14"/>
        <v>-4.6046379023123318</v>
      </c>
      <c r="DF8" s="18">
        <v>7</v>
      </c>
      <c r="DG8" s="19">
        <f t="shared" si="36"/>
        <v>-0.46629969541726812</v>
      </c>
      <c r="DH8" s="19">
        <f t="shared" si="15"/>
        <v>-1.7053334893518277E-2</v>
      </c>
      <c r="DI8" s="19">
        <f t="shared" si="16"/>
        <v>-0.69728119814493672</v>
      </c>
      <c r="DJ8" s="19">
        <f t="shared" si="17"/>
        <v>-0.24694949236487135</v>
      </c>
      <c r="DK8" s="19">
        <f t="shared" si="18"/>
        <v>-0.41114074772829667</v>
      </c>
      <c r="DL8" s="19">
        <f t="shared" si="19"/>
        <v>4.2334185505061482E-2</v>
      </c>
      <c r="DM8" s="19">
        <f t="shared" si="20"/>
        <v>-0.54341502653980034</v>
      </c>
      <c r="DN8" s="19">
        <f t="shared" si="21"/>
        <v>-9.0069175460425296E-2</v>
      </c>
      <c r="DO8" s="19">
        <f t="shared" si="22"/>
        <v>-1.0205919968626209</v>
      </c>
      <c r="DP8" s="19">
        <f t="shared" si="23"/>
        <v>-0.56824286309471161</v>
      </c>
      <c r="DQ8" s="19">
        <f t="shared" si="24"/>
        <v>0.14504961127773508</v>
      </c>
      <c r="DR8" s="19">
        <f t="shared" si="25"/>
        <v>0.59774582806640519</v>
      </c>
      <c r="DS8" s="19">
        <f t="shared" si="26"/>
        <v>-0.45140239652597108</v>
      </c>
      <c r="DT8" s="19">
        <f t="shared" si="27"/>
        <v>0.45140239652597108</v>
      </c>
      <c r="DX8">
        <v>7</v>
      </c>
      <c r="DY8" s="9">
        <f t="shared" si="4"/>
        <v>9.3194760893671784</v>
      </c>
      <c r="EM8" s="11">
        <v>7</v>
      </c>
      <c r="EN8" s="8">
        <f t="shared" si="28"/>
        <v>0.16916754428391123</v>
      </c>
      <c r="EO8" s="8">
        <f t="shared" si="5"/>
        <v>-3.4450814499411582</v>
      </c>
      <c r="EP8" s="8">
        <f t="shared" si="29"/>
        <v>0.29743116245135592</v>
      </c>
      <c r="EQ8" s="8">
        <f t="shared" si="30"/>
        <v>1.9093422353592988</v>
      </c>
      <c r="ER8" s="8">
        <f t="shared" si="31"/>
        <v>-0.1626211830870897</v>
      </c>
      <c r="ES8" s="8">
        <f t="shared" si="32"/>
        <v>0.89115743274516734</v>
      </c>
      <c r="ET8" s="8">
        <f t="shared" si="33"/>
        <v>4.7148381870548466</v>
      </c>
      <c r="EU8" s="8">
        <f t="shared" si="34"/>
        <v>-4.6046379023123318</v>
      </c>
      <c r="EW8" s="15">
        <f>LARGE($EN$2:$EU$2,7)</f>
        <v>-3.5395231781306986</v>
      </c>
      <c r="EX8" s="14" t="str">
        <f>INDEX(EN1:EU1,MATCH(EW8,EN2:EU2,0))</f>
        <v>JPY</v>
      </c>
      <c r="FK8" s="10"/>
      <c r="FL8" s="10"/>
    </row>
    <row r="9" spans="1:170" ht="18.600000000000001" thickBot="1" x14ac:dyDescent="0.4">
      <c r="A9" s="12" t="s">
        <v>50</v>
      </c>
      <c r="B9" s="13">
        <v>7</v>
      </c>
      <c r="C9" s="30">
        <f>RTD("fxbluelabs.excelrtd", , "21422436","@bh,AUDUSD,h1,close,7")</f>
        <v>0.67293000000000003</v>
      </c>
      <c r="D9" s="31">
        <f>RTD("fxbluelabs.excelrtd", , "21422436","@bh,AUDNZD,h1,close,7")</f>
        <v>1.0981000000000001</v>
      </c>
      <c r="E9" s="32">
        <f>RTD("fxbluelabs.excelrtd", , "21422436","@bh,AUDJPY,h1,close,7")</f>
        <v>98.953000000000003</v>
      </c>
      <c r="F9" s="31">
        <f>RTD("fxbluelabs.excelrtd", , "21422436","@bh,AUDCHF,h1,close,7")</f>
        <v>0.57974000000000003</v>
      </c>
      <c r="G9" s="31">
        <f>RTD("fxbluelabs.excelrtd", , "21422436","@bh,AUDCAD,h1,close,7")</f>
        <v>0.91695000000000004</v>
      </c>
      <c r="H9" s="31">
        <f>RTD("fxbluelabs.excelrtd", , "21422436","@bh,EURUSD,h1,close,7")</f>
        <v>1.10812</v>
      </c>
      <c r="I9" s="31">
        <f>RTD("fxbluelabs.excelrtd", , "21422436","@bh,EURCAD,h1,close,7")</f>
        <v>1.50993</v>
      </c>
      <c r="J9" s="31">
        <f>RTD("fxbluelabs.excelrtd", , "21422436","@bh,EURGBP,h1,close,7")</f>
        <v>0.85272999999999999</v>
      </c>
      <c r="K9" s="31">
        <f>RTD("fxbluelabs.excelrtd", , "21422436","@bh,EURCHF,h1,close,7")</f>
        <v>0.95465999999999995</v>
      </c>
      <c r="L9" s="32">
        <f>RTD("fxbluelabs.excelrtd", , "21422436","@bh,EURJPY,h1,close,7")</f>
        <v>162.94399999999999</v>
      </c>
      <c r="M9" s="31">
        <f>RTD("fxbluelabs.excelrtd", , "21422436","@bh,EURAUD,h1,close,7")</f>
        <v>1.64669</v>
      </c>
      <c r="N9" s="31">
        <f>RTD("fxbluelabs.excelrtd", , "21422436","@bh,EURNZD,h1,close,7")</f>
        <v>1.8082400000000001</v>
      </c>
      <c r="O9" s="31">
        <f>RTD("fxbluelabs.excelrtd", , "21422436","@bh,GBPUSD,h1,close,7")</f>
        <v>1.29949</v>
      </c>
      <c r="P9" s="31">
        <f>RTD("fxbluelabs.excelrtd", , "21422436","@bh,GBPAUD,h1,close,7")</f>
        <v>1.9310799999999999</v>
      </c>
      <c r="Q9" s="31">
        <f>RTD("fxbluelabs.excelrtd", , "21422436","@bh,GBPNZD,h1,close,7")</f>
        <v>2.12052</v>
      </c>
      <c r="R9" s="31">
        <f>RTD("fxbluelabs.excelrtd", , "21422436","@bh,GBPCAD,h1,close,7")</f>
        <v>1.7706999999999999</v>
      </c>
      <c r="S9" s="31">
        <f>RTD("fxbluelabs.excelrtd", , "21422436","@bh,GBPCHF,h1,close,7")</f>
        <v>1.11954</v>
      </c>
      <c r="T9" s="32">
        <f>RTD("fxbluelabs.excelrtd", , "21422436","@bh,GBPJPY,h1,close,7")</f>
        <v>191.08600000000001</v>
      </c>
      <c r="U9" s="32">
        <f>RTD("fxbluelabs.excelrtd", , "21422436","@bh,NZDJPY,h1,close,7")</f>
        <v>90.108999999999995</v>
      </c>
      <c r="V9" s="31">
        <f>RTD("fxbluelabs.excelrtd", , "21422436","@bh,NZDCHF,h1,close,7")</f>
        <v>0.52793000000000001</v>
      </c>
      <c r="W9" s="31">
        <f>RTD("fxbluelabs.excelrtd", , "21422436","@bh,NZDUSD,h1,close,7")</f>
        <v>0.61278999999999995</v>
      </c>
      <c r="X9" s="31">
        <f>RTD("fxbluelabs.excelrtd", , "21422436","@bh,NZDCAD,h1,close,7")</f>
        <v>0.83498000000000006</v>
      </c>
      <c r="Y9" s="32">
        <f>RTD("fxbluelabs.excelrtd", , "21422436","@bh,CADJPY,h1,close,7")</f>
        <v>107.913</v>
      </c>
      <c r="Z9" s="31">
        <f>RTD("fxbluelabs.excelrtd", , "21422436","@bh,CADCHF,h1,close,7")</f>
        <v>0.63224000000000002</v>
      </c>
      <c r="AA9" s="32">
        <f>RTD("fxbluelabs.excelrtd", , "21422436","@bh,CHFJPY,h1,close,7")</f>
        <v>170.68100000000001</v>
      </c>
      <c r="AB9" s="31">
        <f>RTD("fxbluelabs.excelrtd", , "21422436","@bh,USDCAD,h1,close,7")</f>
        <v>1.3626799999999999</v>
      </c>
      <c r="AC9" s="31">
        <f>RTD("fxbluelabs.excelrtd", , "21422436","@bh,USDCHF,h1,close,7")</f>
        <v>0.86153000000000002</v>
      </c>
      <c r="AD9" s="33">
        <f>RTD("fxbluelabs.excelrtd", , "21422436","@bh,USDJPY,h1,close,7")</f>
        <v>147.04900000000001</v>
      </c>
      <c r="AH9" s="23">
        <v>8</v>
      </c>
      <c r="AI9" s="42">
        <f t="shared" si="35"/>
        <v>0.17416934619507032</v>
      </c>
      <c r="AJ9" s="42">
        <f t="shared" si="35"/>
        <v>4.1908093728374236E-2</v>
      </c>
      <c r="AK9" s="42">
        <f t="shared" si="35"/>
        <v>1.3139276329093622E-2</v>
      </c>
      <c r="AL9" s="42">
        <f t="shared" si="35"/>
        <v>0.12261886258052059</v>
      </c>
      <c r="AM9" s="42">
        <f t="shared" si="35"/>
        <v>9.7155208174143332E-2</v>
      </c>
      <c r="AN9" s="42">
        <f t="shared" si="35"/>
        <v>4.1528989039949525E-2</v>
      </c>
      <c r="AO9" s="42">
        <f t="shared" si="35"/>
        <v>-3.7735849056601087E-2</v>
      </c>
      <c r="AP9" s="42">
        <f t="shared" si="35"/>
        <v>-7.3825817943191555E-2</v>
      </c>
      <c r="AQ9" s="42">
        <f t="shared" si="35"/>
        <v>-7.3319158296077944E-3</v>
      </c>
      <c r="AR9" s="42">
        <f t="shared" si="35"/>
        <v>-0.1183054733138479</v>
      </c>
      <c r="AS9" s="42">
        <f t="shared" si="35"/>
        <v>-0.13221175714277478</v>
      </c>
      <c r="AT9" s="42">
        <f t="shared" si="35"/>
        <v>-9.2269781370335452E-2</v>
      </c>
      <c r="AU9" s="42">
        <f t="shared" si="35"/>
        <v>0.11556329401613702</v>
      </c>
      <c r="AV9" s="42">
        <f t="shared" si="35"/>
        <v>-5.7965013973709241E-2</v>
      </c>
      <c r="AW9" s="42">
        <f t="shared" si="35"/>
        <v>-1.7916922061380781E-2</v>
      </c>
      <c r="AX9" s="42">
        <f t="shared" si="35"/>
        <v>3.6722126493604103E-2</v>
      </c>
      <c r="AY9" s="42">
        <f t="shared" si="1"/>
        <v>6.4353515310778681E-2</v>
      </c>
      <c r="AZ9" s="42">
        <f t="shared" si="1"/>
        <v>-4.7077038958852048E-2</v>
      </c>
      <c r="BA9" s="42">
        <f t="shared" si="1"/>
        <v>-2.9954735067010987E-2</v>
      </c>
      <c r="BB9" s="42">
        <f t="shared" si="1"/>
        <v>8.1516587677732982E-2</v>
      </c>
      <c r="BC9" s="42">
        <f t="shared" si="1"/>
        <v>0.13235726657733543</v>
      </c>
      <c r="BD9" s="42">
        <f t="shared" si="1"/>
        <v>5.1524773830212867E-2</v>
      </c>
      <c r="BE9" s="42">
        <f t="shared" si="1"/>
        <v>-8.5181241609183611E-2</v>
      </c>
      <c r="BF9" s="42">
        <f t="shared" si="1"/>
        <v>2.5313251487161278E-2</v>
      </c>
      <c r="BG9" s="42">
        <f t="shared" si="1"/>
        <v>-0.11119499505474757</v>
      </c>
      <c r="BH9" s="42">
        <f t="shared" si="1"/>
        <v>-7.6994713029721232E-2</v>
      </c>
      <c r="BI9" s="42">
        <f t="shared" si="1"/>
        <v>-5.2205387595994163E-2</v>
      </c>
      <c r="BJ9" s="42">
        <f t="shared" si="1"/>
        <v>-0.16091142403215158</v>
      </c>
      <c r="BN9" s="26">
        <v>8</v>
      </c>
      <c r="BO9" s="46">
        <f t="shared" si="6"/>
        <v>0.58948222520831439</v>
      </c>
      <c r="BP9" s="46">
        <f t="shared" si="2"/>
        <v>-0.37695917651707767</v>
      </c>
      <c r="BQ9" s="46">
        <f t="shared" si="3"/>
        <v>1.0663867138473284</v>
      </c>
      <c r="BR9" s="46">
        <f>AL9+SUM(AL10:AL44)</f>
        <v>0.15421209190812335</v>
      </c>
      <c r="BS9" s="46">
        <f t="shared" si="3"/>
        <v>0.17272524003279652</v>
      </c>
      <c r="BT9" s="46">
        <f t="shared" si="3"/>
        <v>0.39996392415836113</v>
      </c>
      <c r="BU9" s="46">
        <f t="shared" si="3"/>
        <v>-1.5066487821139112E-2</v>
      </c>
      <c r="BV9" s="46">
        <f t="shared" si="3"/>
        <v>5.5233931028256841E-2</v>
      </c>
      <c r="BW9" s="46">
        <f t="shared" si="3"/>
        <v>-3.2213355939338023E-2</v>
      </c>
      <c r="BX9" s="46">
        <f t="shared" si="3"/>
        <v>0.87882398988887067</v>
      </c>
      <c r="BY9" s="46">
        <f t="shared" si="3"/>
        <v>-0.18723379053673264</v>
      </c>
      <c r="BZ9" s="46">
        <f t="shared" si="3"/>
        <v>-0.56437169555057953</v>
      </c>
      <c r="CA9" s="46">
        <f t="shared" si="3"/>
        <v>0.34957813470319365</v>
      </c>
      <c r="CB9" s="46">
        <f t="shared" si="3"/>
        <v>-0.23776196372585179</v>
      </c>
      <c r="CC9" s="46">
        <f t="shared" si="3"/>
        <v>-0.61512904060445472</v>
      </c>
      <c r="CD9" s="46">
        <f t="shared" si="3"/>
        <v>-6.538601370863073E-2</v>
      </c>
      <c r="CE9" s="46">
        <f t="shared" si="3"/>
        <v>-8.3593940199814948E-2</v>
      </c>
      <c r="CF9" s="46">
        <f t="shared" si="3"/>
        <v>0.82692018919999</v>
      </c>
      <c r="CG9" s="46">
        <f t="shared" si="3"/>
        <v>1.4411424040868561</v>
      </c>
      <c r="CH9" s="46">
        <f t="shared" si="3"/>
        <v>0.53040732077039976</v>
      </c>
      <c r="CI9" s="46">
        <f t="shared" si="3"/>
        <v>0.96510806272531324</v>
      </c>
      <c r="CJ9" s="46">
        <f t="shared" si="3"/>
        <v>0.54804073884312854</v>
      </c>
      <c r="CK9" s="46">
        <f t="shared" si="3"/>
        <v>0.89140971642045597</v>
      </c>
      <c r="CL9" s="46">
        <f t="shared" si="3"/>
        <v>-1.8459142369193202E-2</v>
      </c>
      <c r="CM9" s="46">
        <f t="shared" si="3"/>
        <v>0.91012090755969599</v>
      </c>
      <c r="CN9" s="46">
        <f t="shared" si="3"/>
        <v>-0.41346263902839975</v>
      </c>
      <c r="CO9" s="46">
        <f t="shared" si="3"/>
        <v>-0.43263574180562647</v>
      </c>
      <c r="CP9" s="46">
        <f t="shared" si="3"/>
        <v>0.47827187052465897</v>
      </c>
      <c r="CU9" s="23">
        <v>8</v>
      </c>
      <c r="CV9" s="25">
        <f t="shared" si="7"/>
        <v>0.53513651522769923</v>
      </c>
      <c r="CW9" s="25">
        <f t="shared" si="8"/>
        <v>-2.6719588571045496</v>
      </c>
      <c r="CX9" s="25">
        <f t="shared" si="9"/>
        <v>0.6460997357335071</v>
      </c>
      <c r="CY9" s="25">
        <f t="shared" si="10"/>
        <v>0.77394453282595232</v>
      </c>
      <c r="CZ9" s="25">
        <f t="shared" si="11"/>
        <v>0.11939343463617465</v>
      </c>
      <c r="DA9" s="25">
        <f t="shared" si="12"/>
        <v>2.0308428487420698</v>
      </c>
      <c r="DB9" s="25">
        <f t="shared" si="13"/>
        <v>5.041158439097809</v>
      </c>
      <c r="DC9" s="25">
        <f t="shared" si="14"/>
        <v>-6.4930757915278559</v>
      </c>
      <c r="DF9" s="20">
        <v>8</v>
      </c>
      <c r="DG9" s="21">
        <f t="shared" si="36"/>
        <v>-0.41346263902839975</v>
      </c>
      <c r="DH9" s="21">
        <f t="shared" si="15"/>
        <v>-1.5066487821139112E-2</v>
      </c>
      <c r="DI9" s="21">
        <f t="shared" si="16"/>
        <v>-0.43263574180562647</v>
      </c>
      <c r="DJ9" s="21">
        <f t="shared" si="17"/>
        <v>-3.2213355939338023E-2</v>
      </c>
      <c r="DK9" s="21">
        <f t="shared" si="18"/>
        <v>-0.34957813470319365</v>
      </c>
      <c r="DL9" s="21">
        <f t="shared" si="19"/>
        <v>5.5233931028256841E-2</v>
      </c>
      <c r="DM9" s="21">
        <f t="shared" si="20"/>
        <v>-0.58948222520831439</v>
      </c>
      <c r="DN9" s="21">
        <f t="shared" si="21"/>
        <v>-0.18723379053673264</v>
      </c>
      <c r="DO9" s="21">
        <f t="shared" si="22"/>
        <v>-0.96510806272531324</v>
      </c>
      <c r="DP9" s="21">
        <f t="shared" si="23"/>
        <v>-0.56437169555057953</v>
      </c>
      <c r="DQ9" s="21">
        <f t="shared" si="24"/>
        <v>0.47827187052465897</v>
      </c>
      <c r="DR9" s="21">
        <f t="shared" si="25"/>
        <v>0.87882398988887067</v>
      </c>
      <c r="DS9" s="21">
        <f t="shared" si="26"/>
        <v>-0.39996392415836113</v>
      </c>
      <c r="DT9" s="21">
        <f t="shared" si="27"/>
        <v>0.39996392415836113</v>
      </c>
      <c r="DX9">
        <v>8</v>
      </c>
      <c r="DY9" s="9">
        <f t="shared" si="4"/>
        <v>11.534234230625664</v>
      </c>
      <c r="EM9" s="11">
        <v>8</v>
      </c>
      <c r="EN9" s="8">
        <f t="shared" si="28"/>
        <v>0.53513651522769923</v>
      </c>
      <c r="EO9" s="8">
        <f t="shared" si="5"/>
        <v>-2.6719588571045496</v>
      </c>
      <c r="EP9" s="8">
        <f t="shared" si="29"/>
        <v>0.6460997357335071</v>
      </c>
      <c r="EQ9" s="8">
        <f t="shared" si="30"/>
        <v>0.77394453282595232</v>
      </c>
      <c r="ER9" s="8">
        <f t="shared" si="31"/>
        <v>0.11939343463617465</v>
      </c>
      <c r="ES9" s="8">
        <f t="shared" si="32"/>
        <v>2.0308428487420698</v>
      </c>
      <c r="ET9" s="8">
        <f t="shared" si="33"/>
        <v>5.041158439097809</v>
      </c>
      <c r="EU9" s="8">
        <f t="shared" si="34"/>
        <v>-6.4930757915278559</v>
      </c>
      <c r="EW9" s="15">
        <f>LARGE($EN$2:$EU$2,8)</f>
        <v>-4.4933422786060344</v>
      </c>
      <c r="EX9" s="14" t="str">
        <f>INDEX(EN1:EU1,MATCH(EW9,EN2:EU2,0))</f>
        <v>USD</v>
      </c>
      <c r="FK9" s="10"/>
      <c r="FL9" s="10"/>
    </row>
    <row r="10" spans="1:170" ht="18.600000000000001" thickBot="1" x14ac:dyDescent="0.4">
      <c r="A10" s="12" t="s">
        <v>50</v>
      </c>
      <c r="B10" s="13">
        <v>8</v>
      </c>
      <c r="C10" s="30">
        <f>RTD("fxbluelabs.excelrtd", , "21422436","@bh,AUDUSD,h1,close,8")</f>
        <v>0.67176000000000002</v>
      </c>
      <c r="D10" s="31">
        <f>RTD("fxbluelabs.excelrtd", , "21422436","@bh,AUDNZD,h1,close,8")</f>
        <v>1.0976399999999999</v>
      </c>
      <c r="E10" s="32">
        <f>RTD("fxbluelabs.excelrtd", , "21422436","@bh,AUDJPY,h1,close,8")</f>
        <v>98.94</v>
      </c>
      <c r="F10" s="31">
        <f>RTD("fxbluelabs.excelrtd", , "21422436","@bh,AUDCHF,h1,close,8")</f>
        <v>0.57903000000000004</v>
      </c>
      <c r="G10" s="31">
        <f>RTD("fxbluelabs.excelrtd", , "21422436","@bh,AUDCAD,h1,close,8")</f>
        <v>0.91605999999999999</v>
      </c>
      <c r="H10" s="31">
        <f>RTD("fxbluelabs.excelrtd", , "21422436","@bh,EURUSD,h1,close,8")</f>
        <v>1.1076600000000001</v>
      </c>
      <c r="I10" s="31">
        <f>RTD("fxbluelabs.excelrtd", , "21422436","@bh,EURCAD,h1,close,8")</f>
        <v>1.5105</v>
      </c>
      <c r="J10" s="31">
        <f>RTD("fxbluelabs.excelrtd", , "21422436","@bh,EURGBP,h1,close,8")</f>
        <v>0.85336000000000001</v>
      </c>
      <c r="K10" s="31">
        <f>RTD("fxbluelabs.excelrtd", , "21422436","@bh,EURCHF,h1,close,8")</f>
        <v>0.95472999999999997</v>
      </c>
      <c r="L10" s="32">
        <f>RTD("fxbluelabs.excelrtd", , "21422436","@bh,EURJPY,h1,close,8")</f>
        <v>163.137</v>
      </c>
      <c r="M10" s="31">
        <f>RTD("fxbluelabs.excelrtd", , "21422436","@bh,EURAUD,h1,close,8")</f>
        <v>1.6488700000000001</v>
      </c>
      <c r="N10" s="31">
        <f>RTD("fxbluelabs.excelrtd", , "21422436","@bh,EURNZD,h1,close,8")</f>
        <v>1.8099099999999999</v>
      </c>
      <c r="O10" s="31">
        <f>RTD("fxbluelabs.excelrtd", , "21422436","@bh,GBPUSD,h1,close,8")</f>
        <v>1.29799</v>
      </c>
      <c r="P10" s="31">
        <f>RTD("fxbluelabs.excelrtd", , "21422436","@bh,GBPAUD,h1,close,8")</f>
        <v>1.9321999999999999</v>
      </c>
      <c r="Q10" s="31">
        <f>RTD("fxbluelabs.excelrtd", , "21422436","@bh,GBPNZD,h1,close,8")</f>
        <v>2.1208999999999998</v>
      </c>
      <c r="R10" s="31">
        <f>RTD("fxbluelabs.excelrtd", , "21422436","@bh,GBPCAD,h1,close,8")</f>
        <v>1.7700499999999999</v>
      </c>
      <c r="S10" s="31">
        <f>RTD("fxbluelabs.excelrtd", , "21422436","@bh,GBPCHF,h1,close,8")</f>
        <v>1.1188199999999999</v>
      </c>
      <c r="T10" s="32">
        <f>RTD("fxbluelabs.excelrtd", , "21422436","@bh,GBPJPY,h1,close,8")</f>
        <v>191.17599999999999</v>
      </c>
      <c r="U10" s="32">
        <f>RTD("fxbluelabs.excelrtd", , "21422436","@bh,NZDJPY,h1,close,8")</f>
        <v>90.135999999999996</v>
      </c>
      <c r="V10" s="31">
        <f>RTD("fxbluelabs.excelrtd", , "21422436","@bh,NZDCHF,h1,close,8")</f>
        <v>0.52749999999999997</v>
      </c>
      <c r="W10" s="31">
        <f>RTD("fxbluelabs.excelrtd", , "21422436","@bh,NZDUSD,h1,close,8")</f>
        <v>0.61197999999999997</v>
      </c>
      <c r="X10" s="31">
        <f>RTD("fxbluelabs.excelrtd", , "21422436","@bh,NZDCAD,h1,close,8")</f>
        <v>0.83455000000000001</v>
      </c>
      <c r="Y10" s="32">
        <f>RTD("fxbluelabs.excelrtd", , "21422436","@bh,CADJPY,h1,close,8")</f>
        <v>108.005</v>
      </c>
      <c r="Z10" s="31">
        <f>RTD("fxbluelabs.excelrtd", , "21422436","@bh,CADCHF,h1,close,8")</f>
        <v>0.63207999999999998</v>
      </c>
      <c r="AA10" s="32">
        <f>RTD("fxbluelabs.excelrtd", , "21422436","@bh,CHFJPY,h1,close,8")</f>
        <v>170.87100000000001</v>
      </c>
      <c r="AB10" s="31">
        <f>RTD("fxbluelabs.excelrtd", , "21422436","@bh,USDCAD,h1,close,8")</f>
        <v>1.3637300000000001</v>
      </c>
      <c r="AC10" s="31">
        <f>RTD("fxbluelabs.excelrtd", , "21422436","@bh,USDCHF,h1,close,8")</f>
        <v>0.86197999999999997</v>
      </c>
      <c r="AD10" s="33">
        <f>RTD("fxbluelabs.excelrtd", , "21422436","@bh,USDJPY,h1,close,8")</f>
        <v>147.286</v>
      </c>
      <c r="AH10" s="23">
        <v>9</v>
      </c>
      <c r="AI10" s="41">
        <f t="shared" si="35"/>
        <v>-8.9309636509703472E-3</v>
      </c>
      <c r="AJ10" s="41">
        <f t="shared" si="35"/>
        <v>-2.6413341469868158E-2</v>
      </c>
      <c r="AK10" s="41">
        <f t="shared" si="35"/>
        <v>0.2330057744909371</v>
      </c>
      <c r="AL10" s="41">
        <f t="shared" si="35"/>
        <v>-1.726728023068896E-2</v>
      </c>
      <c r="AM10" s="41">
        <f t="shared" si="35"/>
        <v>-6.5493603458127757E-3</v>
      </c>
      <c r="AN10" s="41">
        <f t="shared" si="35"/>
        <v>-5.4165312533807266E-3</v>
      </c>
      <c r="AO10" s="41">
        <f t="shared" si="35"/>
        <v>-6.620280567533821E-4</v>
      </c>
      <c r="AP10" s="41">
        <f t="shared" si="35"/>
        <v>-3.5153915560264936E-3</v>
      </c>
      <c r="AQ10" s="41">
        <f t="shared" si="35"/>
        <v>-1.1520254702364218E-2</v>
      </c>
      <c r="AR10" s="41">
        <f t="shared" si="35"/>
        <v>0.2353244774322043</v>
      </c>
      <c r="AS10" s="41">
        <f t="shared" si="35"/>
        <v>3.0324717070453729E-3</v>
      </c>
      <c r="AT10" s="41">
        <f t="shared" si="35"/>
        <v>-2.0991111921296973E-2</v>
      </c>
      <c r="AU10" s="41">
        <f t="shared" si="35"/>
        <v>7.7042789565829304E-4</v>
      </c>
      <c r="AV10" s="41">
        <f t="shared" si="35"/>
        <v>8.7990352116687365E-3</v>
      </c>
      <c r="AW10" s="41">
        <f t="shared" si="35"/>
        <v>-1.5557011733776419E-2</v>
      </c>
      <c r="AX10" s="41">
        <f t="shared" si="35"/>
        <v>4.5198506189290189E-3</v>
      </c>
      <c r="AY10" s="41">
        <f t="shared" si="1"/>
        <v>-8.0435423760754233E-3</v>
      </c>
      <c r="AZ10" s="41">
        <f t="shared" si="1"/>
        <v>0.24382442543952629</v>
      </c>
      <c r="BA10" s="41">
        <f t="shared" si="1"/>
        <v>0.26362918386188361</v>
      </c>
      <c r="BB10" s="41">
        <f t="shared" si="1"/>
        <v>1.1375701501582925E-2</v>
      </c>
      <c r="BC10" s="41">
        <f t="shared" si="1"/>
        <v>2.1247037672626212E-2</v>
      </c>
      <c r="BD10" s="41">
        <f t="shared" si="1"/>
        <v>2.6368463317871581E-2</v>
      </c>
      <c r="BE10" s="41">
        <f t="shared" si="1"/>
        <v>0.2385195084827475</v>
      </c>
      <c r="BF10" s="41">
        <f t="shared" si="1"/>
        <v>-1.265502404455834E-2</v>
      </c>
      <c r="BG10" s="41">
        <f t="shared" si="1"/>
        <v>0.25111034187382131</v>
      </c>
      <c r="BH10" s="41">
        <f t="shared" si="1"/>
        <v>3.6665493370956173E-3</v>
      </c>
      <c r="BI10" s="41">
        <f t="shared" si="1"/>
        <v>-6.9602338638647858E-3</v>
      </c>
      <c r="BJ10" s="41">
        <f t="shared" si="1"/>
        <v>0.24229224800925239</v>
      </c>
      <c r="BN10" s="26">
        <v>9</v>
      </c>
      <c r="BO10" s="45">
        <f t="shared" si="6"/>
        <v>0.4153128790132441</v>
      </c>
      <c r="BP10" s="45">
        <f t="shared" si="2"/>
        <v>-0.41886727024545201</v>
      </c>
      <c r="BQ10" s="45">
        <f t="shared" si="3"/>
        <v>1.0532474375182348</v>
      </c>
      <c r="BR10" s="45">
        <f t="shared" si="3"/>
        <v>3.1593229327602751E-2</v>
      </c>
      <c r="BS10" s="45">
        <f t="shared" si="3"/>
        <v>7.5570031858653186E-2</v>
      </c>
      <c r="BT10" s="45">
        <f t="shared" si="3"/>
        <v>0.35843493511841162</v>
      </c>
      <c r="BU10" s="45">
        <f t="shared" si="3"/>
        <v>2.2669361235461954E-2</v>
      </c>
      <c r="BV10" s="45">
        <f t="shared" si="3"/>
        <v>0.1290597489714484</v>
      </c>
      <c r="BW10" s="45">
        <f t="shared" si="3"/>
        <v>-2.4881440109730216E-2</v>
      </c>
      <c r="BX10" s="45">
        <f t="shared" si="3"/>
        <v>0.99712946320271856</v>
      </c>
      <c r="BY10" s="45">
        <f t="shared" si="3"/>
        <v>-5.5022033393957892E-2</v>
      </c>
      <c r="BZ10" s="45">
        <f t="shared" si="3"/>
        <v>-0.47210191418024411</v>
      </c>
      <c r="CA10" s="45">
        <f t="shared" si="3"/>
        <v>0.23401484068705661</v>
      </c>
      <c r="CB10" s="45">
        <f t="shared" si="3"/>
        <v>-0.17979694975214253</v>
      </c>
      <c r="CC10" s="45">
        <f t="shared" si="3"/>
        <v>-0.5972121185430741</v>
      </c>
      <c r="CD10" s="45">
        <f t="shared" si="3"/>
        <v>-0.10210814020223483</v>
      </c>
      <c r="CE10" s="45">
        <f t="shared" si="3"/>
        <v>-0.14794745551059366</v>
      </c>
      <c r="CF10" s="45">
        <f t="shared" si="3"/>
        <v>0.87399722815884229</v>
      </c>
      <c r="CG10" s="45">
        <f t="shared" si="3"/>
        <v>1.4710971391538674</v>
      </c>
      <c r="CH10" s="45">
        <f t="shared" si="3"/>
        <v>0.44889073309266675</v>
      </c>
      <c r="CI10" s="45">
        <f t="shared" si="3"/>
        <v>0.83275079614797787</v>
      </c>
      <c r="CJ10" s="45">
        <f t="shared" si="3"/>
        <v>0.49651596501291573</v>
      </c>
      <c r="CK10" s="45">
        <f t="shared" si="3"/>
        <v>0.97659095802963958</v>
      </c>
      <c r="CL10" s="45">
        <f t="shared" si="3"/>
        <v>-4.377239385635448E-2</v>
      </c>
      <c r="CM10" s="45">
        <f t="shared" si="3"/>
        <v>1.0213159026144436</v>
      </c>
      <c r="CN10" s="45">
        <f t="shared" si="3"/>
        <v>-0.33646792599867859</v>
      </c>
      <c r="CO10" s="45">
        <f t="shared" si="3"/>
        <v>-0.38043035420963234</v>
      </c>
      <c r="CP10" s="45">
        <f t="shared" si="3"/>
        <v>0.63918329455681056</v>
      </c>
      <c r="CU10" s="23">
        <v>9</v>
      </c>
      <c r="CV10" s="24">
        <f t="shared" si="7"/>
        <v>0.95528812084410841</v>
      </c>
      <c r="CW10" s="24">
        <f t="shared" si="8"/>
        <v>-1.9182284366181905</v>
      </c>
      <c r="CX10" s="24">
        <f t="shared" si="9"/>
        <v>0.77663927226716756</v>
      </c>
      <c r="CY10" s="24">
        <f t="shared" si="10"/>
        <v>1.0940911900241304</v>
      </c>
      <c r="CZ10" s="24">
        <f t="shared" si="11"/>
        <v>-4.8112344133594609E-2</v>
      </c>
      <c r="DA10" s="24">
        <f t="shared" si="12"/>
        <v>1.3916752906183834</v>
      </c>
      <c r="DB10" s="24">
        <f t="shared" si="13"/>
        <v>4.7374359363761984</v>
      </c>
      <c r="DC10" s="24">
        <f t="shared" si="14"/>
        <v>-7.0325614232345561</v>
      </c>
      <c r="DF10" s="18">
        <v>9</v>
      </c>
      <c r="DG10" s="19">
        <f t="shared" si="36"/>
        <v>-0.33646792599867859</v>
      </c>
      <c r="DH10" s="19">
        <f t="shared" si="15"/>
        <v>2.2669361235461954E-2</v>
      </c>
      <c r="DI10" s="19">
        <f t="shared" si="16"/>
        <v>-0.38043035420963234</v>
      </c>
      <c r="DJ10" s="19">
        <f t="shared" si="17"/>
        <v>-2.4881440109730216E-2</v>
      </c>
      <c r="DK10" s="19">
        <f t="shared" si="18"/>
        <v>-0.23401484068705661</v>
      </c>
      <c r="DL10" s="19">
        <f t="shared" si="19"/>
        <v>0.1290597489714484</v>
      </c>
      <c r="DM10" s="19">
        <f t="shared" si="20"/>
        <v>-0.4153128790132441</v>
      </c>
      <c r="DN10" s="19">
        <f t="shared" si="21"/>
        <v>-5.5022033393957892E-2</v>
      </c>
      <c r="DO10" s="19">
        <f t="shared" si="22"/>
        <v>-0.83275079614797787</v>
      </c>
      <c r="DP10" s="19">
        <f t="shared" si="23"/>
        <v>-0.47210191418024411</v>
      </c>
      <c r="DQ10" s="19">
        <f t="shared" si="24"/>
        <v>0.63918329455681056</v>
      </c>
      <c r="DR10" s="19">
        <f t="shared" si="25"/>
        <v>0.99712946320271856</v>
      </c>
      <c r="DS10" s="19">
        <f t="shared" si="26"/>
        <v>-0.35843493511841162</v>
      </c>
      <c r="DT10" s="19">
        <f t="shared" si="27"/>
        <v>0.35843493511841162</v>
      </c>
      <c r="DX10">
        <v>9</v>
      </c>
      <c r="DY10" s="9">
        <f t="shared" si="4"/>
        <v>11.769997359610755</v>
      </c>
      <c r="EM10" s="11">
        <v>9</v>
      </c>
      <c r="EN10" s="8">
        <f t="shared" si="28"/>
        <v>0.95528812084410841</v>
      </c>
      <c r="EO10" s="8">
        <f t="shared" si="5"/>
        <v>-1.9182284366181905</v>
      </c>
      <c r="EP10" s="8">
        <f t="shared" si="29"/>
        <v>0.77663927226716756</v>
      </c>
      <c r="EQ10" s="8">
        <f t="shared" si="30"/>
        <v>1.0940911900241304</v>
      </c>
      <c r="ER10" s="8">
        <f t="shared" si="31"/>
        <v>-4.8112344133594609E-2</v>
      </c>
      <c r="ES10" s="8">
        <f t="shared" si="32"/>
        <v>1.3916752906183834</v>
      </c>
      <c r="ET10" s="8">
        <f t="shared" si="33"/>
        <v>4.7374359363761984</v>
      </c>
      <c r="EU10" s="8">
        <f t="shared" si="34"/>
        <v>-7.0325614232345561</v>
      </c>
      <c r="EW10" s="16"/>
      <c r="FK10" s="10"/>
      <c r="FL10" s="10"/>
      <c r="FN10" s="10"/>
    </row>
    <row r="11" spans="1:170" ht="18.600000000000001" thickBot="1" x14ac:dyDescent="0.4">
      <c r="A11" s="12" t="s">
        <v>50</v>
      </c>
      <c r="B11" s="13">
        <v>9</v>
      </c>
      <c r="C11" s="30">
        <f>RTD("fxbluelabs.excelrtd", , "21422436","@bh,AUDUSD,h1,close,9")</f>
        <v>0.67181999999999997</v>
      </c>
      <c r="D11" s="31">
        <f>RTD("fxbluelabs.excelrtd", , "21422436","@bh,AUDNZD,h1,close,9")</f>
        <v>1.0979300000000001</v>
      </c>
      <c r="E11" s="32">
        <f>RTD("fxbluelabs.excelrtd", , "21422436","@bh,AUDJPY,h1,close,9")</f>
        <v>98.71</v>
      </c>
      <c r="F11" s="31">
        <f>RTD("fxbluelabs.excelrtd", , "21422436","@bh,AUDCHF,h1,close,9")</f>
        <v>0.57913000000000003</v>
      </c>
      <c r="G11" s="31">
        <f>RTD("fxbluelabs.excelrtd", , "21422436","@bh,AUDCAD,h1,close,9")</f>
        <v>0.91612000000000005</v>
      </c>
      <c r="H11" s="31">
        <f>RTD("fxbluelabs.excelrtd", , "21422436","@bh,EURUSD,h1,close,9")</f>
        <v>1.10772</v>
      </c>
      <c r="I11" s="31">
        <f>RTD("fxbluelabs.excelrtd", , "21422436","@bh,EURCAD,h1,close,9")</f>
        <v>1.51051</v>
      </c>
      <c r="J11" s="31">
        <f>RTD("fxbluelabs.excelrtd", , "21422436","@bh,EURGBP,h1,close,9")</f>
        <v>0.85338999999999998</v>
      </c>
      <c r="K11" s="31">
        <f>RTD("fxbluelabs.excelrtd", , "21422436","@bh,EURCHF,h1,close,9")</f>
        <v>0.95484000000000002</v>
      </c>
      <c r="L11" s="32">
        <f>RTD("fxbluelabs.excelrtd", , "21422436","@bh,EURJPY,h1,close,9")</f>
        <v>162.75399999999999</v>
      </c>
      <c r="M11" s="31">
        <f>RTD("fxbluelabs.excelrtd", , "21422436","@bh,EURAUD,h1,close,9")</f>
        <v>1.64882</v>
      </c>
      <c r="N11" s="31">
        <f>RTD("fxbluelabs.excelrtd", , "21422436","@bh,EURNZD,h1,close,9")</f>
        <v>1.81029</v>
      </c>
      <c r="O11" s="31">
        <f>RTD("fxbluelabs.excelrtd", , "21422436","@bh,GBPUSD,h1,close,9")</f>
        <v>1.2979799999999999</v>
      </c>
      <c r="P11" s="31">
        <f>RTD("fxbluelabs.excelrtd", , "21422436","@bh,GBPAUD,h1,close,9")</f>
        <v>1.9320299999999999</v>
      </c>
      <c r="Q11" s="31">
        <f>RTD("fxbluelabs.excelrtd", , "21422436","@bh,GBPNZD,h1,close,9")</f>
        <v>2.1212300000000002</v>
      </c>
      <c r="R11" s="31">
        <f>RTD("fxbluelabs.excelrtd", , "21422436","@bh,GBPCAD,h1,close,9")</f>
        <v>1.76997</v>
      </c>
      <c r="S11" s="31">
        <f>RTD("fxbluelabs.excelrtd", , "21422436","@bh,GBPCHF,h1,close,9")</f>
        <v>1.1189100000000001</v>
      </c>
      <c r="T11" s="32">
        <f>RTD("fxbluelabs.excelrtd", , "21422436","@bh,GBPJPY,h1,close,9")</f>
        <v>190.71100000000001</v>
      </c>
      <c r="U11" s="32">
        <f>RTD("fxbluelabs.excelrtd", , "21422436","@bh,NZDJPY,h1,close,9")</f>
        <v>89.899000000000001</v>
      </c>
      <c r="V11" s="31">
        <f>RTD("fxbluelabs.excelrtd", , "21422436","@bh,NZDCHF,h1,close,9")</f>
        <v>0.52744000000000002</v>
      </c>
      <c r="W11" s="31">
        <f>RTD("fxbluelabs.excelrtd", , "21422436","@bh,NZDUSD,h1,close,9")</f>
        <v>0.61185</v>
      </c>
      <c r="X11" s="31">
        <f>RTD("fxbluelabs.excelrtd", , "21422436","@bh,NZDCAD,h1,close,9")</f>
        <v>0.83433000000000002</v>
      </c>
      <c r="Y11" s="32">
        <f>RTD("fxbluelabs.excelrtd", , "21422436","@bh,CADJPY,h1,close,9")</f>
        <v>107.748</v>
      </c>
      <c r="Z11" s="31">
        <f>RTD("fxbluelabs.excelrtd", , "21422436","@bh,CADCHF,h1,close,9")</f>
        <v>0.63216000000000006</v>
      </c>
      <c r="AA11" s="32">
        <f>RTD("fxbluelabs.excelrtd", , "21422436","@bh,CHFJPY,h1,close,9")</f>
        <v>170.44300000000001</v>
      </c>
      <c r="AB11" s="31">
        <f>RTD("fxbluelabs.excelrtd", , "21422436","@bh,USDCAD,h1,close,9")</f>
        <v>1.36368</v>
      </c>
      <c r="AC11" s="31">
        <f>RTD("fxbluelabs.excelrtd", , "21422436","@bh,USDCHF,h1,close,9")</f>
        <v>0.86204000000000003</v>
      </c>
      <c r="AD11" s="33">
        <f>RTD("fxbluelabs.excelrtd", , "21422436","@bh,USDJPY,h1,close,9")</f>
        <v>146.93</v>
      </c>
      <c r="AH11" s="23">
        <v>10</v>
      </c>
      <c r="AI11" s="42">
        <f t="shared" si="35"/>
        <v>5.9543302866904308E-3</v>
      </c>
      <c r="AJ11" s="42">
        <f t="shared" si="35"/>
        <v>-6.5534974741713187E-2</v>
      </c>
      <c r="AK11" s="42">
        <f t="shared" si="35"/>
        <v>-9.1093117408910337E-2</v>
      </c>
      <c r="AL11" s="42">
        <f t="shared" si="35"/>
        <v>-6.9064350708650281E-3</v>
      </c>
      <c r="AM11" s="42">
        <f t="shared" si="35"/>
        <v>-2.1826436179498206E-2</v>
      </c>
      <c r="AN11" s="42">
        <f t="shared" si="35"/>
        <v>1.3543162057485713E-2</v>
      </c>
      <c r="AO11" s="42">
        <f t="shared" si="35"/>
        <v>-1.3900656640545135E-2</v>
      </c>
      <c r="AP11" s="42">
        <f t="shared" si="35"/>
        <v>2.3436492963216427E-3</v>
      </c>
      <c r="AQ11" s="42">
        <f t="shared" si="35"/>
        <v>-1.0472849138560495E-3</v>
      </c>
      <c r="AR11" s="42">
        <f t="shared" si="35"/>
        <v>-8.3491927067343416E-2</v>
      </c>
      <c r="AS11" s="42">
        <f t="shared" si="35"/>
        <v>9.7048512124960854E-3</v>
      </c>
      <c r="AT11" s="42">
        <f t="shared" si="35"/>
        <v>-5.7968134088575055E-2</v>
      </c>
      <c r="AU11" s="42">
        <f t="shared" si="35"/>
        <v>7.7048725614069866E-3</v>
      </c>
      <c r="AV11" s="42">
        <f t="shared" si="35"/>
        <v>4.1408939154666509E-3</v>
      </c>
      <c r="AW11" s="42">
        <f t="shared" si="35"/>
        <v>-6.360184304007209E-2</v>
      </c>
      <c r="AX11" s="42">
        <f t="shared" si="35"/>
        <v>-1.9205675842084546E-2</v>
      </c>
      <c r="AY11" s="42">
        <f t="shared" si="1"/>
        <v>-3.574779927594438E-3</v>
      </c>
      <c r="AZ11" s="42">
        <f t="shared" si="1"/>
        <v>-8.8537300922036211E-2</v>
      </c>
      <c r="BA11" s="42">
        <f t="shared" si="1"/>
        <v>-3.0024686964838891E-2</v>
      </c>
      <c r="BB11" s="42">
        <f t="shared" si="1"/>
        <v>5.5012804704545663E-2</v>
      </c>
      <c r="BC11" s="42">
        <f t="shared" si="1"/>
        <v>6.7054821405210893E-2</v>
      </c>
      <c r="BD11" s="42">
        <f t="shared" si="1"/>
        <v>3.9568345323747298E-2</v>
      </c>
      <c r="BE11" s="42">
        <f t="shared" si="1"/>
        <v>-6.9558443003801262E-2</v>
      </c>
      <c r="BF11" s="42">
        <f t="shared" si="1"/>
        <v>1.5821282789624407E-2</v>
      </c>
      <c r="BG11" s="42">
        <f t="shared" si="1"/>
        <v>-8.5000117241530365E-2</v>
      </c>
      <c r="BH11" s="42">
        <f t="shared" si="1"/>
        <v>-2.7125105384698617E-2</v>
      </c>
      <c r="BI11" s="42">
        <f t="shared" si="1"/>
        <v>-1.1599044238753449E-2</v>
      </c>
      <c r="BJ11" s="42">
        <f t="shared" si="1"/>
        <v>-9.6551348999126888E-2</v>
      </c>
      <c r="BN11" s="26">
        <v>10</v>
      </c>
      <c r="BO11" s="46">
        <f t="shared" si="6"/>
        <v>0.42424384266421444</v>
      </c>
      <c r="BP11" s="46">
        <f t="shared" si="2"/>
        <v>-0.39245392877558383</v>
      </c>
      <c r="BQ11" s="46">
        <f t="shared" si="3"/>
        <v>0.82024166302729784</v>
      </c>
      <c r="BR11" s="46">
        <f t="shared" si="3"/>
        <v>4.8860509558291826E-2</v>
      </c>
      <c r="BS11" s="46">
        <f t="shared" si="3"/>
        <v>8.2119392204465957E-2</v>
      </c>
      <c r="BT11" s="46">
        <f t="shared" si="3"/>
        <v>0.36385146637179233</v>
      </c>
      <c r="BU11" s="46">
        <f t="shared" si="3"/>
        <v>2.3331389292215357E-2</v>
      </c>
      <c r="BV11" s="46">
        <f t="shared" si="3"/>
        <v>0.13257514052747488</v>
      </c>
      <c r="BW11" s="46">
        <f t="shared" si="3"/>
        <v>-1.3361185407366021E-2</v>
      </c>
      <c r="BX11" s="46">
        <f t="shared" si="3"/>
        <v>0.76180498577051436</v>
      </c>
      <c r="BY11" s="46">
        <f t="shared" si="3"/>
        <v>-5.8054505101003274E-2</v>
      </c>
      <c r="BZ11" s="46">
        <f t="shared" si="3"/>
        <v>-0.45111080225894712</v>
      </c>
      <c r="CA11" s="46">
        <f t="shared" si="3"/>
        <v>0.23324441279139832</v>
      </c>
      <c r="CB11" s="46">
        <f t="shared" si="3"/>
        <v>-0.18859598496381128</v>
      </c>
      <c r="CC11" s="46">
        <f t="shared" si="3"/>
        <v>-0.58165510680929755</v>
      </c>
      <c r="CD11" s="46">
        <f t="shared" si="3"/>
        <v>-0.10662799082116388</v>
      </c>
      <c r="CE11" s="46">
        <f t="shared" si="3"/>
        <v>-0.13990391313451819</v>
      </c>
      <c r="CF11" s="46">
        <f t="shared" si="3"/>
        <v>0.63017280271931608</v>
      </c>
      <c r="CG11" s="46">
        <f t="shared" si="3"/>
        <v>1.2074679552919843</v>
      </c>
      <c r="CH11" s="46">
        <f t="shared" si="3"/>
        <v>0.43751503159108379</v>
      </c>
      <c r="CI11" s="46">
        <f t="shared" si="3"/>
        <v>0.81150375847535161</v>
      </c>
      <c r="CJ11" s="46">
        <f t="shared" si="3"/>
        <v>0.47014750169504416</v>
      </c>
      <c r="CK11" s="46">
        <f t="shared" si="3"/>
        <v>0.73807144954689208</v>
      </c>
      <c r="CL11" s="46">
        <f t="shared" si="3"/>
        <v>-3.1117369811796143E-2</v>
      </c>
      <c r="CM11" s="46">
        <f t="shared" ref="CM11:CP26" si="37">BG11+SUM(BG12:BG46)</f>
        <v>0.7702055607406223</v>
      </c>
      <c r="CN11" s="46">
        <f t="shared" si="37"/>
        <v>-0.34013447533577412</v>
      </c>
      <c r="CO11" s="46">
        <f t="shared" si="37"/>
        <v>-0.37347012034576754</v>
      </c>
      <c r="CP11" s="46">
        <f t="shared" si="37"/>
        <v>0.39689104654755808</v>
      </c>
      <c r="CU11" s="23">
        <v>10</v>
      </c>
      <c r="CV11" s="25">
        <f t="shared" si="7"/>
        <v>0.75903648919468059</v>
      </c>
      <c r="CW11" s="25">
        <f t="shared" si="8"/>
        <v>-2.1495570294367403</v>
      </c>
      <c r="CX11" s="25">
        <f t="shared" si="9"/>
        <v>0.57811826270030864</v>
      </c>
      <c r="CY11" s="25">
        <f t="shared" si="10"/>
        <v>0.8105652384788985</v>
      </c>
      <c r="CZ11" s="25">
        <f t="shared" si="11"/>
        <v>-0.28594092074555144</v>
      </c>
      <c r="DA11" s="25">
        <f t="shared" si="12"/>
        <v>1.2296619687435006</v>
      </c>
      <c r="DB11" s="25">
        <f t="shared" si="13"/>
        <v>4.3518540848972922</v>
      </c>
      <c r="DC11" s="25">
        <f t="shared" si="14"/>
        <v>-5.3248554636441847</v>
      </c>
      <c r="DF11" s="18">
        <v>10</v>
      </c>
      <c r="DG11" s="21">
        <f t="shared" si="36"/>
        <v>-0.34013447533577412</v>
      </c>
      <c r="DH11" s="21">
        <f t="shared" si="15"/>
        <v>2.3331389292215357E-2</v>
      </c>
      <c r="DI11" s="21">
        <f t="shared" si="16"/>
        <v>-0.37347012034576754</v>
      </c>
      <c r="DJ11" s="21">
        <f t="shared" si="17"/>
        <v>-1.3361185407366021E-2</v>
      </c>
      <c r="DK11" s="21">
        <f t="shared" si="18"/>
        <v>-0.23324441279139832</v>
      </c>
      <c r="DL11" s="21">
        <f t="shared" si="19"/>
        <v>0.13257514052747488</v>
      </c>
      <c r="DM11" s="21">
        <f t="shared" si="20"/>
        <v>-0.42424384266421444</v>
      </c>
      <c r="DN11" s="21">
        <f t="shared" si="21"/>
        <v>-5.8054505101003274E-2</v>
      </c>
      <c r="DO11" s="21">
        <f t="shared" si="22"/>
        <v>-0.81150375847535161</v>
      </c>
      <c r="DP11" s="21">
        <f t="shared" si="23"/>
        <v>-0.45111080225894712</v>
      </c>
      <c r="DQ11" s="21">
        <f t="shared" si="24"/>
        <v>0.39689104654755808</v>
      </c>
      <c r="DR11" s="21">
        <f t="shared" si="25"/>
        <v>0.76180498577051436</v>
      </c>
      <c r="DS11" s="21">
        <f t="shared" si="26"/>
        <v>-0.36385146637179233</v>
      </c>
      <c r="DT11" s="21">
        <f t="shared" si="27"/>
        <v>0.36385146637179233</v>
      </c>
      <c r="DX11">
        <v>10</v>
      </c>
      <c r="DY11" s="9">
        <f t="shared" si="4"/>
        <v>9.6767095485414778</v>
      </c>
      <c r="EM11" s="11">
        <v>10</v>
      </c>
      <c r="EN11" s="8">
        <f t="shared" si="28"/>
        <v>0.75903648919468059</v>
      </c>
      <c r="EO11" s="8">
        <f t="shared" si="5"/>
        <v>-2.1495570294367403</v>
      </c>
      <c r="EP11" s="8">
        <f t="shared" si="29"/>
        <v>0.57811826270030864</v>
      </c>
      <c r="EQ11" s="8">
        <f t="shared" si="30"/>
        <v>0.8105652384788985</v>
      </c>
      <c r="ER11" s="8">
        <f t="shared" si="31"/>
        <v>-0.28594092074555144</v>
      </c>
      <c r="ES11" s="8">
        <f t="shared" si="32"/>
        <v>1.2296619687435006</v>
      </c>
      <c r="ET11" s="8">
        <f t="shared" si="33"/>
        <v>4.3518540848972922</v>
      </c>
      <c r="EU11" s="8">
        <f t="shared" si="34"/>
        <v>-5.3248554636441847</v>
      </c>
      <c r="EW11" s="47"/>
      <c r="EX11" s="48"/>
      <c r="EY11" s="48"/>
      <c r="EZ11" s="48"/>
      <c r="FA11" s="48"/>
      <c r="FB11" s="48"/>
      <c r="FK11" s="10"/>
      <c r="FL11" s="10"/>
    </row>
    <row r="12" spans="1:170" ht="18.600000000000001" thickBot="1" x14ac:dyDescent="0.35">
      <c r="A12" s="12" t="s">
        <v>50</v>
      </c>
      <c r="B12" s="13">
        <v>10</v>
      </c>
      <c r="C12" s="30">
        <f>RTD("fxbluelabs.excelrtd", , "21422436","@bh,AUDUSD,h1,close,10")</f>
        <v>0.67178000000000004</v>
      </c>
      <c r="D12" s="31">
        <f>RTD("fxbluelabs.excelrtd", , "21422436","@bh,AUDNZD,h1,close,10")</f>
        <v>1.0986499999999999</v>
      </c>
      <c r="E12" s="32">
        <f>RTD("fxbluelabs.excelrtd", , "21422436","@bh,AUDJPY,h1,close,10")</f>
        <v>98.8</v>
      </c>
      <c r="F12" s="31">
        <f>RTD("fxbluelabs.excelrtd", , "21422436","@bh,AUDCHF,h1,close,10")</f>
        <v>0.57916999999999996</v>
      </c>
      <c r="G12" s="31">
        <f>RTD("fxbluelabs.excelrtd", , "21422436","@bh,AUDCAD,h1,close,10")</f>
        <v>0.91632000000000002</v>
      </c>
      <c r="H12" s="31">
        <f>RTD("fxbluelabs.excelrtd", , "21422436","@bh,EURUSD,h1,close,10")</f>
        <v>1.1075699999999999</v>
      </c>
      <c r="I12" s="31">
        <f>RTD("fxbluelabs.excelrtd", , "21422436","@bh,EURCAD,h1,close,10")</f>
        <v>1.5107200000000001</v>
      </c>
      <c r="J12" s="31">
        <f>RTD("fxbluelabs.excelrtd", , "21422436","@bh,EURGBP,h1,close,10")</f>
        <v>0.85336999999999996</v>
      </c>
      <c r="K12" s="31">
        <f>RTD("fxbluelabs.excelrtd", , "21422436","@bh,EURCHF,h1,close,10")</f>
        <v>0.95484999999999998</v>
      </c>
      <c r="L12" s="32">
        <f>RTD("fxbluelabs.excelrtd", , "21422436","@bh,EURJPY,h1,close,10")</f>
        <v>162.88999999999999</v>
      </c>
      <c r="M12" s="31">
        <f>RTD("fxbluelabs.excelrtd", , "21422436","@bh,EURAUD,h1,close,10")</f>
        <v>1.64866</v>
      </c>
      <c r="N12" s="31">
        <f>RTD("fxbluelabs.excelrtd", , "21422436","@bh,EURNZD,h1,close,10")</f>
        <v>1.81134</v>
      </c>
      <c r="O12" s="31">
        <f>RTD("fxbluelabs.excelrtd", , "21422436","@bh,GBPUSD,h1,close,10")</f>
        <v>1.2978799999999999</v>
      </c>
      <c r="P12" s="31">
        <f>RTD("fxbluelabs.excelrtd", , "21422436","@bh,GBPAUD,h1,close,10")</f>
        <v>1.9319500000000001</v>
      </c>
      <c r="Q12" s="31">
        <f>RTD("fxbluelabs.excelrtd", , "21422436","@bh,GBPNZD,h1,close,10")</f>
        <v>2.1225800000000001</v>
      </c>
      <c r="R12" s="31">
        <f>RTD("fxbluelabs.excelrtd", , "21422436","@bh,GBPCAD,h1,close,10")</f>
        <v>1.7703100000000001</v>
      </c>
      <c r="S12" s="31">
        <f>RTD("fxbluelabs.excelrtd", , "21422436","@bh,GBPCHF,h1,close,10")</f>
        <v>1.1189499999999999</v>
      </c>
      <c r="T12" s="32">
        <f>RTD("fxbluelabs.excelrtd", , "21422436","@bh,GBPJPY,h1,close,10")</f>
        <v>190.88</v>
      </c>
      <c r="U12" s="32">
        <f>RTD("fxbluelabs.excelrtd", , "21422436","@bh,NZDJPY,h1,close,10")</f>
        <v>89.926000000000002</v>
      </c>
      <c r="V12" s="31">
        <f>RTD("fxbluelabs.excelrtd", , "21422436","@bh,NZDCHF,h1,close,10")</f>
        <v>0.52715000000000001</v>
      </c>
      <c r="W12" s="31">
        <f>RTD("fxbluelabs.excelrtd", , "21422436","@bh,NZDUSD,h1,close,10")</f>
        <v>0.61143999999999998</v>
      </c>
      <c r="X12" s="31">
        <f>RTD("fxbluelabs.excelrtd", , "21422436","@bh,NZDCAD,h1,close,10")</f>
        <v>0.83399999999999996</v>
      </c>
      <c r="Y12" s="32">
        <f>RTD("fxbluelabs.excelrtd", , "21422436","@bh,CADJPY,h1,close,10")</f>
        <v>107.82299999999999</v>
      </c>
      <c r="Z12" s="31">
        <f>RTD("fxbluelabs.excelrtd", , "21422436","@bh,CADCHF,h1,close,10")</f>
        <v>0.63205999999999996</v>
      </c>
      <c r="AA12" s="32">
        <f>RTD("fxbluelabs.excelrtd", , "21422436","@bh,CHFJPY,h1,close,10")</f>
        <v>170.58799999999999</v>
      </c>
      <c r="AB12" s="31">
        <f>RTD("fxbluelabs.excelrtd", , "21422436","@bh,USDCAD,h1,close,10")</f>
        <v>1.36405</v>
      </c>
      <c r="AC12" s="31">
        <f>RTD("fxbluelabs.excelrtd", , "21422436","@bh,USDCHF,h1,close,10")</f>
        <v>0.86214000000000002</v>
      </c>
      <c r="AD12" s="33">
        <f>RTD("fxbluelabs.excelrtd", , "21422436","@bh,USDJPY,h1,close,10")</f>
        <v>147.072</v>
      </c>
      <c r="AH12" s="23">
        <v>11</v>
      </c>
      <c r="AI12" s="41">
        <f t="shared" si="35"/>
        <v>-4.3150267085259195E-2</v>
      </c>
      <c r="AJ12" s="41">
        <f t="shared" si="35"/>
        <v>-4.4580308240997638E-2</v>
      </c>
      <c r="AK12" s="41">
        <f t="shared" si="35"/>
        <v>2.0243324763612003E-3</v>
      </c>
      <c r="AL12" s="41">
        <f t="shared" si="35"/>
        <v>-2.4166681051600868E-2</v>
      </c>
      <c r="AM12" s="41">
        <f t="shared" si="35"/>
        <v>-2.2912506955575101E-2</v>
      </c>
      <c r="AN12" s="41">
        <f t="shared" si="35"/>
        <v>-5.4169713713016973E-3</v>
      </c>
      <c r="AO12" s="41">
        <f t="shared" si="35"/>
        <v>1.5226846917222389E-2</v>
      </c>
      <c r="AP12" s="41">
        <f t="shared" si="35"/>
        <v>-1.1718109165981757E-3</v>
      </c>
      <c r="AQ12" s="41">
        <f t="shared" si="35"/>
        <v>1.0473946059176642E-2</v>
      </c>
      <c r="AR12" s="41">
        <f t="shared" si="35"/>
        <v>4.3606704377252017E-2</v>
      </c>
      <c r="AS12" s="41">
        <f t="shared" si="35"/>
        <v>3.6406441513047699E-2</v>
      </c>
      <c r="AT12" s="41">
        <f t="shared" si="35"/>
        <v>-6.6244907422808126E-3</v>
      </c>
      <c r="AU12" s="41">
        <f t="shared" si="35"/>
        <v>-1.5409507666331013E-3</v>
      </c>
      <c r="AV12" s="41">
        <f t="shared" si="35"/>
        <v>4.142609326049939E-2</v>
      </c>
      <c r="AW12" s="41">
        <f t="shared" si="35"/>
        <v>-1.4133543137812622E-3</v>
      </c>
      <c r="AX12" s="41">
        <f t="shared" si="35"/>
        <v>1.9774458179849966E-2</v>
      </c>
      <c r="AY12" s="41">
        <f t="shared" si="1"/>
        <v>1.8771117507179632E-2</v>
      </c>
      <c r="AZ12" s="41">
        <f t="shared" si="1"/>
        <v>4.4550433711579428E-2</v>
      </c>
      <c r="BA12" s="41">
        <f t="shared" si="1"/>
        <v>4.6726892439145559E-2</v>
      </c>
      <c r="BB12" s="41">
        <f t="shared" si="1"/>
        <v>2.0871281117193097E-2</v>
      </c>
      <c r="BC12" s="41">
        <f t="shared" si="1"/>
        <v>0</v>
      </c>
      <c r="BD12" s="41">
        <f t="shared" si="1"/>
        <v>2.1587392962504854E-2</v>
      </c>
      <c r="BE12" s="41">
        <f t="shared" si="1"/>
        <v>2.7831120759220843E-2</v>
      </c>
      <c r="BF12" s="41">
        <f t="shared" si="1"/>
        <v>1.5821533106486021E-3</v>
      </c>
      <c r="BG12" s="41">
        <f t="shared" si="1"/>
        <v>3.2838411559110998E-2</v>
      </c>
      <c r="BH12" s="41">
        <f t="shared" si="1"/>
        <v>1.9797914619659511E-2</v>
      </c>
      <c r="BI12" s="41">
        <f t="shared" si="1"/>
        <v>1.624129930394768E-2</v>
      </c>
      <c r="BJ12" s="41">
        <f t="shared" si="1"/>
        <v>4.5576681065274842E-2</v>
      </c>
      <c r="BN12" s="26">
        <v>11</v>
      </c>
      <c r="BO12" s="45">
        <f t="shared" si="6"/>
        <v>0.41828951237752404</v>
      </c>
      <c r="BP12" s="45">
        <f t="shared" si="2"/>
        <v>-0.32691895403387067</v>
      </c>
      <c r="BQ12" s="45">
        <f t="shared" ref="BQ12:CL23" si="38">AK12+SUM(AK13:AK47)</f>
        <v>0.9113347804362083</v>
      </c>
      <c r="BR12" s="45">
        <f t="shared" si="38"/>
        <v>5.5766944629156795E-2</v>
      </c>
      <c r="BS12" s="45">
        <f t="shared" si="38"/>
        <v>0.10394582838396417</v>
      </c>
      <c r="BT12" s="45">
        <f t="shared" si="38"/>
        <v>0.3503083043143066</v>
      </c>
      <c r="BU12" s="45">
        <f t="shared" si="38"/>
        <v>3.7232045932760485E-2</v>
      </c>
      <c r="BV12" s="45">
        <f t="shared" si="38"/>
        <v>0.13023149123115324</v>
      </c>
      <c r="BW12" s="45">
        <f t="shared" si="38"/>
        <v>-1.2313900493509949E-2</v>
      </c>
      <c r="BX12" s="45">
        <f t="shared" si="38"/>
        <v>0.84529691283785768</v>
      </c>
      <c r="BY12" s="45">
        <f t="shared" si="38"/>
        <v>-6.7759356313499372E-2</v>
      </c>
      <c r="BZ12" s="45">
        <f t="shared" si="38"/>
        <v>-0.39314266817037213</v>
      </c>
      <c r="CA12" s="45">
        <f t="shared" si="38"/>
        <v>0.22553954022999134</v>
      </c>
      <c r="CB12" s="45">
        <f t="shared" si="38"/>
        <v>-0.19273687887927793</v>
      </c>
      <c r="CC12" s="45">
        <f t="shared" si="38"/>
        <v>-0.51805326376922545</v>
      </c>
      <c r="CD12" s="45">
        <f t="shared" si="38"/>
        <v>-8.7422314979079305E-2</v>
      </c>
      <c r="CE12" s="45">
        <f t="shared" si="38"/>
        <v>-0.13632913320692375</v>
      </c>
      <c r="CF12" s="45">
        <f t="shared" si="38"/>
        <v>0.71871010364135224</v>
      </c>
      <c r="CG12" s="45">
        <f t="shared" si="38"/>
        <v>1.2374926422568229</v>
      </c>
      <c r="CH12" s="45">
        <f t="shared" si="38"/>
        <v>0.38250222688653818</v>
      </c>
      <c r="CI12" s="45">
        <f t="shared" si="38"/>
        <v>0.7444489370701407</v>
      </c>
      <c r="CJ12" s="45">
        <f t="shared" si="38"/>
        <v>0.4305791563712969</v>
      </c>
      <c r="CK12" s="45">
        <f t="shared" si="38"/>
        <v>0.8076298925506934</v>
      </c>
      <c r="CL12" s="45">
        <f t="shared" si="38"/>
        <v>-4.6938652601420543E-2</v>
      </c>
      <c r="CM12" s="45">
        <f t="shared" si="37"/>
        <v>0.85520567798215275</v>
      </c>
      <c r="CN12" s="45">
        <f t="shared" si="37"/>
        <v>-0.31300936995107548</v>
      </c>
      <c r="CO12" s="45">
        <f t="shared" si="37"/>
        <v>-0.36187107610701408</v>
      </c>
      <c r="CP12" s="45">
        <f t="shared" si="37"/>
        <v>0.49344239554668501</v>
      </c>
      <c r="CU12" s="23">
        <v>11</v>
      </c>
      <c r="CV12" s="24">
        <f t="shared" si="7"/>
        <v>0.88985282933869658</v>
      </c>
      <c r="CW12" s="24">
        <f t="shared" si="8"/>
        <v>-1.9200243445033673</v>
      </c>
      <c r="CX12" s="24">
        <f t="shared" si="9"/>
        <v>0.58936589419140606</v>
      </c>
      <c r="CY12" s="24">
        <f t="shared" si="10"/>
        <v>0.92745061627390557</v>
      </c>
      <c r="CZ12" s="24">
        <f t="shared" si="11"/>
        <v>-0.12052343819431605</v>
      </c>
      <c r="DA12" s="24">
        <f t="shared" si="12"/>
        <v>1.4229143469857601</v>
      </c>
      <c r="DB12" s="24">
        <f t="shared" si="13"/>
        <v>4.0331378485582672</v>
      </c>
      <c r="DC12" s="24">
        <f t="shared" si="14"/>
        <v>-5.8691124052517729</v>
      </c>
      <c r="DF12" s="20">
        <v>11</v>
      </c>
      <c r="DG12" s="19">
        <f t="shared" si="36"/>
        <v>-0.31300936995107548</v>
      </c>
      <c r="DH12" s="19">
        <f t="shared" si="15"/>
        <v>3.7232045932760485E-2</v>
      </c>
      <c r="DI12" s="19">
        <f t="shared" si="16"/>
        <v>-0.36187107610701408</v>
      </c>
      <c r="DJ12" s="19">
        <f t="shared" si="17"/>
        <v>-1.2313900493509949E-2</v>
      </c>
      <c r="DK12" s="19">
        <f t="shared" si="18"/>
        <v>-0.22553954022999134</v>
      </c>
      <c r="DL12" s="19">
        <f t="shared" si="19"/>
        <v>0.13023149123115324</v>
      </c>
      <c r="DM12" s="19">
        <f t="shared" si="20"/>
        <v>-0.41828951237752404</v>
      </c>
      <c r="DN12" s="19">
        <f t="shared" si="21"/>
        <v>-6.7759356313499372E-2</v>
      </c>
      <c r="DO12" s="19">
        <f t="shared" si="22"/>
        <v>-0.7444489370701407</v>
      </c>
      <c r="DP12" s="19">
        <f t="shared" si="23"/>
        <v>-0.39314266817037213</v>
      </c>
      <c r="DQ12" s="19">
        <f t="shared" si="24"/>
        <v>0.49344239554668501</v>
      </c>
      <c r="DR12" s="19">
        <f t="shared" si="25"/>
        <v>0.84529691283785768</v>
      </c>
      <c r="DS12" s="19">
        <f t="shared" si="26"/>
        <v>-0.3503083043143066</v>
      </c>
      <c r="DT12" s="19">
        <f t="shared" si="27"/>
        <v>0.3503083043143066</v>
      </c>
      <c r="DX12">
        <v>11</v>
      </c>
      <c r="DY12" s="9">
        <f t="shared" si="4"/>
        <v>9.9022502538100401</v>
      </c>
      <c r="EM12" s="7">
        <v>11</v>
      </c>
      <c r="EN12" s="8">
        <f t="shared" si="28"/>
        <v>0.88985282933869658</v>
      </c>
      <c r="EO12" s="8">
        <f t="shared" si="5"/>
        <v>-1.9200243445033673</v>
      </c>
      <c r="EP12" s="8">
        <f t="shared" si="29"/>
        <v>0.58936589419140606</v>
      </c>
      <c r="EQ12" s="8">
        <f t="shared" si="30"/>
        <v>0.92745061627390557</v>
      </c>
      <c r="ER12" s="8">
        <f t="shared" si="31"/>
        <v>-0.12052343819431605</v>
      </c>
      <c r="ES12" s="8">
        <f t="shared" si="32"/>
        <v>1.4229143469857601</v>
      </c>
      <c r="ET12" s="8">
        <f t="shared" si="33"/>
        <v>4.0331378485582672</v>
      </c>
      <c r="EU12" s="8">
        <f t="shared" si="34"/>
        <v>-5.8691124052517729</v>
      </c>
      <c r="EW12" s="49"/>
      <c r="EX12" s="48"/>
      <c r="EY12" s="48"/>
      <c r="EZ12" s="48"/>
      <c r="FA12" s="48"/>
      <c r="FB12" s="48"/>
      <c r="FK12" s="10"/>
      <c r="FL12" s="10"/>
    </row>
    <row r="13" spans="1:170" ht="18.600000000000001" thickBot="1" x14ac:dyDescent="0.4">
      <c r="A13" s="12" t="s">
        <v>50</v>
      </c>
      <c r="B13" s="13">
        <v>11</v>
      </c>
      <c r="C13" s="30">
        <f>RTD("fxbluelabs.excelrtd", , "21422436","@bh,AUDUSD,h1,close,11")</f>
        <v>0.67206999999999995</v>
      </c>
      <c r="D13" s="31">
        <f>RTD("fxbluelabs.excelrtd", , "21422436","@bh,AUDNZD,h1,close,11")</f>
        <v>1.09914</v>
      </c>
      <c r="E13" s="32">
        <f>RTD("fxbluelabs.excelrtd", , "21422436","@bh,AUDJPY,h1,close,11")</f>
        <v>98.798000000000002</v>
      </c>
      <c r="F13" s="31">
        <f>RTD("fxbluelabs.excelrtd", , "21422436","@bh,AUDCHF,h1,close,11")</f>
        <v>0.57930999999999999</v>
      </c>
      <c r="G13" s="31">
        <f>RTD("fxbluelabs.excelrtd", , "21422436","@bh,AUDCAD,h1,close,11")</f>
        <v>0.91652999999999996</v>
      </c>
      <c r="H13" s="31">
        <f>RTD("fxbluelabs.excelrtd", , "21422436","@bh,EURUSD,h1,close,11")</f>
        <v>1.1076299999999999</v>
      </c>
      <c r="I13" s="31">
        <f>RTD("fxbluelabs.excelrtd", , "21422436","@bh,EURCAD,h1,close,11")</f>
        <v>1.5104900000000001</v>
      </c>
      <c r="J13" s="31">
        <f>RTD("fxbluelabs.excelrtd", , "21422436","@bh,EURGBP,h1,close,11")</f>
        <v>0.85338000000000003</v>
      </c>
      <c r="K13" s="31">
        <f>RTD("fxbluelabs.excelrtd", , "21422436","@bh,EURCHF,h1,close,11")</f>
        <v>0.95474999999999999</v>
      </c>
      <c r="L13" s="32">
        <f>RTD("fxbluelabs.excelrtd", , "21422436","@bh,EURJPY,h1,close,11")</f>
        <v>162.81899999999999</v>
      </c>
      <c r="M13" s="31">
        <f>RTD("fxbluelabs.excelrtd", , "21422436","@bh,EURAUD,h1,close,11")</f>
        <v>1.6480600000000001</v>
      </c>
      <c r="N13" s="31">
        <f>RTD("fxbluelabs.excelrtd", , "21422436","@bh,EURNZD,h1,close,11")</f>
        <v>1.8114600000000001</v>
      </c>
      <c r="O13" s="31">
        <f>RTD("fxbluelabs.excelrtd", , "21422436","@bh,GBPUSD,h1,close,11")</f>
        <v>1.2979000000000001</v>
      </c>
      <c r="P13" s="31">
        <f>RTD("fxbluelabs.excelrtd", , "21422436","@bh,GBPAUD,h1,close,11")</f>
        <v>1.9311499999999999</v>
      </c>
      <c r="Q13" s="31">
        <f>RTD("fxbluelabs.excelrtd", , "21422436","@bh,GBPNZD,h1,close,11")</f>
        <v>2.1226099999999999</v>
      </c>
      <c r="R13" s="31">
        <f>RTD("fxbluelabs.excelrtd", , "21422436","@bh,GBPCAD,h1,close,11")</f>
        <v>1.76996</v>
      </c>
      <c r="S13" s="31">
        <f>RTD("fxbluelabs.excelrtd", , "21422436","@bh,GBPCHF,h1,close,11")</f>
        <v>1.1187400000000001</v>
      </c>
      <c r="T13" s="32">
        <f>RTD("fxbluelabs.excelrtd", , "21422436","@bh,GBPJPY,h1,close,11")</f>
        <v>190.79499999999999</v>
      </c>
      <c r="U13" s="32">
        <f>RTD("fxbluelabs.excelrtd", , "21422436","@bh,NZDJPY,h1,close,11")</f>
        <v>89.884</v>
      </c>
      <c r="V13" s="31">
        <f>RTD("fxbluelabs.excelrtd", , "21422436","@bh,NZDCHF,h1,close,11")</f>
        <v>0.52703999999999995</v>
      </c>
      <c r="W13" s="31">
        <f>RTD("fxbluelabs.excelrtd", , "21422436","@bh,NZDUSD,h1,close,11")</f>
        <v>0.61143999999999998</v>
      </c>
      <c r="X13" s="31">
        <f>RTD("fxbluelabs.excelrtd", , "21422436","@bh,NZDCAD,h1,close,11")</f>
        <v>0.83382000000000001</v>
      </c>
      <c r="Y13" s="32">
        <f>RTD("fxbluelabs.excelrtd", , "21422436","@bh,CADJPY,h1,close,11")</f>
        <v>107.79300000000001</v>
      </c>
      <c r="Z13" s="31">
        <f>RTD("fxbluelabs.excelrtd", , "21422436","@bh,CADCHF,h1,close,11")</f>
        <v>0.63205</v>
      </c>
      <c r="AA13" s="32">
        <f>RTD("fxbluelabs.excelrtd", , "21422436","@bh,CHFJPY,h1,close,11")</f>
        <v>170.53200000000001</v>
      </c>
      <c r="AB13" s="31">
        <f>RTD("fxbluelabs.excelrtd", , "21422436","@bh,USDCAD,h1,close,11")</f>
        <v>1.36378</v>
      </c>
      <c r="AC13" s="31">
        <f>RTD("fxbluelabs.excelrtd", , "21422436","@bh,USDCHF,h1,close,11")</f>
        <v>0.86199999999999999</v>
      </c>
      <c r="AD13" s="33">
        <f>RTD("fxbluelabs.excelrtd", , "21422436","@bh,USDJPY,h1,close,11")</f>
        <v>147.005</v>
      </c>
      <c r="AH13" s="23">
        <v>12</v>
      </c>
      <c r="AI13" s="42">
        <f t="shared" si="35"/>
        <v>-9.8107710374162729E-2</v>
      </c>
      <c r="AJ13" s="42">
        <f t="shared" si="35"/>
        <v>3.3674017310263427E-2</v>
      </c>
      <c r="AK13" s="42">
        <f t="shared" si="35"/>
        <v>0.35653701991934655</v>
      </c>
      <c r="AL13" s="42">
        <f t="shared" si="35"/>
        <v>-1.7258935814015809E-2</v>
      </c>
      <c r="AM13" s="42">
        <f t="shared" si="35"/>
        <v>-4.5804024210707991E-2</v>
      </c>
      <c r="AN13" s="42">
        <f t="shared" si="35"/>
        <v>-8.2991294934827653E-2</v>
      </c>
      <c r="AO13" s="42">
        <f t="shared" si="35"/>
        <v>-3.3090887431415493E-2</v>
      </c>
      <c r="AP13" s="42">
        <f t="shared" si="35"/>
        <v>-3.5141973573232003E-2</v>
      </c>
      <c r="AQ13" s="42">
        <f t="shared" si="35"/>
        <v>-1.0473836356849377E-3</v>
      </c>
      <c r="AR13" s="42">
        <f t="shared" si="35"/>
        <v>0.3649207591831104</v>
      </c>
      <c r="AS13" s="42">
        <f t="shared" si="35"/>
        <v>1.3350810758332665E-2</v>
      </c>
      <c r="AT13" s="42">
        <f t="shared" si="35"/>
        <v>4.7498066939140778E-2</v>
      </c>
      <c r="AU13" s="42">
        <f t="shared" si="35"/>
        <v>-5.0055831504373295E-2</v>
      </c>
      <c r="AV13" s="42">
        <f t="shared" si="35"/>
        <v>4.5589477119780751E-2</v>
      </c>
      <c r="AW13" s="42">
        <f t="shared" si="35"/>
        <v>7.921053500115062E-2</v>
      </c>
      <c r="AX13" s="42">
        <f t="shared" si="35"/>
        <v>-5.6498132737083182E-4</v>
      </c>
      <c r="AY13" s="42">
        <f t="shared" si="1"/>
        <v>2.8611791634636181E-2</v>
      </c>
      <c r="AZ13" s="42">
        <f t="shared" si="1"/>
        <v>0.40203966721218198</v>
      </c>
      <c r="BA13" s="42">
        <f t="shared" si="1"/>
        <v>0.32816162518137842</v>
      </c>
      <c r="BB13" s="42">
        <f t="shared" si="1"/>
        <v>-4.5516613563954256E-2</v>
      </c>
      <c r="BC13" s="42">
        <f t="shared" si="1"/>
        <v>-0.12251098515167325</v>
      </c>
      <c r="BD13" s="42">
        <f t="shared" si="1"/>
        <v>-7.4301327836627434E-2</v>
      </c>
      <c r="BE13" s="42">
        <f t="shared" si="1"/>
        <v>0.40051041792797037</v>
      </c>
      <c r="BF13" s="42">
        <f t="shared" si="1"/>
        <v>2.6903842501741389E-2</v>
      </c>
      <c r="BG13" s="42">
        <f t="shared" si="1"/>
        <v>0.36666686285012501</v>
      </c>
      <c r="BH13" s="42">
        <f t="shared" si="1"/>
        <v>5.0620281859604245E-2</v>
      </c>
      <c r="BI13" s="42">
        <f t="shared" si="1"/>
        <v>8.2434487803177608E-2</v>
      </c>
      <c r="BJ13" s="42">
        <f t="shared" si="1"/>
        <v>0.45304833882274564</v>
      </c>
      <c r="BN13" s="26">
        <v>12</v>
      </c>
      <c r="BO13" s="46">
        <f t="shared" si="6"/>
        <v>0.46143977946278331</v>
      </c>
      <c r="BP13" s="46">
        <f t="shared" si="2"/>
        <v>-0.28233864579287304</v>
      </c>
      <c r="BQ13" s="46">
        <f t="shared" si="38"/>
        <v>0.90931044795984706</v>
      </c>
      <c r="BR13" s="46">
        <f t="shared" si="38"/>
        <v>7.9933625680757681E-2</v>
      </c>
      <c r="BS13" s="46">
        <f t="shared" si="38"/>
        <v>0.12685833533953927</v>
      </c>
      <c r="BT13" s="46">
        <f t="shared" si="38"/>
        <v>0.35572527568560836</v>
      </c>
      <c r="BU13" s="46">
        <f t="shared" si="38"/>
        <v>2.2005199015538088E-2</v>
      </c>
      <c r="BV13" s="46">
        <f t="shared" si="38"/>
        <v>0.13140330214775142</v>
      </c>
      <c r="BW13" s="46">
        <f t="shared" si="38"/>
        <v>-2.2787846552686623E-2</v>
      </c>
      <c r="BX13" s="46">
        <f t="shared" si="38"/>
        <v>0.80169020846060579</v>
      </c>
      <c r="BY13" s="46">
        <f t="shared" si="38"/>
        <v>-0.10416579782654706</v>
      </c>
      <c r="BZ13" s="46">
        <f t="shared" si="38"/>
        <v>-0.3865181774280913</v>
      </c>
      <c r="CA13" s="46">
        <f t="shared" si="38"/>
        <v>0.22708049099662439</v>
      </c>
      <c r="CB13" s="46">
        <f t="shared" si="38"/>
        <v>-0.2341629721397773</v>
      </c>
      <c r="CC13" s="46">
        <f t="shared" si="38"/>
        <v>-0.51663990945544425</v>
      </c>
      <c r="CD13" s="46">
        <f t="shared" si="38"/>
        <v>-0.10719677315892928</v>
      </c>
      <c r="CE13" s="46">
        <f t="shared" si="38"/>
        <v>-0.15510025071410338</v>
      </c>
      <c r="CF13" s="46">
        <f t="shared" si="38"/>
        <v>0.67415966992977272</v>
      </c>
      <c r="CG13" s="46">
        <f t="shared" si="38"/>
        <v>1.1907657498176774</v>
      </c>
      <c r="CH13" s="46">
        <f t="shared" si="38"/>
        <v>0.36163094576934512</v>
      </c>
      <c r="CI13" s="46">
        <f t="shared" si="38"/>
        <v>0.7444489370701407</v>
      </c>
      <c r="CJ13" s="46">
        <f t="shared" si="38"/>
        <v>0.40899176340879195</v>
      </c>
      <c r="CK13" s="46">
        <f t="shared" si="38"/>
        <v>0.7797987717914725</v>
      </c>
      <c r="CL13" s="46">
        <f t="shared" si="38"/>
        <v>-4.8520805912069136E-2</v>
      </c>
      <c r="CM13" s="46">
        <f t="shared" si="37"/>
        <v>0.8223672664230417</v>
      </c>
      <c r="CN13" s="46">
        <f t="shared" si="37"/>
        <v>-0.33280728457073505</v>
      </c>
      <c r="CO13" s="46">
        <f t="shared" si="37"/>
        <v>-0.37811237541096177</v>
      </c>
      <c r="CP13" s="46">
        <f t="shared" si="37"/>
        <v>0.44786571448141022</v>
      </c>
      <c r="CU13" s="23">
        <v>12</v>
      </c>
      <c r="CV13" s="25">
        <f t="shared" si="7"/>
        <v>0.79735216350217875</v>
      </c>
      <c r="CW13" s="25">
        <f t="shared" si="8"/>
        <v>-2.0517484287154435</v>
      </c>
      <c r="CX13" s="25">
        <f t="shared" si="9"/>
        <v>0.61342672584519831</v>
      </c>
      <c r="CY13" s="25">
        <f t="shared" si="10"/>
        <v>0.93680316765069049</v>
      </c>
      <c r="CZ13" s="25">
        <f t="shared" si="11"/>
        <v>-0.24326304668960852</v>
      </c>
      <c r="DA13" s="25">
        <f t="shared" si="12"/>
        <v>1.6335323126163785</v>
      </c>
      <c r="DB13" s="25">
        <f t="shared" si="13"/>
        <v>3.8913341287423644</v>
      </c>
      <c r="DC13" s="25">
        <f t="shared" si="14"/>
        <v>-5.6259578288638279</v>
      </c>
      <c r="DF13" s="18">
        <v>12</v>
      </c>
      <c r="DG13" s="21">
        <f t="shared" si="36"/>
        <v>-0.33280728457073505</v>
      </c>
      <c r="DH13" s="21">
        <f t="shared" si="15"/>
        <v>2.2005199015538088E-2</v>
      </c>
      <c r="DI13" s="21">
        <f t="shared" si="16"/>
        <v>-0.37811237541096177</v>
      </c>
      <c r="DJ13" s="21">
        <f t="shared" si="17"/>
        <v>-2.2787846552686623E-2</v>
      </c>
      <c r="DK13" s="21">
        <f t="shared" si="18"/>
        <v>-0.22708049099662439</v>
      </c>
      <c r="DL13" s="21">
        <f t="shared" si="19"/>
        <v>0.13140330214775142</v>
      </c>
      <c r="DM13" s="21">
        <f t="shared" si="20"/>
        <v>-0.46143977946278331</v>
      </c>
      <c r="DN13" s="21">
        <f t="shared" si="21"/>
        <v>-0.10416579782654706</v>
      </c>
      <c r="DO13" s="21">
        <f t="shared" si="22"/>
        <v>-0.7444489370701407</v>
      </c>
      <c r="DP13" s="21">
        <f t="shared" si="23"/>
        <v>-0.3865181774280913</v>
      </c>
      <c r="DQ13" s="21">
        <f t="shared" si="24"/>
        <v>0.44786571448141022</v>
      </c>
      <c r="DR13" s="21">
        <f t="shared" si="25"/>
        <v>0.80169020846060579</v>
      </c>
      <c r="DS13" s="21">
        <f t="shared" si="26"/>
        <v>-0.35572527568560836</v>
      </c>
      <c r="DT13" s="21">
        <f t="shared" si="27"/>
        <v>0.35572527568560836</v>
      </c>
      <c r="DX13">
        <v>12</v>
      </c>
      <c r="DY13" s="9">
        <f t="shared" si="4"/>
        <v>9.5172919576061918</v>
      </c>
      <c r="EM13" s="11">
        <v>12</v>
      </c>
      <c r="EN13" s="8">
        <f t="shared" si="28"/>
        <v>0.79735216350217875</v>
      </c>
      <c r="EO13" s="8">
        <f t="shared" si="5"/>
        <v>-2.0517484287154435</v>
      </c>
      <c r="EP13" s="8">
        <f t="shared" si="29"/>
        <v>0.61342672584519831</v>
      </c>
      <c r="EQ13" s="8">
        <f t="shared" si="30"/>
        <v>0.93680316765069049</v>
      </c>
      <c r="ER13" s="8">
        <f t="shared" si="31"/>
        <v>-0.24326304668960852</v>
      </c>
      <c r="ES13" s="8">
        <f t="shared" si="32"/>
        <v>1.6335323126163785</v>
      </c>
      <c r="ET13" s="8">
        <f t="shared" si="33"/>
        <v>3.8913341287423644</v>
      </c>
      <c r="EU13" s="8">
        <f t="shared" si="34"/>
        <v>-5.6259578288638279</v>
      </c>
      <c r="EW13" s="50"/>
      <c r="EX13" s="51"/>
      <c r="EY13" s="48"/>
      <c r="EZ13" s="48"/>
      <c r="FA13" s="48"/>
      <c r="FB13" s="48"/>
      <c r="FK13" s="10"/>
      <c r="FL13" s="10"/>
    </row>
    <row r="14" spans="1:170" ht="18.600000000000001" thickBot="1" x14ac:dyDescent="0.4">
      <c r="A14" s="12" t="s">
        <v>50</v>
      </c>
      <c r="B14" s="13">
        <v>12</v>
      </c>
      <c r="C14" s="30">
        <f>RTD("fxbluelabs.excelrtd", , "21422436","@bh,AUDUSD,h1,close,12")</f>
        <v>0.67273000000000005</v>
      </c>
      <c r="D14" s="31">
        <f>RTD("fxbluelabs.excelrtd", , "21422436","@bh,AUDNZD,h1,close,12")</f>
        <v>1.09877</v>
      </c>
      <c r="E14" s="32">
        <f>RTD("fxbluelabs.excelrtd", , "21422436","@bh,AUDJPY,h1,close,12")</f>
        <v>98.447000000000003</v>
      </c>
      <c r="F14" s="31">
        <f>RTD("fxbluelabs.excelrtd", , "21422436","@bh,AUDCHF,h1,close,12")</f>
        <v>0.57940999999999998</v>
      </c>
      <c r="G14" s="31">
        <f>RTD("fxbluelabs.excelrtd", , "21422436","@bh,AUDCAD,h1,close,12")</f>
        <v>0.91695000000000004</v>
      </c>
      <c r="H14" s="31">
        <f>RTD("fxbluelabs.excelrtd", , "21422436","@bh,EURUSD,h1,close,12")</f>
        <v>1.1085499999999999</v>
      </c>
      <c r="I14" s="31">
        <f>RTD("fxbluelabs.excelrtd", , "21422436","@bh,EURCAD,h1,close,12")</f>
        <v>1.5109900000000001</v>
      </c>
      <c r="J14" s="31">
        <f>RTD("fxbluelabs.excelrtd", , "21422436","@bh,EURGBP,h1,close,12")</f>
        <v>0.85367999999999999</v>
      </c>
      <c r="K14" s="31">
        <f>RTD("fxbluelabs.excelrtd", , "21422436","@bh,EURCHF,h1,close,12")</f>
        <v>0.95476000000000005</v>
      </c>
      <c r="L14" s="32">
        <f>RTD("fxbluelabs.excelrtd", , "21422436","@bh,EURJPY,h1,close,12")</f>
        <v>162.227</v>
      </c>
      <c r="M14" s="31">
        <f>RTD("fxbluelabs.excelrtd", , "21422436","@bh,EURAUD,h1,close,12")</f>
        <v>1.64784</v>
      </c>
      <c r="N14" s="31">
        <f>RTD("fxbluelabs.excelrtd", , "21422436","@bh,EURNZD,h1,close,12")</f>
        <v>1.8106</v>
      </c>
      <c r="O14" s="31">
        <f>RTD("fxbluelabs.excelrtd", , "21422436","@bh,GBPUSD,h1,close,12")</f>
        <v>1.2985500000000001</v>
      </c>
      <c r="P14" s="31">
        <f>RTD("fxbluelabs.excelrtd", , "21422436","@bh,GBPAUD,h1,close,12")</f>
        <v>1.9302699999999999</v>
      </c>
      <c r="Q14" s="31">
        <f>RTD("fxbluelabs.excelrtd", , "21422436","@bh,GBPNZD,h1,close,12")</f>
        <v>2.12093</v>
      </c>
      <c r="R14" s="31">
        <f>RTD("fxbluelabs.excelrtd", , "21422436","@bh,GBPCAD,h1,close,12")</f>
        <v>1.76997</v>
      </c>
      <c r="S14" s="31">
        <f>RTD("fxbluelabs.excelrtd", , "21422436","@bh,GBPCHF,h1,close,12")</f>
        <v>1.11842</v>
      </c>
      <c r="T14" s="32">
        <f>RTD("fxbluelabs.excelrtd", , "21422436","@bh,GBPJPY,h1,close,12")</f>
        <v>190.03100000000001</v>
      </c>
      <c r="U14" s="32">
        <f>RTD("fxbluelabs.excelrtd", , "21422436","@bh,NZDJPY,h1,close,12")</f>
        <v>89.59</v>
      </c>
      <c r="V14" s="31">
        <f>RTD("fxbluelabs.excelrtd", , "21422436","@bh,NZDCHF,h1,close,12")</f>
        <v>0.52727999999999997</v>
      </c>
      <c r="W14" s="31">
        <f>RTD("fxbluelabs.excelrtd", , "21422436","@bh,NZDUSD,h1,close,12")</f>
        <v>0.61219000000000001</v>
      </c>
      <c r="X14" s="31">
        <f>RTD("fxbluelabs.excelrtd", , "21422436","@bh,NZDCAD,h1,close,12")</f>
        <v>0.83443999999999996</v>
      </c>
      <c r="Y14" s="32">
        <f>RTD("fxbluelabs.excelrtd", , "21422436","@bh,CADJPY,h1,close,12")</f>
        <v>107.363</v>
      </c>
      <c r="Z14" s="31">
        <f>RTD("fxbluelabs.excelrtd", , "21422436","@bh,CADCHF,h1,close,12")</f>
        <v>0.63188</v>
      </c>
      <c r="AA14" s="32">
        <f>RTD("fxbluelabs.excelrtd", , "21422436","@bh,CHFJPY,h1,close,12")</f>
        <v>169.90899999999999</v>
      </c>
      <c r="AB14" s="31">
        <f>RTD("fxbluelabs.excelrtd", , "21422436","@bh,USDCAD,h1,close,12")</f>
        <v>1.3630899999999999</v>
      </c>
      <c r="AC14" s="31">
        <f>RTD("fxbluelabs.excelrtd", , "21422436","@bh,USDCHF,h1,close,12")</f>
        <v>0.86129</v>
      </c>
      <c r="AD14" s="33">
        <f>RTD("fxbluelabs.excelrtd", , "21422436","@bh,USDJPY,h1,close,12")</f>
        <v>146.34200000000001</v>
      </c>
      <c r="AH14" s="23">
        <v>13</v>
      </c>
      <c r="AI14" s="41">
        <f t="shared" si="35"/>
        <v>1.3380114176979438E-2</v>
      </c>
      <c r="AJ14" s="41">
        <f t="shared" si="35"/>
        <v>-7.3664490078027736E-2</v>
      </c>
      <c r="AK14" s="41">
        <f t="shared" si="35"/>
        <v>7.1154843103578475E-2</v>
      </c>
      <c r="AL14" s="41">
        <f t="shared" si="35"/>
        <v>-5.8645968089695036E-2</v>
      </c>
      <c r="AM14" s="41">
        <f t="shared" si="35"/>
        <v>-1.6355904481516026E-2</v>
      </c>
      <c r="AN14" s="41">
        <f t="shared" si="35"/>
        <v>2.165459122447853E-2</v>
      </c>
      <c r="AO14" s="41">
        <f t="shared" si="35"/>
        <v>-8.602890571229517E-3</v>
      </c>
      <c r="AP14" s="41">
        <f t="shared" si="35"/>
        <v>2.226153792077511E-2</v>
      </c>
      <c r="AQ14" s="41">
        <f t="shared" si="35"/>
        <v>-5.0249152045551373E-2</v>
      </c>
      <c r="AR14" s="41">
        <f t="shared" si="35"/>
        <v>7.9581487741977486E-2</v>
      </c>
      <c r="AS14" s="41">
        <f t="shared" si="35"/>
        <v>7.8897378786293385E-3</v>
      </c>
      <c r="AT14" s="41">
        <f t="shared" si="35"/>
        <v>-6.6232475990732412E-2</v>
      </c>
      <c r="AU14" s="41">
        <f t="shared" si="35"/>
        <v>2.3103225210390705E-3</v>
      </c>
      <c r="AV14" s="41">
        <f t="shared" si="35"/>
        <v>-1.1396070427720889E-2</v>
      </c>
      <c r="AW14" s="41">
        <f t="shared" si="35"/>
        <v>-8.4796464929586049E-2</v>
      </c>
      <c r="AX14" s="41">
        <f t="shared" si="35"/>
        <v>-2.7676423076481788E-2</v>
      </c>
      <c r="AY14" s="41">
        <f t="shared" si="1"/>
        <v>-6.9692637598284757E-2</v>
      </c>
      <c r="AZ14" s="41">
        <f t="shared" si="1"/>
        <v>5.9499362882928182E-2</v>
      </c>
      <c r="BA14" s="41">
        <f t="shared" si="1"/>
        <v>0.14307750776866168</v>
      </c>
      <c r="BB14" s="41">
        <f t="shared" si="1"/>
        <v>1.5174506828522189E-2</v>
      </c>
      <c r="BC14" s="41">
        <f t="shared" si="1"/>
        <v>8.5013160691216658E-2</v>
      </c>
      <c r="BD14" s="41">
        <f t="shared" si="1"/>
        <v>5.6356943295318832E-2</v>
      </c>
      <c r="BE14" s="41">
        <f t="shared" si="1"/>
        <v>8.7630163420926901E-2</v>
      </c>
      <c r="BF14" s="41">
        <f t="shared" si="1"/>
        <v>-4.2711381792294945E-2</v>
      </c>
      <c r="BG14" s="41">
        <f t="shared" si="1"/>
        <v>0.1308291147819102</v>
      </c>
      <c r="BH14" s="41">
        <f t="shared" si="1"/>
        <v>-2.9336482115760142E-2</v>
      </c>
      <c r="BI14" s="41">
        <f t="shared" si="1"/>
        <v>-7.193326449396735E-2</v>
      </c>
      <c r="BJ14" s="41">
        <f t="shared" si="1"/>
        <v>5.811687645720065E-2</v>
      </c>
      <c r="BN14" s="26">
        <v>13</v>
      </c>
      <c r="BO14" s="45">
        <f t="shared" si="6"/>
        <v>0.55954748983694602</v>
      </c>
      <c r="BP14" s="45">
        <f t="shared" si="2"/>
        <v>-0.31601266310313642</v>
      </c>
      <c r="BQ14" s="45">
        <f t="shared" si="38"/>
        <v>0.55277342804050034</v>
      </c>
      <c r="BR14" s="45">
        <f t="shared" si="38"/>
        <v>9.7192561494773497E-2</v>
      </c>
      <c r="BS14" s="45">
        <f t="shared" si="38"/>
        <v>0.17266235955024728</v>
      </c>
      <c r="BT14" s="45">
        <f t="shared" si="38"/>
        <v>0.43871657062043601</v>
      </c>
      <c r="BU14" s="45">
        <f t="shared" si="38"/>
        <v>5.5096086446953595E-2</v>
      </c>
      <c r="BV14" s="45">
        <f t="shared" si="38"/>
        <v>0.16654527572098343</v>
      </c>
      <c r="BW14" s="45">
        <f t="shared" si="38"/>
        <v>-2.1740462917001671E-2</v>
      </c>
      <c r="BX14" s="45">
        <f t="shared" si="38"/>
        <v>0.43676944927749528</v>
      </c>
      <c r="BY14" s="45">
        <f t="shared" si="38"/>
        <v>-0.11751660858487972</v>
      </c>
      <c r="BZ14" s="45">
        <f t="shared" si="38"/>
        <v>-0.43401624436723207</v>
      </c>
      <c r="CA14" s="45">
        <f t="shared" si="38"/>
        <v>0.27713632250099773</v>
      </c>
      <c r="CB14" s="45">
        <f t="shared" si="38"/>
        <v>-0.27975244925955806</v>
      </c>
      <c r="CC14" s="45">
        <f t="shared" si="38"/>
        <v>-0.59585044445659474</v>
      </c>
      <c r="CD14" s="45">
        <f t="shared" si="38"/>
        <v>-0.10663179183155848</v>
      </c>
      <c r="CE14" s="45">
        <f t="shared" si="38"/>
        <v>-0.18371204234873956</v>
      </c>
      <c r="CF14" s="45">
        <f t="shared" si="38"/>
        <v>0.27212000271759068</v>
      </c>
      <c r="CG14" s="45">
        <f t="shared" si="38"/>
        <v>0.86260412463629887</v>
      </c>
      <c r="CH14" s="45">
        <f t="shared" si="38"/>
        <v>0.40714755933329927</v>
      </c>
      <c r="CI14" s="45">
        <f t="shared" si="38"/>
        <v>0.86695992222181395</v>
      </c>
      <c r="CJ14" s="45">
        <f t="shared" si="38"/>
        <v>0.48329309124541942</v>
      </c>
      <c r="CK14" s="45">
        <f t="shared" si="38"/>
        <v>0.37928835386350213</v>
      </c>
      <c r="CL14" s="45">
        <f t="shared" si="38"/>
        <v>-7.5424648413810524E-2</v>
      </c>
      <c r="CM14" s="45">
        <f t="shared" si="37"/>
        <v>0.45570040357291663</v>
      </c>
      <c r="CN14" s="45">
        <f t="shared" si="37"/>
        <v>-0.38342756643033921</v>
      </c>
      <c r="CO14" s="45">
        <f t="shared" si="37"/>
        <v>-0.4605468632141394</v>
      </c>
      <c r="CP14" s="45">
        <f t="shared" si="37"/>
        <v>-5.1826243413354289E-3</v>
      </c>
      <c r="CU14" s="23">
        <v>13</v>
      </c>
      <c r="CV14" s="24">
        <f t="shared" si="7"/>
        <v>0.5238540661967549</v>
      </c>
      <c r="CW14" s="24">
        <f t="shared" si="8"/>
        <v>-2.9915173591660076</v>
      </c>
      <c r="CX14" s="24">
        <f t="shared" si="9"/>
        <v>8.2871526468969003E-2</v>
      </c>
      <c r="CY14" s="24">
        <f t="shared" si="10"/>
        <v>0.61735965122472458</v>
      </c>
      <c r="CZ14" s="24">
        <f t="shared" si="11"/>
        <v>-0.78323567839884578</v>
      </c>
      <c r="DA14" s="24">
        <f t="shared" si="12"/>
        <v>1.4634322336637684</v>
      </c>
      <c r="DB14" s="24">
        <f t="shared" si="13"/>
        <v>3.9658840493637948</v>
      </c>
      <c r="DC14" s="24">
        <f t="shared" si="14"/>
        <v>-2.9540731377669687</v>
      </c>
      <c r="DF14" s="20">
        <v>13</v>
      </c>
      <c r="DG14" s="19">
        <f t="shared" si="36"/>
        <v>-0.38342756643033921</v>
      </c>
      <c r="DH14" s="19">
        <f t="shared" si="15"/>
        <v>5.5096086446953595E-2</v>
      </c>
      <c r="DI14" s="19">
        <f t="shared" si="16"/>
        <v>-0.4605468632141394</v>
      </c>
      <c r="DJ14" s="19">
        <f t="shared" si="17"/>
        <v>-2.1740462917001671E-2</v>
      </c>
      <c r="DK14" s="19">
        <f t="shared" si="18"/>
        <v>-0.27713632250099773</v>
      </c>
      <c r="DL14" s="19">
        <f t="shared" si="19"/>
        <v>0.16654527572098343</v>
      </c>
      <c r="DM14" s="19">
        <f t="shared" si="20"/>
        <v>-0.55954748983694602</v>
      </c>
      <c r="DN14" s="19">
        <f t="shared" si="21"/>
        <v>-0.11751660858487972</v>
      </c>
      <c r="DO14" s="19">
        <f t="shared" si="22"/>
        <v>-0.86695992222181395</v>
      </c>
      <c r="DP14" s="19">
        <f t="shared" si="23"/>
        <v>-0.43401624436723207</v>
      </c>
      <c r="DQ14" s="19">
        <f t="shared" si="24"/>
        <v>-5.1826243413354289E-3</v>
      </c>
      <c r="DR14" s="19">
        <f t="shared" si="25"/>
        <v>0.43676944927749528</v>
      </c>
      <c r="DS14" s="19">
        <f t="shared" si="26"/>
        <v>-0.43871657062043601</v>
      </c>
      <c r="DT14" s="19">
        <f t="shared" si="27"/>
        <v>0.43871657062043601</v>
      </c>
      <c r="DX14">
        <v>13</v>
      </c>
      <c r="DY14" s="9">
        <f t="shared" si="4"/>
        <v>6.9199571871307635</v>
      </c>
      <c r="EM14" s="11">
        <v>13</v>
      </c>
      <c r="EN14" s="8">
        <f t="shared" si="28"/>
        <v>0.5238540661967549</v>
      </c>
      <c r="EO14" s="8">
        <f t="shared" si="5"/>
        <v>-2.9915173591660076</v>
      </c>
      <c r="EP14" s="8">
        <f t="shared" si="29"/>
        <v>8.2871526468969003E-2</v>
      </c>
      <c r="EQ14" s="8">
        <f t="shared" si="30"/>
        <v>0.61735965122472458</v>
      </c>
      <c r="ER14" s="8">
        <f t="shared" si="31"/>
        <v>-0.78323567839884578</v>
      </c>
      <c r="ES14" s="8">
        <f t="shared" si="32"/>
        <v>1.4634322336637684</v>
      </c>
      <c r="ET14" s="8">
        <f t="shared" si="33"/>
        <v>3.9658840493637948</v>
      </c>
      <c r="EU14" s="8">
        <f t="shared" si="34"/>
        <v>-2.9540731377669687</v>
      </c>
      <c r="EW14" s="50"/>
      <c r="EX14" s="51"/>
      <c r="EY14" s="48"/>
      <c r="EZ14" s="48"/>
      <c r="FA14" s="48"/>
      <c r="FB14" s="48"/>
      <c r="FK14" s="10"/>
      <c r="FL14" s="10"/>
    </row>
    <row r="15" spans="1:170" ht="18.600000000000001" thickBot="1" x14ac:dyDescent="0.4">
      <c r="A15" s="12" t="s">
        <v>50</v>
      </c>
      <c r="B15" s="13">
        <v>13</v>
      </c>
      <c r="C15" s="30">
        <f>RTD("fxbluelabs.excelrtd", , "21422436","@bh,AUDUSD,h1,close,13")</f>
        <v>0.67264000000000002</v>
      </c>
      <c r="D15" s="31">
        <f>RTD("fxbluelabs.excelrtd", , "21422436","@bh,AUDNZD,h1,close,13")</f>
        <v>1.09958</v>
      </c>
      <c r="E15" s="32">
        <f>RTD("fxbluelabs.excelrtd", , "21422436","@bh,AUDJPY,h1,close,13")</f>
        <v>98.376999999999995</v>
      </c>
      <c r="F15" s="31">
        <f>RTD("fxbluelabs.excelrtd", , "21422436","@bh,AUDCHF,h1,close,13")</f>
        <v>0.57974999999999999</v>
      </c>
      <c r="G15" s="31">
        <f>RTD("fxbluelabs.excelrtd", , "21422436","@bh,AUDCAD,h1,close,13")</f>
        <v>0.91710000000000003</v>
      </c>
      <c r="H15" s="31">
        <f>RTD("fxbluelabs.excelrtd", , "21422436","@bh,EURUSD,h1,close,13")</f>
        <v>1.1083099999999999</v>
      </c>
      <c r="I15" s="31">
        <f>RTD("fxbluelabs.excelrtd", , "21422436","@bh,EURCAD,h1,close,13")</f>
        <v>1.51112</v>
      </c>
      <c r="J15" s="31">
        <f>RTD("fxbluelabs.excelrtd", , "21422436","@bh,EURGBP,h1,close,13")</f>
        <v>0.85348999999999997</v>
      </c>
      <c r="K15" s="31">
        <f>RTD("fxbluelabs.excelrtd", , "21422436","@bh,EURCHF,h1,close,13")</f>
        <v>0.95523999999999998</v>
      </c>
      <c r="L15" s="32">
        <f>RTD("fxbluelabs.excelrtd", , "21422436","@bh,EURJPY,h1,close,13")</f>
        <v>162.09800000000001</v>
      </c>
      <c r="M15" s="31">
        <f>RTD("fxbluelabs.excelrtd", , "21422436","@bh,EURAUD,h1,close,13")</f>
        <v>1.64771</v>
      </c>
      <c r="N15" s="31">
        <f>RTD("fxbluelabs.excelrtd", , "21422436","@bh,EURNZD,h1,close,13")</f>
        <v>1.8118000000000001</v>
      </c>
      <c r="O15" s="31">
        <f>RTD("fxbluelabs.excelrtd", , "21422436","@bh,GBPUSD,h1,close,13")</f>
        <v>1.2985199999999999</v>
      </c>
      <c r="P15" s="31">
        <f>RTD("fxbluelabs.excelrtd", , "21422436","@bh,GBPAUD,h1,close,13")</f>
        <v>1.93049</v>
      </c>
      <c r="Q15" s="31">
        <f>RTD("fxbluelabs.excelrtd", , "21422436","@bh,GBPNZD,h1,close,13")</f>
        <v>2.1227299999999998</v>
      </c>
      <c r="R15" s="31">
        <f>RTD("fxbluelabs.excelrtd", , "21422436","@bh,GBPCAD,h1,close,13")</f>
        <v>1.7704599999999999</v>
      </c>
      <c r="S15" s="31">
        <f>RTD("fxbluelabs.excelrtd", , "21422436","@bh,GBPCHF,h1,close,13")</f>
        <v>1.1192</v>
      </c>
      <c r="T15" s="32">
        <f>RTD("fxbluelabs.excelrtd", , "21422436","@bh,GBPJPY,h1,close,13")</f>
        <v>189.91800000000001</v>
      </c>
      <c r="U15" s="32">
        <f>RTD("fxbluelabs.excelrtd", , "21422436","@bh,NZDJPY,h1,close,13")</f>
        <v>89.462000000000003</v>
      </c>
      <c r="V15" s="31">
        <f>RTD("fxbluelabs.excelrtd", , "21422436","@bh,NZDCHF,h1,close,13")</f>
        <v>0.5272</v>
      </c>
      <c r="W15" s="31">
        <f>RTD("fxbluelabs.excelrtd", , "21422436","@bh,NZDUSD,h1,close,13")</f>
        <v>0.61167000000000005</v>
      </c>
      <c r="X15" s="31">
        <f>RTD("fxbluelabs.excelrtd", , "21422436","@bh,NZDCAD,h1,close,13")</f>
        <v>0.83396999999999999</v>
      </c>
      <c r="Y15" s="32">
        <f>RTD("fxbluelabs.excelrtd", , "21422436","@bh,CADJPY,h1,close,13")</f>
        <v>107.26900000000001</v>
      </c>
      <c r="Z15" s="31">
        <f>RTD("fxbluelabs.excelrtd", , "21422436","@bh,CADCHF,h1,close,13")</f>
        <v>0.63214999999999999</v>
      </c>
      <c r="AA15" s="32">
        <f>RTD("fxbluelabs.excelrtd", , "21422436","@bh,CHFJPY,h1,close,13")</f>
        <v>169.68700000000001</v>
      </c>
      <c r="AB15" s="31">
        <f>RTD("fxbluelabs.excelrtd", , "21422436","@bh,USDCAD,h1,close,13")</f>
        <v>1.3634900000000001</v>
      </c>
      <c r="AC15" s="31">
        <f>RTD("fxbluelabs.excelrtd", , "21422436","@bh,USDCHF,h1,close,13")</f>
        <v>0.86190999999999995</v>
      </c>
      <c r="AD15" s="33">
        <f>RTD("fxbluelabs.excelrtd", , "21422436","@bh,USDJPY,h1,close,13")</f>
        <v>146.25700000000001</v>
      </c>
      <c r="AH15" s="23">
        <v>14</v>
      </c>
      <c r="AI15" s="42">
        <f t="shared" si="35"/>
        <v>-0.10989337372656791</v>
      </c>
      <c r="AJ15" s="42">
        <f t="shared" si="35"/>
        <v>-0.10719866274210173</v>
      </c>
      <c r="AK15" s="42">
        <f t="shared" si="35"/>
        <v>-0.42108246535686839</v>
      </c>
      <c r="AL15" s="42">
        <f t="shared" si="35"/>
        <v>-0.18937763622277523</v>
      </c>
      <c r="AM15" s="42">
        <f t="shared" si="35"/>
        <v>-8.9332403695303722E-2</v>
      </c>
      <c r="AN15" s="42">
        <f t="shared" si="35"/>
        <v>-2.3453638471197035E-2</v>
      </c>
      <c r="AO15" s="42">
        <f t="shared" si="35"/>
        <v>0</v>
      </c>
      <c r="AP15" s="42">
        <f t="shared" si="35"/>
        <v>7.0304535814242506E-3</v>
      </c>
      <c r="AQ15" s="42">
        <f t="shared" si="35"/>
        <v>-0.10353157713102981</v>
      </c>
      <c r="AR15" s="42">
        <f t="shared" si="35"/>
        <v>-0.33325135268075085</v>
      </c>
      <c r="AS15" s="42">
        <f t="shared" si="35"/>
        <v>8.9294392069205128E-2</v>
      </c>
      <c r="AT15" s="42">
        <f t="shared" si="35"/>
        <v>-1.8210614028791611E-2</v>
      </c>
      <c r="AU15" s="42">
        <f t="shared" si="35"/>
        <v>-3.2334057000330034E-2</v>
      </c>
      <c r="AV15" s="42">
        <f t="shared" si="35"/>
        <v>8.0355013634428249E-2</v>
      </c>
      <c r="AW15" s="42">
        <f t="shared" si="35"/>
        <v>-2.7315841775352963E-2</v>
      </c>
      <c r="AX15" s="42">
        <f t="shared" si="35"/>
        <v>-8.471656660704192E-3</v>
      </c>
      <c r="AY15" s="42">
        <f t="shared" si="1"/>
        <v>-0.11067080789690922</v>
      </c>
      <c r="AZ15" s="42">
        <f t="shared" si="1"/>
        <v>-0.34108559674237315</v>
      </c>
      <c r="BA15" s="42">
        <f t="shared" si="1"/>
        <v>-0.31867005392877984</v>
      </c>
      <c r="BB15" s="42">
        <f t="shared" si="1"/>
        <v>-8.9070820778132248E-2</v>
      </c>
      <c r="BC15" s="42">
        <f t="shared" si="1"/>
        <v>-9.8082487371796354E-3</v>
      </c>
      <c r="BD15" s="42">
        <f t="shared" si="1"/>
        <v>1.3191662869059971E-2</v>
      </c>
      <c r="BE15" s="42">
        <f t="shared" si="1"/>
        <v>-0.33263028793889071</v>
      </c>
      <c r="BF15" s="42">
        <f t="shared" si="1"/>
        <v>-0.10113939853663521</v>
      </c>
      <c r="BG15" s="42">
        <f t="shared" si="1"/>
        <v>-0.22989451898540147</v>
      </c>
      <c r="BH15" s="42">
        <f t="shared" si="1"/>
        <v>2.1273474178412816E-2</v>
      </c>
      <c r="BI15" s="42">
        <f t="shared" si="1"/>
        <v>-7.8832353725409976E-2</v>
      </c>
      <c r="BJ15" s="42">
        <f t="shared" si="1"/>
        <v>-0.31013141392659366</v>
      </c>
      <c r="BN15" s="26">
        <v>14</v>
      </c>
      <c r="BO15" s="46">
        <f t="shared" si="6"/>
        <v>0.54616737565996654</v>
      </c>
      <c r="BP15" s="46">
        <f t="shared" si="2"/>
        <v>-0.24234817302510869</v>
      </c>
      <c r="BQ15" s="46">
        <f t="shared" si="38"/>
        <v>0.48161858493692183</v>
      </c>
      <c r="BR15" s="46">
        <f t="shared" si="38"/>
        <v>0.15583852958446856</v>
      </c>
      <c r="BS15" s="46">
        <f t="shared" si="38"/>
        <v>0.18901826403176336</v>
      </c>
      <c r="BT15" s="46">
        <f t="shared" si="38"/>
        <v>0.41706197939595741</v>
      </c>
      <c r="BU15" s="46">
        <f t="shared" si="38"/>
        <v>6.3698977018183112E-2</v>
      </c>
      <c r="BV15" s="46">
        <f t="shared" si="38"/>
        <v>0.14428373780020834</v>
      </c>
      <c r="BW15" s="46">
        <f t="shared" si="38"/>
        <v>2.8508689128549675E-2</v>
      </c>
      <c r="BX15" s="46">
        <f t="shared" si="38"/>
        <v>0.35718796153551774</v>
      </c>
      <c r="BY15" s="46">
        <f t="shared" si="38"/>
        <v>-0.12540634646350907</v>
      </c>
      <c r="BZ15" s="46">
        <f t="shared" si="38"/>
        <v>-0.36778376837649968</v>
      </c>
      <c r="CA15" s="46">
        <f t="shared" si="38"/>
        <v>0.2748259999799586</v>
      </c>
      <c r="CB15" s="46">
        <f t="shared" si="38"/>
        <v>-0.26835637883183711</v>
      </c>
      <c r="CC15" s="46">
        <f t="shared" si="38"/>
        <v>-0.51105397952700882</v>
      </c>
      <c r="CD15" s="46">
        <f t="shared" si="38"/>
        <v>-7.895536875507668E-2</v>
      </c>
      <c r="CE15" s="46">
        <f t="shared" si="38"/>
        <v>-0.11401940475045481</v>
      </c>
      <c r="CF15" s="46">
        <f t="shared" si="38"/>
        <v>0.21262063983466251</v>
      </c>
      <c r="CG15" s="46">
        <f t="shared" si="38"/>
        <v>0.71952661686763708</v>
      </c>
      <c r="CH15" s="46">
        <f t="shared" si="38"/>
        <v>0.39197305250477721</v>
      </c>
      <c r="CI15" s="46">
        <f t="shared" si="38"/>
        <v>0.78194676153059728</v>
      </c>
      <c r="CJ15" s="46">
        <f t="shared" si="38"/>
        <v>0.42693614795010065</v>
      </c>
      <c r="CK15" s="46">
        <f t="shared" si="38"/>
        <v>0.29165819044257524</v>
      </c>
      <c r="CL15" s="46">
        <f t="shared" si="38"/>
        <v>-3.2713266621515594E-2</v>
      </c>
      <c r="CM15" s="46">
        <f t="shared" si="37"/>
        <v>0.32487128879100646</v>
      </c>
      <c r="CN15" s="46">
        <f t="shared" si="37"/>
        <v>-0.35409108431457914</v>
      </c>
      <c r="CO15" s="46">
        <f t="shared" si="37"/>
        <v>-0.38861359872017204</v>
      </c>
      <c r="CP15" s="46">
        <f t="shared" si="37"/>
        <v>-6.3299500798536079E-2</v>
      </c>
      <c r="CU15" s="23">
        <v>14</v>
      </c>
      <c r="CV15" s="25">
        <f t="shared" si="7"/>
        <v>0.51755123003840731</v>
      </c>
      <c r="CW15" s="25">
        <f t="shared" si="8"/>
        <v>-2.8260063003997677</v>
      </c>
      <c r="CX15" s="25">
        <f t="shared" si="9"/>
        <v>1.2337987890668312E-2</v>
      </c>
      <c r="CY15" s="25">
        <f t="shared" si="10"/>
        <v>0.25118402104383797</v>
      </c>
      <c r="CZ15" s="25">
        <f t="shared" si="11"/>
        <v>-0.62922222984996468</v>
      </c>
      <c r="DA15" s="25">
        <f t="shared" si="12"/>
        <v>1.5240573064833578</v>
      </c>
      <c r="DB15" s="25">
        <f t="shared" si="13"/>
        <v>3.4415684997817291</v>
      </c>
      <c r="DC15" s="25">
        <f t="shared" si="14"/>
        <v>-2.3241837816097846</v>
      </c>
      <c r="DF15" s="18">
        <v>14</v>
      </c>
      <c r="DG15" s="21">
        <f t="shared" si="36"/>
        <v>-0.35409108431457914</v>
      </c>
      <c r="DH15" s="21">
        <f t="shared" si="15"/>
        <v>6.3698977018183112E-2</v>
      </c>
      <c r="DI15" s="21">
        <f t="shared" si="16"/>
        <v>-0.38861359872017204</v>
      </c>
      <c r="DJ15" s="21">
        <f t="shared" si="17"/>
        <v>2.8508689128549675E-2</v>
      </c>
      <c r="DK15" s="21">
        <f t="shared" si="18"/>
        <v>-0.2748259999799586</v>
      </c>
      <c r="DL15" s="21">
        <f t="shared" si="19"/>
        <v>0.14428373780020834</v>
      </c>
      <c r="DM15" s="21">
        <f t="shared" si="20"/>
        <v>-0.54616737565996654</v>
      </c>
      <c r="DN15" s="21">
        <f t="shared" si="21"/>
        <v>-0.12540634646350907</v>
      </c>
      <c r="DO15" s="21">
        <f t="shared" si="22"/>
        <v>-0.78194676153059728</v>
      </c>
      <c r="DP15" s="21">
        <f t="shared" si="23"/>
        <v>-0.36778376837649968</v>
      </c>
      <c r="DQ15" s="21">
        <f t="shared" si="24"/>
        <v>-6.3299500798536079E-2</v>
      </c>
      <c r="DR15" s="21">
        <f t="shared" si="25"/>
        <v>0.35718796153551774</v>
      </c>
      <c r="DS15" s="21">
        <f t="shared" si="26"/>
        <v>-0.41706197939595741</v>
      </c>
      <c r="DT15" s="21">
        <f t="shared" si="27"/>
        <v>0.41706197939595741</v>
      </c>
      <c r="DX15">
        <v>14</v>
      </c>
      <c r="DY15" s="9">
        <f t="shared" si="4"/>
        <v>5.7657522813915136</v>
      </c>
      <c r="EM15" s="11">
        <v>14</v>
      </c>
      <c r="EN15" s="8">
        <f t="shared" si="28"/>
        <v>0.51755123003840731</v>
      </c>
      <c r="EO15" s="8">
        <f t="shared" si="5"/>
        <v>-2.8260063003997677</v>
      </c>
      <c r="EP15" s="8">
        <f t="shared" si="29"/>
        <v>1.2337987890668312E-2</v>
      </c>
      <c r="EQ15" s="8">
        <f t="shared" si="30"/>
        <v>0.25118402104383797</v>
      </c>
      <c r="ER15" s="8">
        <f t="shared" si="31"/>
        <v>-0.62922222984996468</v>
      </c>
      <c r="ES15" s="8">
        <f t="shared" si="32"/>
        <v>1.5240573064833578</v>
      </c>
      <c r="ET15" s="8">
        <f t="shared" si="33"/>
        <v>3.4415684997817291</v>
      </c>
      <c r="EU15" s="8">
        <f t="shared" si="34"/>
        <v>-2.3241837816097846</v>
      </c>
      <c r="EW15" s="50"/>
      <c r="EX15" s="51"/>
      <c r="EY15" s="48"/>
      <c r="EZ15" s="48"/>
      <c r="FA15" s="48"/>
      <c r="FB15" s="48"/>
      <c r="FK15" s="10"/>
      <c r="FL15" s="10"/>
    </row>
    <row r="16" spans="1:170" ht="18.600000000000001" thickBot="1" x14ac:dyDescent="0.4">
      <c r="A16" s="12" t="s">
        <v>50</v>
      </c>
      <c r="B16" s="13">
        <v>14</v>
      </c>
      <c r="C16" s="30">
        <f>RTD("fxbluelabs.excelrtd", , "21422436","@bh,AUDUSD,h1,close,14")</f>
        <v>0.67337999999999998</v>
      </c>
      <c r="D16" s="31">
        <f>RTD("fxbluelabs.excelrtd", , "21422436","@bh,AUDNZD,h1,close,14")</f>
        <v>1.10076</v>
      </c>
      <c r="E16" s="32">
        <f>RTD("fxbluelabs.excelrtd", , "21422436","@bh,AUDJPY,h1,close,14")</f>
        <v>98.793000000000006</v>
      </c>
      <c r="F16" s="31">
        <f>RTD("fxbluelabs.excelrtd", , "21422436","@bh,AUDCHF,h1,close,14")</f>
        <v>0.58084999999999998</v>
      </c>
      <c r="G16" s="31">
        <f>RTD("fxbluelabs.excelrtd", , "21422436","@bh,AUDCAD,h1,close,14")</f>
        <v>0.91791999999999996</v>
      </c>
      <c r="H16" s="31">
        <f>RTD("fxbluelabs.excelrtd", , "21422436","@bh,EURUSD,h1,close,14")</f>
        <v>1.1085700000000001</v>
      </c>
      <c r="I16" s="31">
        <f>RTD("fxbluelabs.excelrtd", , "21422436","@bh,EURCAD,h1,close,14")</f>
        <v>1.51112</v>
      </c>
      <c r="J16" s="31">
        <f>RTD("fxbluelabs.excelrtd", , "21422436","@bh,EURGBP,h1,close,14")</f>
        <v>0.85343000000000002</v>
      </c>
      <c r="K16" s="31">
        <f>RTD("fxbluelabs.excelrtd", , "21422436","@bh,EURCHF,h1,close,14")</f>
        <v>0.95623000000000002</v>
      </c>
      <c r="L16" s="32">
        <f>RTD("fxbluelabs.excelrtd", , "21422436","@bh,EURJPY,h1,close,14")</f>
        <v>162.63999999999999</v>
      </c>
      <c r="M16" s="31">
        <f>RTD("fxbluelabs.excelrtd", , "21422436","@bh,EURAUD,h1,close,14")</f>
        <v>1.6462399999999999</v>
      </c>
      <c r="N16" s="31">
        <f>RTD("fxbluelabs.excelrtd", , "21422436","@bh,EURNZD,h1,close,14")</f>
        <v>1.81213</v>
      </c>
      <c r="O16" s="31">
        <f>RTD("fxbluelabs.excelrtd", , "21422436","@bh,GBPUSD,h1,close,14")</f>
        <v>1.29894</v>
      </c>
      <c r="P16" s="31">
        <f>RTD("fxbluelabs.excelrtd", , "21422436","@bh,GBPAUD,h1,close,14")</f>
        <v>1.9289400000000001</v>
      </c>
      <c r="Q16" s="31">
        <f>RTD("fxbluelabs.excelrtd", , "21422436","@bh,GBPNZD,h1,close,14")</f>
        <v>2.12331</v>
      </c>
      <c r="R16" s="31">
        <f>RTD("fxbluelabs.excelrtd", , "21422436","@bh,GBPCAD,h1,close,14")</f>
        <v>1.77061</v>
      </c>
      <c r="S16" s="31">
        <f>RTD("fxbluelabs.excelrtd", , "21422436","@bh,GBPCHF,h1,close,14")</f>
        <v>1.1204400000000001</v>
      </c>
      <c r="T16" s="32">
        <f>RTD("fxbluelabs.excelrtd", , "21422436","@bh,GBPJPY,h1,close,14")</f>
        <v>190.56800000000001</v>
      </c>
      <c r="U16" s="32">
        <f>RTD("fxbluelabs.excelrtd", , "21422436","@bh,NZDJPY,h1,close,14")</f>
        <v>89.748000000000005</v>
      </c>
      <c r="V16" s="31">
        <f>RTD("fxbluelabs.excelrtd", , "21422436","@bh,NZDCHF,h1,close,14")</f>
        <v>0.52766999999999997</v>
      </c>
      <c r="W16" s="31">
        <f>RTD("fxbluelabs.excelrtd", , "21422436","@bh,NZDUSD,h1,close,14")</f>
        <v>0.61173</v>
      </c>
      <c r="X16" s="31">
        <f>RTD("fxbluelabs.excelrtd", , "21422436","@bh,NZDCAD,h1,close,14")</f>
        <v>0.83386000000000005</v>
      </c>
      <c r="Y16" s="32">
        <f>RTD("fxbluelabs.excelrtd", , "21422436","@bh,CADJPY,h1,close,14")</f>
        <v>107.627</v>
      </c>
      <c r="Z16" s="31">
        <f>RTD("fxbluelabs.excelrtd", , "21422436","@bh,CADCHF,h1,close,14")</f>
        <v>0.63278999999999996</v>
      </c>
      <c r="AA16" s="32">
        <f>RTD("fxbluelabs.excelrtd", , "21422436","@bh,CHFJPY,h1,close,14")</f>
        <v>170.078</v>
      </c>
      <c r="AB16" s="31">
        <f>RTD("fxbluelabs.excelrtd", , "21422436","@bh,USDCAD,h1,close,14")</f>
        <v>1.3632</v>
      </c>
      <c r="AC16" s="31">
        <f>RTD("fxbluelabs.excelrtd", , "21422436","@bh,USDCHF,h1,close,14")</f>
        <v>0.86258999999999997</v>
      </c>
      <c r="AD16" s="33">
        <f>RTD("fxbluelabs.excelrtd", , "21422436","@bh,USDJPY,h1,close,14")</f>
        <v>146.71199999999999</v>
      </c>
      <c r="AH16" s="23">
        <v>15</v>
      </c>
      <c r="AI16" s="41">
        <f t="shared" si="35"/>
        <v>1.0396399875245354E-2</v>
      </c>
      <c r="AJ16" s="41">
        <f t="shared" si="35"/>
        <v>-1.8165964249380356E-2</v>
      </c>
      <c r="AK16" s="41">
        <f t="shared" si="35"/>
        <v>6.4823911920516938E-2</v>
      </c>
      <c r="AL16" s="41">
        <f t="shared" si="35"/>
        <v>1.3774816192291093E-2</v>
      </c>
      <c r="AM16" s="41">
        <f t="shared" si="35"/>
        <v>0</v>
      </c>
      <c r="AN16" s="41">
        <f>IF(H16=0,0,(H16-H17)*100/H17)</f>
        <v>2.7062622909389366E-3</v>
      </c>
      <c r="AO16" s="41">
        <f t="shared" si="35"/>
        <v>-7.2788390913398025E-3</v>
      </c>
      <c r="AP16" s="41">
        <f t="shared" si="35"/>
        <v>5.8590545829518489E-3</v>
      </c>
      <c r="AQ16" s="41">
        <f t="shared" si="35"/>
        <v>6.275034774157316E-3</v>
      </c>
      <c r="AR16" s="41">
        <f t="shared" si="35"/>
        <v>5.906093119399991E-2</v>
      </c>
      <c r="AS16" s="41">
        <f t="shared" si="35"/>
        <v>-7.8961594295306331E-3</v>
      </c>
      <c r="AT16" s="41">
        <f t="shared" si="35"/>
        <v>-2.6481151488739217E-2</v>
      </c>
      <c r="AU16" s="41">
        <f t="shared" si="35"/>
        <v>7.6986442687947099E-4</v>
      </c>
      <c r="AV16" s="41">
        <f t="shared" si="35"/>
        <v>-1.0885623201919055E-2</v>
      </c>
      <c r="AW16" s="41">
        <f t="shared" si="35"/>
        <v>-2.91911692004946E-2</v>
      </c>
      <c r="AX16" s="41">
        <f t="shared" si="35"/>
        <v>-1.0729613733900637E-2</v>
      </c>
      <c r="AY16" s="41">
        <f t="shared" si="1"/>
        <v>2.6775912389390079E-3</v>
      </c>
      <c r="AZ16" s="41">
        <f t="shared" si="1"/>
        <v>5.4078177092908741E-2</v>
      </c>
      <c r="BA16" s="41">
        <f t="shared" si="1"/>
        <v>8.363721521528536E-2</v>
      </c>
      <c r="BB16" s="41">
        <f t="shared" si="1"/>
        <v>3.2227488151659427E-2</v>
      </c>
      <c r="BC16" s="41">
        <f t="shared" si="1"/>
        <v>2.9433406916843752E-2</v>
      </c>
      <c r="BD16" s="41">
        <f t="shared" si="1"/>
        <v>1.9191555715491065E-2</v>
      </c>
      <c r="BE16" s="41">
        <f t="shared" si="1"/>
        <v>6.6942494537667721E-2</v>
      </c>
      <c r="BF16" s="41">
        <f t="shared" si="1"/>
        <v>1.5805528773963393E-2</v>
      </c>
      <c r="BG16" s="41">
        <f t="shared" si="1"/>
        <v>4.8824965440159067E-2</v>
      </c>
      <c r="BH16" s="41">
        <f t="shared" si="1"/>
        <v>-9.5354756368570687E-3</v>
      </c>
      <c r="BI16" s="41">
        <f t="shared" si="1"/>
        <v>2.3186523992278891E-3</v>
      </c>
      <c r="BJ16" s="41">
        <f t="shared" si="1"/>
        <v>5.455835015548044E-2</v>
      </c>
      <c r="BN16" s="26">
        <v>15</v>
      </c>
      <c r="BO16" s="45">
        <f t="shared" si="6"/>
        <v>0.65606074938653436</v>
      </c>
      <c r="BP16" s="45">
        <f t="shared" si="2"/>
        <v>-0.13514951028300692</v>
      </c>
      <c r="BQ16" s="45">
        <f t="shared" si="38"/>
        <v>0.90270105029379044</v>
      </c>
      <c r="BR16" s="45">
        <f t="shared" si="38"/>
        <v>0.34521616580724379</v>
      </c>
      <c r="BS16" s="45">
        <f t="shared" si="38"/>
        <v>0.27835066772706707</v>
      </c>
      <c r="BT16" s="45">
        <f t="shared" si="38"/>
        <v>0.44051561786715454</v>
      </c>
      <c r="BU16" s="45">
        <f t="shared" si="38"/>
        <v>6.3698977018183112E-2</v>
      </c>
      <c r="BV16" s="45">
        <f t="shared" si="38"/>
        <v>0.13725328421878405</v>
      </c>
      <c r="BW16" s="45">
        <f t="shared" si="38"/>
        <v>0.13204026625957949</v>
      </c>
      <c r="BX16" s="45">
        <f t="shared" si="38"/>
        <v>0.6904393142162687</v>
      </c>
      <c r="BY16" s="45">
        <f t="shared" si="38"/>
        <v>-0.21470073853271421</v>
      </c>
      <c r="BZ16" s="45">
        <f t="shared" si="38"/>
        <v>-0.34957315434770808</v>
      </c>
      <c r="CA16" s="45">
        <f t="shared" si="38"/>
        <v>0.3071600569802887</v>
      </c>
      <c r="CB16" s="45">
        <f t="shared" si="38"/>
        <v>-0.34871139246626537</v>
      </c>
      <c r="CC16" s="45">
        <f t="shared" si="38"/>
        <v>-0.48373813775165581</v>
      </c>
      <c r="CD16" s="45">
        <f t="shared" si="38"/>
        <v>-7.0483712094372472E-2</v>
      </c>
      <c r="CE16" s="45">
        <f t="shared" si="38"/>
        <v>-3.3485968535455972E-3</v>
      </c>
      <c r="CF16" s="45">
        <f t="shared" si="38"/>
        <v>0.55370623657703577</v>
      </c>
      <c r="CG16" s="45">
        <f t="shared" si="38"/>
        <v>1.0381966707964172</v>
      </c>
      <c r="CH16" s="45">
        <f t="shared" si="38"/>
        <v>0.48104387328290943</v>
      </c>
      <c r="CI16" s="45">
        <f t="shared" si="38"/>
        <v>0.79175501026777695</v>
      </c>
      <c r="CJ16" s="45">
        <f t="shared" si="38"/>
        <v>0.41374448508104061</v>
      </c>
      <c r="CK16" s="45">
        <f t="shared" si="38"/>
        <v>0.62428847838146606</v>
      </c>
      <c r="CL16" s="45">
        <f t="shared" si="38"/>
        <v>6.8426131915119634E-2</v>
      </c>
      <c r="CM16" s="45">
        <f t="shared" si="37"/>
        <v>0.55476580777640794</v>
      </c>
      <c r="CN16" s="45">
        <f t="shared" si="37"/>
        <v>-0.37536455849299194</v>
      </c>
      <c r="CO16" s="45">
        <f t="shared" si="37"/>
        <v>-0.30978124499476206</v>
      </c>
      <c r="CP16" s="45">
        <f t="shared" si="37"/>
        <v>0.24683191312805752</v>
      </c>
      <c r="CU16" s="23">
        <v>15</v>
      </c>
      <c r="CV16" s="24">
        <f t="shared" si="7"/>
        <v>0.89967356669954746</v>
      </c>
      <c r="CW16" s="24">
        <f t="shared" si="8"/>
        <v>-2.6338053248614512</v>
      </c>
      <c r="CX16" s="24">
        <f t="shared" si="9"/>
        <v>0.3827687510576594</v>
      </c>
      <c r="CY16" s="24">
        <f t="shared" si="10"/>
        <v>-9.0404655725017047E-2</v>
      </c>
      <c r="CZ16" s="24">
        <f t="shared" si="11"/>
        <v>-0.18266882982729885</v>
      </c>
      <c r="DA16" s="24">
        <f t="shared" si="12"/>
        <v>2.6105912539306084</v>
      </c>
      <c r="DB16" s="24">
        <f t="shared" si="13"/>
        <v>3.6932008418105147</v>
      </c>
      <c r="DC16" s="24">
        <f t="shared" si="14"/>
        <v>-4.6109294711694435</v>
      </c>
      <c r="DF16" s="20">
        <v>15</v>
      </c>
      <c r="DG16" s="19">
        <f t="shared" si="36"/>
        <v>-0.37536455849299194</v>
      </c>
      <c r="DH16" s="19">
        <f t="shared" si="15"/>
        <v>6.3698977018183112E-2</v>
      </c>
      <c r="DI16" s="19">
        <f t="shared" si="16"/>
        <v>-0.30978124499476206</v>
      </c>
      <c r="DJ16" s="19">
        <f t="shared" si="17"/>
        <v>0.13204026625957949</v>
      </c>
      <c r="DK16" s="19">
        <f t="shared" si="18"/>
        <v>-0.3071600569802887</v>
      </c>
      <c r="DL16" s="19">
        <f t="shared" si="19"/>
        <v>0.13725328421878405</v>
      </c>
      <c r="DM16" s="19">
        <f t="shared" si="20"/>
        <v>-0.65606074938653436</v>
      </c>
      <c r="DN16" s="19">
        <f t="shared" si="21"/>
        <v>-0.21470073853271421</v>
      </c>
      <c r="DO16" s="19">
        <f t="shared" si="22"/>
        <v>-0.79175501026777695</v>
      </c>
      <c r="DP16" s="19">
        <f t="shared" si="23"/>
        <v>-0.34957315434770808</v>
      </c>
      <c r="DQ16" s="19">
        <f t="shared" si="24"/>
        <v>0.24683191312805752</v>
      </c>
      <c r="DR16" s="19">
        <f t="shared" si="25"/>
        <v>0.6904393142162687</v>
      </c>
      <c r="DS16" s="19">
        <f t="shared" si="26"/>
        <v>-0.44051561786715454</v>
      </c>
      <c r="DT16" s="19">
        <f t="shared" si="27"/>
        <v>0.44051561786715454</v>
      </c>
      <c r="DX16">
        <v>15</v>
      </c>
      <c r="DY16" s="9">
        <f t="shared" si="4"/>
        <v>8.3041303129799573</v>
      </c>
      <c r="EM16" s="11">
        <v>15</v>
      </c>
      <c r="EN16" s="8">
        <f t="shared" si="28"/>
        <v>0.89967356669954746</v>
      </c>
      <c r="EO16" s="8">
        <f t="shared" si="5"/>
        <v>-2.6338053248614512</v>
      </c>
      <c r="EP16" s="8">
        <f t="shared" si="29"/>
        <v>0.3827687510576594</v>
      </c>
      <c r="EQ16" s="8">
        <f t="shared" si="30"/>
        <v>-9.0404655725017047E-2</v>
      </c>
      <c r="ER16" s="8">
        <f t="shared" si="31"/>
        <v>-0.18266882982729885</v>
      </c>
      <c r="ES16" s="8">
        <f t="shared" si="32"/>
        <v>2.6105912539306084</v>
      </c>
      <c r="ET16" s="8">
        <f t="shared" si="33"/>
        <v>3.6932008418105147</v>
      </c>
      <c r="EU16" s="8">
        <f t="shared" si="34"/>
        <v>-4.6109294711694435</v>
      </c>
      <c r="EW16" s="50"/>
      <c r="EX16" s="51"/>
      <c r="EY16" s="48"/>
      <c r="EZ16" s="48"/>
      <c r="FA16" s="48"/>
      <c r="FB16" s="48"/>
      <c r="FK16" s="10"/>
      <c r="FL16" s="10"/>
    </row>
    <row r="17" spans="1:168" ht="18.600000000000001" thickBot="1" x14ac:dyDescent="0.4">
      <c r="A17" s="12" t="s">
        <v>50</v>
      </c>
      <c r="B17" s="13">
        <v>15</v>
      </c>
      <c r="C17" s="30">
        <f>RTD("fxbluelabs.excelrtd", , "21422436","@bh,AUDUSD,h1,close,15")</f>
        <v>0.67330999999999996</v>
      </c>
      <c r="D17" s="31">
        <f>RTD("fxbluelabs.excelrtd", , "21422436","@bh,AUDNZD,h1,close,15")</f>
        <v>1.1009599999999999</v>
      </c>
      <c r="E17" s="32">
        <f>RTD("fxbluelabs.excelrtd", , "21422436","@bh,AUDJPY,h1,close,15")</f>
        <v>98.728999999999999</v>
      </c>
      <c r="F17" s="31">
        <f>RTD("fxbluelabs.excelrtd", , "21422436","@bh,AUDCHF,h1,close,15")</f>
        <v>0.58077000000000001</v>
      </c>
      <c r="G17" s="31">
        <f>RTD("fxbluelabs.excelrtd", , "21422436","@bh,AUDCAD,h1,close,15")</f>
        <v>0.91791999999999996</v>
      </c>
      <c r="H17" s="31">
        <f>RTD("fxbluelabs.excelrtd", , "21422436","@bh,EURUSD,h1,close,15")</f>
        <v>1.1085400000000001</v>
      </c>
      <c r="I17" s="31">
        <f>RTD("fxbluelabs.excelrtd", , "21422436","@bh,EURCAD,h1,close,15")</f>
        <v>1.5112300000000001</v>
      </c>
      <c r="J17" s="31">
        <f>RTD("fxbluelabs.excelrtd", , "21422436","@bh,EURGBP,h1,close,15")</f>
        <v>0.85338000000000003</v>
      </c>
      <c r="K17" s="31">
        <f>RTD("fxbluelabs.excelrtd", , "21422436","@bh,EURCHF,h1,close,15")</f>
        <v>0.95616999999999996</v>
      </c>
      <c r="L17" s="32">
        <f>RTD("fxbluelabs.excelrtd", , "21422436","@bh,EURJPY,h1,close,15")</f>
        <v>162.54400000000001</v>
      </c>
      <c r="M17" s="31">
        <f>RTD("fxbluelabs.excelrtd", , "21422436","@bh,EURAUD,h1,close,15")</f>
        <v>1.6463699999999999</v>
      </c>
      <c r="N17" s="31">
        <f>RTD("fxbluelabs.excelrtd", , "21422436","@bh,EURNZD,h1,close,15")</f>
        <v>1.8126100000000001</v>
      </c>
      <c r="O17" s="31">
        <f>RTD("fxbluelabs.excelrtd", , "21422436","@bh,GBPUSD,h1,close,15")</f>
        <v>1.2989299999999999</v>
      </c>
      <c r="P17" s="31">
        <f>RTD("fxbluelabs.excelrtd", , "21422436","@bh,GBPAUD,h1,close,15")</f>
        <v>1.9291499999999999</v>
      </c>
      <c r="Q17" s="31">
        <f>RTD("fxbluelabs.excelrtd", , "21422436","@bh,GBPNZD,h1,close,15")</f>
        <v>2.1239300000000001</v>
      </c>
      <c r="R17" s="31">
        <f>RTD("fxbluelabs.excelrtd", , "21422436","@bh,GBPCAD,h1,close,15")</f>
        <v>1.7707999999999999</v>
      </c>
      <c r="S17" s="31">
        <f>RTD("fxbluelabs.excelrtd", , "21422436","@bh,GBPCHF,h1,close,15")</f>
        <v>1.1204099999999999</v>
      </c>
      <c r="T17" s="32">
        <f>RTD("fxbluelabs.excelrtd", , "21422436","@bh,GBPJPY,h1,close,15")</f>
        <v>190.465</v>
      </c>
      <c r="U17" s="32">
        <f>RTD("fxbluelabs.excelrtd", , "21422436","@bh,NZDJPY,h1,close,15")</f>
        <v>89.673000000000002</v>
      </c>
      <c r="V17" s="31">
        <f>RTD("fxbluelabs.excelrtd", , "21422436","@bh,NZDCHF,h1,close,15")</f>
        <v>0.52749999999999997</v>
      </c>
      <c r="W17" s="31">
        <f>RTD("fxbluelabs.excelrtd", , "21422436","@bh,NZDUSD,h1,close,15")</f>
        <v>0.61155000000000004</v>
      </c>
      <c r="X17" s="31">
        <f>RTD("fxbluelabs.excelrtd", , "21422436","@bh,NZDCAD,h1,close,15")</f>
        <v>0.8337</v>
      </c>
      <c r="Y17" s="32">
        <f>RTD("fxbluelabs.excelrtd", , "21422436","@bh,CADJPY,h1,close,15")</f>
        <v>107.55500000000001</v>
      </c>
      <c r="Z17" s="31">
        <f>RTD("fxbluelabs.excelrtd", , "21422436","@bh,CADCHF,h1,close,15")</f>
        <v>0.63268999999999997</v>
      </c>
      <c r="AA17" s="32">
        <f>RTD("fxbluelabs.excelrtd", , "21422436","@bh,CHFJPY,h1,close,15")</f>
        <v>169.995</v>
      </c>
      <c r="AB17" s="31">
        <f>RTD("fxbluelabs.excelrtd", , "21422436","@bh,USDCAD,h1,close,15")</f>
        <v>1.3633299999999999</v>
      </c>
      <c r="AC17" s="31">
        <f>RTD("fxbluelabs.excelrtd", , "21422436","@bh,USDCHF,h1,close,15")</f>
        <v>0.86256999999999995</v>
      </c>
      <c r="AD17" s="33">
        <f>RTD("fxbluelabs.excelrtd", , "21422436","@bh,USDJPY,h1,close,15")</f>
        <v>146.63200000000001</v>
      </c>
      <c r="AH17" s="23">
        <v>16</v>
      </c>
      <c r="AI17" s="42">
        <f t="shared" si="35"/>
        <v>4.7548997756279736E-2</v>
      </c>
      <c r="AJ17" s="42">
        <f t="shared" si="35"/>
        <v>1.271779219127823E-2</v>
      </c>
      <c r="AK17" s="42">
        <f t="shared" si="35"/>
        <v>9.8345364587551901E-2</v>
      </c>
      <c r="AL17" s="42">
        <f t="shared" si="35"/>
        <v>7.4094496329744894E-2</v>
      </c>
      <c r="AM17" s="42">
        <f t="shared" si="35"/>
        <v>4.2505422166032876E-2</v>
      </c>
      <c r="AN17" s="42">
        <f t="shared" si="35"/>
        <v>1.6240210761852555E-2</v>
      </c>
      <c r="AO17" s="42">
        <f t="shared" si="35"/>
        <v>7.9411823097008168E-3</v>
      </c>
      <c r="AP17" s="42">
        <f t="shared" si="35"/>
        <v>1.7580253858863786E-2</v>
      </c>
      <c r="AQ17" s="42">
        <f t="shared" si="35"/>
        <v>2.6152816135238562E-2</v>
      </c>
      <c r="AR17" s="42">
        <f t="shared" si="35"/>
        <v>5.6016201609085818E-2</v>
      </c>
      <c r="AS17" s="42">
        <f t="shared" si="35"/>
        <v>2.4296465471574931E-3</v>
      </c>
      <c r="AT17" s="42">
        <f t="shared" si="35"/>
        <v>-2.0408388399209117E-2</v>
      </c>
      <c r="AU17" s="42">
        <f t="shared" si="35"/>
        <v>1.5399659667519652E-2</v>
      </c>
      <c r="AV17" s="42">
        <f t="shared" si="35"/>
        <v>3.1102747927752973E-3</v>
      </c>
      <c r="AW17" s="42">
        <f t="shared" si="35"/>
        <v>-2.024139034813819E-2</v>
      </c>
      <c r="AX17" s="42">
        <f t="shared" si="35"/>
        <v>7.9066562750629149E-3</v>
      </c>
      <c r="AY17" s="42">
        <f t="shared" si="1"/>
        <v>4.0180006428786691E-2</v>
      </c>
      <c r="AZ17" s="42">
        <f t="shared" si="1"/>
        <v>6.6197678878214539E-2</v>
      </c>
      <c r="BA17" s="42">
        <f t="shared" si="1"/>
        <v>0.14630006030689535</v>
      </c>
      <c r="BB17" s="42">
        <f t="shared" si="1"/>
        <v>0.12147439547507383</v>
      </c>
      <c r="BC17" s="42">
        <f t="shared" si="1"/>
        <v>9.6569333507936769E-2</v>
      </c>
      <c r="BD17" s="42">
        <f t="shared" si="1"/>
        <v>8.7638210259674235E-2</v>
      </c>
      <c r="BE17" s="42">
        <f t="shared" si="1"/>
        <v>7.5367065522826973E-2</v>
      </c>
      <c r="BF17" s="42">
        <f t="shared" si="1"/>
        <v>5.0603286050885869E-2</v>
      </c>
      <c r="BG17" s="42">
        <f t="shared" si="1"/>
        <v>0.13135263765521593</v>
      </c>
      <c r="BH17" s="42">
        <f t="shared" si="1"/>
        <v>-5.1342232653670602E-3</v>
      </c>
      <c r="BI17" s="42">
        <f t="shared" si="1"/>
        <v>2.5511683191279409E-2</v>
      </c>
      <c r="BJ17" s="42">
        <f t="shared" si="1"/>
        <v>5.1174628301628076E-2</v>
      </c>
      <c r="BN17" s="26">
        <v>16</v>
      </c>
      <c r="BO17" s="46">
        <f t="shared" si="6"/>
        <v>0.64566434951128915</v>
      </c>
      <c r="BP17" s="46">
        <f t="shared" si="2"/>
        <v>-0.11698354603362655</v>
      </c>
      <c r="BQ17" s="46">
        <f t="shared" si="38"/>
        <v>0.83787713837327338</v>
      </c>
      <c r="BR17" s="46">
        <f t="shared" si="38"/>
        <v>0.3314413496149527</v>
      </c>
      <c r="BS17" s="46">
        <f t="shared" si="38"/>
        <v>0.27835066772706701</v>
      </c>
      <c r="BT17" s="46">
        <f t="shared" si="38"/>
        <v>0.43780935557621559</v>
      </c>
      <c r="BU17" s="46">
        <f t="shared" si="38"/>
        <v>7.097781610952289E-2</v>
      </c>
      <c r="BV17" s="46">
        <f t="shared" si="38"/>
        <v>0.13139422963583222</v>
      </c>
      <c r="BW17" s="46">
        <f t="shared" si="38"/>
        <v>0.12576523148542218</v>
      </c>
      <c r="BX17" s="46">
        <f t="shared" si="38"/>
        <v>0.63137838302226867</v>
      </c>
      <c r="BY17" s="46">
        <f t="shared" si="38"/>
        <v>-0.20680457910318356</v>
      </c>
      <c r="BZ17" s="46">
        <f t="shared" si="38"/>
        <v>-0.32309200285896889</v>
      </c>
      <c r="CA17" s="46">
        <f t="shared" si="38"/>
        <v>0.30639019255340921</v>
      </c>
      <c r="CB17" s="46">
        <f t="shared" si="38"/>
        <v>-0.33782576926434632</v>
      </c>
      <c r="CC17" s="46">
        <f t="shared" si="38"/>
        <v>-0.45454696855116122</v>
      </c>
      <c r="CD17" s="46">
        <f t="shared" si="38"/>
        <v>-5.9754098360471866E-2</v>
      </c>
      <c r="CE17" s="46">
        <f t="shared" si="38"/>
        <v>-6.0261880924846051E-3</v>
      </c>
      <c r="CF17" s="46">
        <f t="shared" si="38"/>
        <v>0.49962805948412697</v>
      </c>
      <c r="CG17" s="46">
        <f t="shared" si="38"/>
        <v>0.95455945558113164</v>
      </c>
      <c r="CH17" s="46">
        <f t="shared" si="38"/>
        <v>0.44881638513124994</v>
      </c>
      <c r="CI17" s="46">
        <f t="shared" si="38"/>
        <v>0.76232160335093313</v>
      </c>
      <c r="CJ17" s="46">
        <f t="shared" si="38"/>
        <v>0.39455292936554953</v>
      </c>
      <c r="CK17" s="46">
        <f t="shared" si="38"/>
        <v>0.5573459838437983</v>
      </c>
      <c r="CL17" s="46">
        <f t="shared" si="38"/>
        <v>5.2620603141156234E-2</v>
      </c>
      <c r="CM17" s="46">
        <f t="shared" si="37"/>
        <v>0.50594084233624881</v>
      </c>
      <c r="CN17" s="46">
        <f t="shared" si="37"/>
        <v>-0.36582908285613486</v>
      </c>
      <c r="CO17" s="46">
        <f t="shared" si="37"/>
        <v>-0.31209989739399002</v>
      </c>
      <c r="CP17" s="46">
        <f t="shared" si="37"/>
        <v>0.19227356297257711</v>
      </c>
      <c r="CU17" s="23">
        <v>16</v>
      </c>
      <c r="CV17" s="25">
        <f t="shared" si="7"/>
        <v>0.86742843386710911</v>
      </c>
      <c r="CW17" s="25">
        <f t="shared" si="8"/>
        <v>-2.6378409182693949</v>
      </c>
      <c r="CX17" s="25">
        <f t="shared" si="9"/>
        <v>0.29166835499942184</v>
      </c>
      <c r="CY17" s="25">
        <f t="shared" si="10"/>
        <v>-8.1956038408901366E-2</v>
      </c>
      <c r="CZ17" s="25">
        <f t="shared" si="11"/>
        <v>-0.18352900186676005</v>
      </c>
      <c r="DA17" s="25">
        <f t="shared" si="12"/>
        <v>2.5209803075604857</v>
      </c>
      <c r="DB17" s="25">
        <f t="shared" si="13"/>
        <v>3.4548728908726209</v>
      </c>
      <c r="DC17" s="25">
        <f t="shared" si="14"/>
        <v>-4.1790034256134243</v>
      </c>
      <c r="DF17" s="18">
        <v>16</v>
      </c>
      <c r="DG17" s="21">
        <f t="shared" si="36"/>
        <v>-0.36582908285613486</v>
      </c>
      <c r="DH17" s="21">
        <f t="shared" si="15"/>
        <v>7.097781610952289E-2</v>
      </c>
      <c r="DI17" s="21">
        <f t="shared" si="16"/>
        <v>-0.31209989739399002</v>
      </c>
      <c r="DJ17" s="21">
        <f t="shared" si="17"/>
        <v>0.12576523148542218</v>
      </c>
      <c r="DK17" s="21">
        <f t="shared" si="18"/>
        <v>-0.30639019255340921</v>
      </c>
      <c r="DL17" s="21">
        <f t="shared" si="19"/>
        <v>0.13139422963583222</v>
      </c>
      <c r="DM17" s="21">
        <f t="shared" si="20"/>
        <v>-0.64566434951128915</v>
      </c>
      <c r="DN17" s="21">
        <f t="shared" si="21"/>
        <v>-0.20680457910318356</v>
      </c>
      <c r="DO17" s="21">
        <f t="shared" si="22"/>
        <v>-0.76232160335093313</v>
      </c>
      <c r="DP17" s="21">
        <f t="shared" si="23"/>
        <v>-0.32309200285896889</v>
      </c>
      <c r="DQ17" s="21">
        <f t="shared" si="24"/>
        <v>0.19227356297257711</v>
      </c>
      <c r="DR17" s="21">
        <f t="shared" si="25"/>
        <v>0.63137838302226867</v>
      </c>
      <c r="DS17" s="21">
        <f t="shared" si="26"/>
        <v>-0.43780935557621559</v>
      </c>
      <c r="DT17" s="21">
        <f t="shared" si="27"/>
        <v>0.43780935557621559</v>
      </c>
      <c r="DX17">
        <v>16</v>
      </c>
      <c r="DY17" s="9">
        <f t="shared" si="4"/>
        <v>7.6338763164860453</v>
      </c>
      <c r="EM17" s="7">
        <v>16</v>
      </c>
      <c r="EN17" s="8">
        <f t="shared" si="28"/>
        <v>0.86742843386710911</v>
      </c>
      <c r="EO17" s="8">
        <f t="shared" si="5"/>
        <v>-2.6378409182693949</v>
      </c>
      <c r="EP17" s="8">
        <f t="shared" si="29"/>
        <v>0.29166835499942184</v>
      </c>
      <c r="EQ17" s="8">
        <f t="shared" si="30"/>
        <v>-8.1956038408901366E-2</v>
      </c>
      <c r="ER17" s="8">
        <f t="shared" si="31"/>
        <v>-0.18352900186676005</v>
      </c>
      <c r="ES17" s="8">
        <f t="shared" si="32"/>
        <v>2.5209803075604857</v>
      </c>
      <c r="ET17" s="8">
        <f t="shared" si="33"/>
        <v>3.4548728908726209</v>
      </c>
      <c r="EU17" s="8">
        <f t="shared" si="34"/>
        <v>-4.1790034256134243</v>
      </c>
      <c r="EW17" s="50"/>
      <c r="EX17" s="51"/>
      <c r="EY17" s="48"/>
      <c r="EZ17" s="48"/>
      <c r="FA17" s="48"/>
      <c r="FB17" s="48"/>
      <c r="FK17" s="10"/>
      <c r="FL17" s="10"/>
    </row>
    <row r="18" spans="1:168" ht="18.600000000000001" thickBot="1" x14ac:dyDescent="0.4">
      <c r="A18" s="12" t="s">
        <v>50</v>
      </c>
      <c r="B18" s="13">
        <v>16</v>
      </c>
      <c r="C18" s="30">
        <f>RTD("fxbluelabs.excelrtd", , "21422436","@bh,AUDUSD,h1,close,16")</f>
        <v>0.67298999999999998</v>
      </c>
      <c r="D18" s="31">
        <f>RTD("fxbluelabs.excelrtd", , "21422436","@bh,AUDNZD,h1,close,16")</f>
        <v>1.1008199999999999</v>
      </c>
      <c r="E18" s="32">
        <f>RTD("fxbluelabs.excelrtd", , "21422436","@bh,AUDJPY,h1,close,16")</f>
        <v>98.632000000000005</v>
      </c>
      <c r="F18" s="31">
        <f>RTD("fxbluelabs.excelrtd", , "21422436","@bh,AUDCHF,h1,close,16")</f>
        <v>0.58033999999999997</v>
      </c>
      <c r="G18" s="31">
        <f>RTD("fxbluelabs.excelrtd", , "21422436","@bh,AUDCAD,h1,close,16")</f>
        <v>0.91752999999999996</v>
      </c>
      <c r="H18" s="31">
        <f>RTD("fxbluelabs.excelrtd", , "21422436","@bh,EURUSD,h1,close,16")</f>
        <v>1.10836</v>
      </c>
      <c r="I18" s="31">
        <f>RTD("fxbluelabs.excelrtd", , "21422436","@bh,EURCAD,h1,close,16")</f>
        <v>1.51111</v>
      </c>
      <c r="J18" s="31">
        <f>RTD("fxbluelabs.excelrtd", , "21422436","@bh,EURGBP,h1,close,16")</f>
        <v>0.85323000000000004</v>
      </c>
      <c r="K18" s="31">
        <f>RTD("fxbluelabs.excelrtd", , "21422436","@bh,EURCHF,h1,close,16")</f>
        <v>0.95591999999999999</v>
      </c>
      <c r="L18" s="32">
        <f>RTD("fxbluelabs.excelrtd", , "21422436","@bh,EURJPY,h1,close,16")</f>
        <v>162.453</v>
      </c>
      <c r="M18" s="31">
        <f>RTD("fxbluelabs.excelrtd", , "21422436","@bh,EURAUD,h1,close,16")</f>
        <v>1.6463300000000001</v>
      </c>
      <c r="N18" s="31">
        <f>RTD("fxbluelabs.excelrtd", , "21422436","@bh,EURNZD,h1,close,16")</f>
        <v>1.81298</v>
      </c>
      <c r="O18" s="31">
        <f>RTD("fxbluelabs.excelrtd", , "21422436","@bh,GBPUSD,h1,close,16")</f>
        <v>1.2987299999999999</v>
      </c>
      <c r="P18" s="31">
        <f>RTD("fxbluelabs.excelrtd", , "21422436","@bh,GBPAUD,h1,close,16")</f>
        <v>1.92909</v>
      </c>
      <c r="Q18" s="31">
        <f>RTD("fxbluelabs.excelrtd", , "21422436","@bh,GBPNZD,h1,close,16")</f>
        <v>2.1243599999999998</v>
      </c>
      <c r="R18" s="31">
        <f>RTD("fxbluelabs.excelrtd", , "21422436","@bh,GBPCAD,h1,close,16")</f>
        <v>1.7706599999999999</v>
      </c>
      <c r="S18" s="31">
        <f>RTD("fxbluelabs.excelrtd", , "21422436","@bh,GBPCHF,h1,close,16")</f>
        <v>1.1199600000000001</v>
      </c>
      <c r="T18" s="32">
        <f>RTD("fxbluelabs.excelrtd", , "21422436","@bh,GBPJPY,h1,close,16")</f>
        <v>190.339</v>
      </c>
      <c r="U18" s="32">
        <f>RTD("fxbluelabs.excelrtd", , "21422436","@bh,NZDJPY,h1,close,16")</f>
        <v>89.542000000000002</v>
      </c>
      <c r="V18" s="31">
        <f>RTD("fxbluelabs.excelrtd", , "21422436","@bh,NZDCHF,h1,close,16")</f>
        <v>0.52685999999999999</v>
      </c>
      <c r="W18" s="31">
        <f>RTD("fxbluelabs.excelrtd", , "21422436","@bh,NZDUSD,h1,close,16")</f>
        <v>0.61095999999999995</v>
      </c>
      <c r="X18" s="31">
        <f>RTD("fxbluelabs.excelrtd", , "21422436","@bh,NZDCAD,h1,close,16")</f>
        <v>0.83296999999999999</v>
      </c>
      <c r="Y18" s="32">
        <f>RTD("fxbluelabs.excelrtd", , "21422436","@bh,CADJPY,h1,close,16")</f>
        <v>107.474</v>
      </c>
      <c r="Z18" s="31">
        <f>RTD("fxbluelabs.excelrtd", , "21422436","@bh,CADCHF,h1,close,16")</f>
        <v>0.63236999999999999</v>
      </c>
      <c r="AA18" s="32">
        <f>RTD("fxbluelabs.excelrtd", , "21422436","@bh,CHFJPY,h1,close,16")</f>
        <v>169.77199999999999</v>
      </c>
      <c r="AB18" s="31">
        <f>RTD("fxbluelabs.excelrtd", , "21422436","@bh,USDCAD,h1,close,16")</f>
        <v>1.3633999999999999</v>
      </c>
      <c r="AC18" s="31">
        <f>RTD("fxbluelabs.excelrtd", , "21422436","@bh,USDCHF,h1,close,16")</f>
        <v>0.86234999999999995</v>
      </c>
      <c r="AD18" s="33">
        <f>RTD("fxbluelabs.excelrtd", , "21422436","@bh,USDJPY,h1,close,16")</f>
        <v>146.55699999999999</v>
      </c>
      <c r="AH18" s="23">
        <v>17</v>
      </c>
      <c r="AI18" s="41">
        <f t="shared" si="35"/>
        <v>-3.1194295900184712E-2</v>
      </c>
      <c r="AJ18" s="41">
        <f t="shared" si="35"/>
        <v>-7.2667817240512312E-3</v>
      </c>
      <c r="AK18" s="41">
        <f t="shared" si="35"/>
        <v>-5.9782553626974592E-2</v>
      </c>
      <c r="AL18" s="41">
        <f t="shared" si="35"/>
        <v>-9.1242446674820607E-2</v>
      </c>
      <c r="AM18" s="41">
        <f t="shared" si="35"/>
        <v>-2.3971669844728736E-2</v>
      </c>
      <c r="AN18" s="41">
        <f t="shared" si="35"/>
        <v>-1.3531677657404487E-2</v>
      </c>
      <c r="AO18" s="41">
        <f t="shared" si="35"/>
        <v>-7.2788872566571707E-3</v>
      </c>
      <c r="AP18" s="41">
        <f t="shared" si="35"/>
        <v>0</v>
      </c>
      <c r="AQ18" s="41">
        <f t="shared" si="35"/>
        <v>-6.0637741766860945E-2</v>
      </c>
      <c r="AR18" s="41">
        <f t="shared" si="35"/>
        <v>-3.3844487655996514E-2</v>
      </c>
      <c r="AS18" s="41">
        <f t="shared" si="35"/>
        <v>-1.0932214198507567E-2</v>
      </c>
      <c r="AT18" s="41">
        <f t="shared" si="35"/>
        <v>8.8260279564401304E-3</v>
      </c>
      <c r="AU18" s="41">
        <f t="shared" si="35"/>
        <v>-2.6172569607488972E-2</v>
      </c>
      <c r="AV18" s="41">
        <f t="shared" si="35"/>
        <v>-2.3839755383386122E-2</v>
      </c>
      <c r="AW18" s="41">
        <f t="shared" si="35"/>
        <v>-9.4145115281310423E-4</v>
      </c>
      <c r="AX18" s="41">
        <f t="shared" si="35"/>
        <v>-1.9762734258986257E-2</v>
      </c>
      <c r="AY18" s="41">
        <f t="shared" ref="AX18:BJ28" si="39">IF(S18=0,0,(S18-S19)*100/S19)</f>
        <v>-8.4752567110651739E-2</v>
      </c>
      <c r="AZ18" s="41">
        <f t="shared" si="39"/>
        <v>-5.5659114179944104E-2</v>
      </c>
      <c r="BA18" s="41">
        <f t="shared" si="39"/>
        <v>-8.7034144164252342E-2</v>
      </c>
      <c r="BB18" s="41">
        <f t="shared" si="39"/>
        <v>-0.12132701421800454</v>
      </c>
      <c r="BC18" s="41">
        <f t="shared" si="39"/>
        <v>-7.3600366366278189E-2</v>
      </c>
      <c r="BD18" s="41">
        <f t="shared" si="39"/>
        <v>-6.4786265311752106E-2</v>
      </c>
      <c r="BE18" s="41">
        <f t="shared" si="39"/>
        <v>-4.6501246233396409E-2</v>
      </c>
      <c r="BF18" s="41">
        <f t="shared" si="39"/>
        <v>-7.7426287014504075E-2</v>
      </c>
      <c r="BG18" s="41">
        <f t="shared" si="39"/>
        <v>-6.8280278771904943E-2</v>
      </c>
      <c r="BH18" s="41">
        <f t="shared" si="39"/>
        <v>4.4009564745367252E-3</v>
      </c>
      <c r="BI18" s="41">
        <f t="shared" si="39"/>
        <v>-6.1422213981090122E-2</v>
      </c>
      <c r="BJ18" s="41">
        <f t="shared" si="39"/>
        <v>-3.0695352041592825E-2</v>
      </c>
      <c r="BN18" s="26">
        <v>17</v>
      </c>
      <c r="BO18" s="45">
        <f t="shared" si="6"/>
        <v>0.59811535175500941</v>
      </c>
      <c r="BP18" s="45">
        <f t="shared" si="2"/>
        <v>-0.12970133822490482</v>
      </c>
      <c r="BQ18" s="45">
        <f t="shared" si="38"/>
        <v>0.73953177378572155</v>
      </c>
      <c r="BR18" s="45">
        <f t="shared" si="38"/>
        <v>0.25734685328520779</v>
      </c>
      <c r="BS18" s="45">
        <f t="shared" si="38"/>
        <v>0.23584524556103417</v>
      </c>
      <c r="BT18" s="45">
        <f t="shared" si="38"/>
        <v>0.42156914481436303</v>
      </c>
      <c r="BU18" s="45">
        <f t="shared" si="38"/>
        <v>6.3036633799822092E-2</v>
      </c>
      <c r="BV18" s="45">
        <f t="shared" si="38"/>
        <v>0.11381397577696845</v>
      </c>
      <c r="BW18" s="45">
        <f t="shared" si="38"/>
        <v>9.9612415350183656E-2</v>
      </c>
      <c r="BX18" s="45">
        <f t="shared" si="38"/>
        <v>0.57536218141318307</v>
      </c>
      <c r="BY18" s="45">
        <f t="shared" si="38"/>
        <v>-0.20923422565034103</v>
      </c>
      <c r="BZ18" s="45">
        <f t="shared" si="38"/>
        <v>-0.30268361445975972</v>
      </c>
      <c r="CA18" s="45">
        <f t="shared" si="38"/>
        <v>0.29099053288588955</v>
      </c>
      <c r="CB18" s="45">
        <f t="shared" si="38"/>
        <v>-0.34093604405712163</v>
      </c>
      <c r="CC18" s="45">
        <f t="shared" si="38"/>
        <v>-0.43430557820302301</v>
      </c>
      <c r="CD18" s="45">
        <f t="shared" si="38"/>
        <v>-6.7660754635534753E-2</v>
      </c>
      <c r="CE18" s="45">
        <f t="shared" si="38"/>
        <v>-4.6206194521271296E-2</v>
      </c>
      <c r="CF18" s="45">
        <f t="shared" si="38"/>
        <v>0.43343038060591238</v>
      </c>
      <c r="CG18" s="45">
        <f t="shared" si="38"/>
        <v>0.80825939527423629</v>
      </c>
      <c r="CH18" s="45">
        <f t="shared" si="38"/>
        <v>0.32734198965617622</v>
      </c>
      <c r="CI18" s="45">
        <f t="shared" si="38"/>
        <v>0.6657522698429964</v>
      </c>
      <c r="CJ18" s="45">
        <f t="shared" si="38"/>
        <v>0.30691471910587531</v>
      </c>
      <c r="CK18" s="45">
        <f t="shared" si="38"/>
        <v>0.48197891832097134</v>
      </c>
      <c r="CL18" s="45">
        <f t="shared" si="38"/>
        <v>2.0173170902703652E-3</v>
      </c>
      <c r="CM18" s="45">
        <f t="shared" si="37"/>
        <v>0.37458820468103299</v>
      </c>
      <c r="CN18" s="45">
        <f t="shared" si="37"/>
        <v>-0.36069485959076786</v>
      </c>
      <c r="CO18" s="45">
        <f t="shared" si="37"/>
        <v>-0.33761158058526936</v>
      </c>
      <c r="CP18" s="45">
        <f t="shared" si="37"/>
        <v>0.14109893467094906</v>
      </c>
      <c r="CU18" s="23">
        <v>17</v>
      </c>
      <c r="CV18" s="24">
        <f t="shared" si="7"/>
        <v>0.76147651104441949</v>
      </c>
      <c r="CW18" s="24">
        <f t="shared" si="8"/>
        <v>-2.5336348048033468</v>
      </c>
      <c r="CX18" s="24">
        <f t="shared" si="9"/>
        <v>0.30655525117081284</v>
      </c>
      <c r="CY18" s="24">
        <f t="shared" si="10"/>
        <v>7.4104721496005943E-2</v>
      </c>
      <c r="CZ18" s="24">
        <f t="shared" si="11"/>
        <v>-0.27850163370211722</v>
      </c>
      <c r="DA18" s="24">
        <f t="shared" si="12"/>
        <v>2.2513081558695305</v>
      </c>
      <c r="DB18" s="24">
        <f t="shared" si="13"/>
        <v>2.9749589047669716</v>
      </c>
      <c r="DC18" s="24">
        <f t="shared" si="14"/>
        <v>-3.5542497887520068</v>
      </c>
      <c r="DF18" s="20">
        <v>17</v>
      </c>
      <c r="DG18" s="19">
        <f t="shared" si="36"/>
        <v>-0.36069485959076786</v>
      </c>
      <c r="DH18" s="19">
        <f t="shared" si="15"/>
        <v>6.3036633799822092E-2</v>
      </c>
      <c r="DI18" s="19">
        <f t="shared" si="16"/>
        <v>-0.33761158058526936</v>
      </c>
      <c r="DJ18" s="19">
        <f t="shared" si="17"/>
        <v>9.9612415350183656E-2</v>
      </c>
      <c r="DK18" s="19">
        <f t="shared" si="18"/>
        <v>-0.29099053288588955</v>
      </c>
      <c r="DL18" s="19">
        <f t="shared" si="19"/>
        <v>0.11381397577696845</v>
      </c>
      <c r="DM18" s="19">
        <f t="shared" si="20"/>
        <v>-0.59811535175500941</v>
      </c>
      <c r="DN18" s="19">
        <f t="shared" si="21"/>
        <v>-0.20923422565034103</v>
      </c>
      <c r="DO18" s="19">
        <f t="shared" si="22"/>
        <v>-0.6657522698429964</v>
      </c>
      <c r="DP18" s="19">
        <f t="shared" si="23"/>
        <v>-0.30268361445975972</v>
      </c>
      <c r="DQ18" s="19">
        <f t="shared" si="24"/>
        <v>0.14109893467094906</v>
      </c>
      <c r="DR18" s="19">
        <f t="shared" si="25"/>
        <v>0.57536218141318307</v>
      </c>
      <c r="DS18" s="19">
        <f t="shared" si="26"/>
        <v>-0.42156914481436303</v>
      </c>
      <c r="DT18" s="19">
        <f t="shared" si="27"/>
        <v>0.42156914481436303</v>
      </c>
      <c r="DX18">
        <v>17</v>
      </c>
      <c r="DY18" s="9">
        <f t="shared" si="4"/>
        <v>6.5292086935189779</v>
      </c>
      <c r="EM18" s="11">
        <v>17</v>
      </c>
      <c r="EN18" s="8">
        <f t="shared" si="28"/>
        <v>0.76147651104441949</v>
      </c>
      <c r="EO18" s="8">
        <f t="shared" si="5"/>
        <v>-2.5336348048033468</v>
      </c>
      <c r="EP18" s="8">
        <f t="shared" si="29"/>
        <v>0.30655525117081284</v>
      </c>
      <c r="EQ18" s="8">
        <f t="shared" si="30"/>
        <v>7.4104721496005943E-2</v>
      </c>
      <c r="ER18" s="8">
        <f t="shared" si="31"/>
        <v>-0.27850163370211722</v>
      </c>
      <c r="ES18" s="8">
        <f t="shared" si="32"/>
        <v>2.2513081558695305</v>
      </c>
      <c r="ET18" s="8">
        <f t="shared" si="33"/>
        <v>2.9749589047669716</v>
      </c>
      <c r="EU18" s="8">
        <f t="shared" si="34"/>
        <v>-3.5542497887520068</v>
      </c>
      <c r="EW18" s="50"/>
      <c r="EX18" s="51"/>
      <c r="EY18" s="48"/>
      <c r="EZ18" s="48"/>
      <c r="FA18" s="48"/>
      <c r="FB18" s="48"/>
      <c r="FK18" s="10"/>
      <c r="FL18" s="10"/>
    </row>
    <row r="19" spans="1:168" ht="18.600000000000001" thickBot="1" x14ac:dyDescent="0.4">
      <c r="A19" s="12" t="s">
        <v>50</v>
      </c>
      <c r="B19" s="13">
        <v>17</v>
      </c>
      <c r="C19" s="30">
        <f>RTD("fxbluelabs.excelrtd", , "21422436","@bh,AUDUSD,h1,close,17")</f>
        <v>0.67320000000000002</v>
      </c>
      <c r="D19" s="31">
        <f>RTD("fxbluelabs.excelrtd", , "21422436","@bh,AUDNZD,h1,close,17")</f>
        <v>1.1009</v>
      </c>
      <c r="E19" s="32">
        <f>RTD("fxbluelabs.excelrtd", , "21422436","@bh,AUDJPY,h1,close,17")</f>
        <v>98.691000000000003</v>
      </c>
      <c r="F19" s="31">
        <f>RTD("fxbluelabs.excelrtd", , "21422436","@bh,AUDCHF,h1,close,17")</f>
        <v>0.58087</v>
      </c>
      <c r="G19" s="31">
        <f>RTD("fxbluelabs.excelrtd", , "21422436","@bh,AUDCAD,h1,close,17")</f>
        <v>0.91774999999999995</v>
      </c>
      <c r="H19" s="31">
        <f>RTD("fxbluelabs.excelrtd", , "21422436","@bh,EURUSD,h1,close,17")</f>
        <v>1.1085100000000001</v>
      </c>
      <c r="I19" s="31">
        <f>RTD("fxbluelabs.excelrtd", , "21422436","@bh,EURCAD,h1,close,17")</f>
        <v>1.51122</v>
      </c>
      <c r="J19" s="31">
        <f>RTD("fxbluelabs.excelrtd", , "21422436","@bh,EURGBP,h1,close,17")</f>
        <v>0.85323000000000004</v>
      </c>
      <c r="K19" s="31">
        <f>RTD("fxbluelabs.excelrtd", , "21422436","@bh,EURCHF,h1,close,17")</f>
        <v>0.95650000000000002</v>
      </c>
      <c r="L19" s="32">
        <f>RTD("fxbluelabs.excelrtd", , "21422436","@bh,EURJPY,h1,close,17")</f>
        <v>162.50800000000001</v>
      </c>
      <c r="M19" s="31">
        <f>RTD("fxbluelabs.excelrtd", , "21422436","@bh,EURAUD,h1,close,17")</f>
        <v>1.6465099999999999</v>
      </c>
      <c r="N19" s="31">
        <f>RTD("fxbluelabs.excelrtd", , "21422436","@bh,EURNZD,h1,close,17")</f>
        <v>1.8128200000000001</v>
      </c>
      <c r="O19" s="31">
        <f>RTD("fxbluelabs.excelrtd", , "21422436","@bh,GBPUSD,h1,close,17")</f>
        <v>1.2990699999999999</v>
      </c>
      <c r="P19" s="31">
        <f>RTD("fxbluelabs.excelrtd", , "21422436","@bh,GBPAUD,h1,close,17")</f>
        <v>1.9295500000000001</v>
      </c>
      <c r="Q19" s="31">
        <f>RTD("fxbluelabs.excelrtd", , "21422436","@bh,GBPNZD,h1,close,17")</f>
        <v>2.1243799999999999</v>
      </c>
      <c r="R19" s="31">
        <f>RTD("fxbluelabs.excelrtd", , "21422436","@bh,GBPCAD,h1,close,17")</f>
        <v>1.77101</v>
      </c>
      <c r="S19" s="31">
        <f>RTD("fxbluelabs.excelrtd", , "21422436","@bh,GBPCHF,h1,close,17")</f>
        <v>1.1209100000000001</v>
      </c>
      <c r="T19" s="32">
        <f>RTD("fxbluelabs.excelrtd", , "21422436","@bh,GBPJPY,h1,close,17")</f>
        <v>190.44499999999999</v>
      </c>
      <c r="U19" s="32">
        <f>RTD("fxbluelabs.excelrtd", , "21422436","@bh,NZDJPY,h1,close,17")</f>
        <v>89.62</v>
      </c>
      <c r="V19" s="31">
        <f>RTD("fxbluelabs.excelrtd", , "21422436","@bh,NZDCHF,h1,close,17")</f>
        <v>0.52749999999999997</v>
      </c>
      <c r="W19" s="31">
        <f>RTD("fxbluelabs.excelrtd", , "21422436","@bh,NZDUSD,h1,close,17")</f>
        <v>0.61141000000000001</v>
      </c>
      <c r="X19" s="31">
        <f>RTD("fxbluelabs.excelrtd", , "21422436","@bh,NZDCAD,h1,close,17")</f>
        <v>0.83350999999999997</v>
      </c>
      <c r="Y19" s="32">
        <f>RTD("fxbluelabs.excelrtd", , "21422436","@bh,CADJPY,h1,close,17")</f>
        <v>107.524</v>
      </c>
      <c r="Z19" s="31">
        <f>RTD("fxbluelabs.excelrtd", , "21422436","@bh,CADCHF,h1,close,17")</f>
        <v>0.63285999999999998</v>
      </c>
      <c r="AA19" s="32">
        <f>RTD("fxbluelabs.excelrtd", , "21422436","@bh,CHFJPY,h1,close,17")</f>
        <v>169.88800000000001</v>
      </c>
      <c r="AB19" s="31">
        <f>RTD("fxbluelabs.excelrtd", , "21422436","@bh,USDCAD,h1,close,17")</f>
        <v>1.36334</v>
      </c>
      <c r="AC19" s="31">
        <f>RTD("fxbluelabs.excelrtd", , "21422436","@bh,USDCHF,h1,close,17")</f>
        <v>0.86287999999999998</v>
      </c>
      <c r="AD19" s="33">
        <f>RTD("fxbluelabs.excelrtd", , "21422436","@bh,USDJPY,h1,close,17")</f>
        <v>146.602</v>
      </c>
      <c r="AH19" s="23">
        <v>18</v>
      </c>
      <c r="AI19" s="42">
        <f t="shared" si="35"/>
        <v>1.4854647276497739E-3</v>
      </c>
      <c r="AJ19" s="42">
        <f t="shared" si="35"/>
        <v>-7.8963849079202231E-2</v>
      </c>
      <c r="AK19" s="42">
        <f t="shared" si="35"/>
        <v>-2.3299633284028745E-2</v>
      </c>
      <c r="AL19" s="42">
        <f t="shared" si="35"/>
        <v>2.5830004132797815E-2</v>
      </c>
      <c r="AM19" s="42">
        <f t="shared" si="35"/>
        <v>-2.2876813804527812E-2</v>
      </c>
      <c r="AN19" s="42">
        <f t="shared" si="35"/>
        <v>1.2631161074373086E-2</v>
      </c>
      <c r="AO19" s="42">
        <f t="shared" si="35"/>
        <v>-8.6015813676490211E-3</v>
      </c>
      <c r="AP19" s="42">
        <f t="shared" si="35"/>
        <v>3.5161744022603747E-3</v>
      </c>
      <c r="AQ19" s="42">
        <f t="shared" si="35"/>
        <v>4.0790285636590082E-2</v>
      </c>
      <c r="AR19" s="42">
        <f t="shared" si="35"/>
        <v>-7.9989662874193537E-3</v>
      </c>
      <c r="AS19" s="42">
        <f t="shared" si="35"/>
        <v>4.2515973858758592E-3</v>
      </c>
      <c r="AT19" s="42">
        <f t="shared" si="35"/>
        <v>-6.725320279596915E-2</v>
      </c>
      <c r="AU19" s="42">
        <f t="shared" si="35"/>
        <v>5.388760585066551E-3</v>
      </c>
      <c r="AV19" s="42">
        <f t="shared" si="35"/>
        <v>-2.0729792339210899E-3</v>
      </c>
      <c r="AW19" s="42">
        <f t="shared" si="35"/>
        <v>-7.3379305154426089E-2</v>
      </c>
      <c r="AX19" s="42">
        <f t="shared" si="35"/>
        <v>-1.4678733338222122E-2</v>
      </c>
      <c r="AY19" s="42">
        <f t="shared" si="39"/>
        <v>3.1234382808602169E-2</v>
      </c>
      <c r="AZ19" s="42">
        <f t="shared" si="39"/>
        <v>-1.7324835414071683E-2</v>
      </c>
      <c r="BA19" s="42">
        <f t="shared" si="39"/>
        <v>4.1302479265045981E-2</v>
      </c>
      <c r="BB19" s="42">
        <f t="shared" si="39"/>
        <v>9.297736285838798E-2</v>
      </c>
      <c r="BC19" s="42">
        <f t="shared" si="39"/>
        <v>6.7103109656304658E-2</v>
      </c>
      <c r="BD19" s="42">
        <f t="shared" si="39"/>
        <v>4.6811983867870353E-2</v>
      </c>
      <c r="BE19" s="42">
        <f t="shared" si="39"/>
        <v>-1.1159053712245624E-2</v>
      </c>
      <c r="BF19" s="42">
        <f t="shared" si="39"/>
        <v>3.7937466409537796E-2</v>
      </c>
      <c r="BG19" s="42">
        <f t="shared" si="39"/>
        <v>-5.7063858575761628E-2</v>
      </c>
      <c r="BH19" s="42">
        <f t="shared" si="39"/>
        <v>-2.1266765911567027E-2</v>
      </c>
      <c r="BI19" s="42">
        <f t="shared" si="39"/>
        <v>2.5502515475389839E-2</v>
      </c>
      <c r="BJ19" s="42">
        <f t="shared" si="39"/>
        <v>-2.4550253003997165E-2</v>
      </c>
      <c r="BN19" s="26">
        <v>18</v>
      </c>
      <c r="BO19" s="46">
        <f t="shared" si="6"/>
        <v>0.62930964765519415</v>
      </c>
      <c r="BP19" s="46">
        <f t="shared" si="2"/>
        <v>-0.12243455650085357</v>
      </c>
      <c r="BQ19" s="46">
        <f t="shared" si="38"/>
        <v>0.79931432741269615</v>
      </c>
      <c r="BR19" s="46">
        <f t="shared" si="38"/>
        <v>0.34858929996002835</v>
      </c>
      <c r="BS19" s="46">
        <f t="shared" si="38"/>
        <v>0.25981691540576285</v>
      </c>
      <c r="BT19" s="46">
        <f t="shared" si="38"/>
        <v>0.43510082247176746</v>
      </c>
      <c r="BU19" s="46">
        <f t="shared" si="38"/>
        <v>7.0315521056479258E-2</v>
      </c>
      <c r="BV19" s="46">
        <f t="shared" si="38"/>
        <v>0.11381397577696845</v>
      </c>
      <c r="BW19" s="46">
        <f t="shared" si="38"/>
        <v>0.1602501571170446</v>
      </c>
      <c r="BX19" s="46">
        <f t="shared" si="38"/>
        <v>0.60920666906917953</v>
      </c>
      <c r="BY19" s="46">
        <f t="shared" si="38"/>
        <v>-0.19830201145183349</v>
      </c>
      <c r="BZ19" s="46">
        <f t="shared" si="38"/>
        <v>-0.31150964241619983</v>
      </c>
      <c r="CA19" s="46">
        <f t="shared" si="38"/>
        <v>0.31716310249337853</v>
      </c>
      <c r="CB19" s="46">
        <f t="shared" si="38"/>
        <v>-0.31709628867373552</v>
      </c>
      <c r="CC19" s="46">
        <f t="shared" si="38"/>
        <v>-0.43336412705020994</v>
      </c>
      <c r="CD19" s="46">
        <f t="shared" si="38"/>
        <v>-4.78980203765485E-2</v>
      </c>
      <c r="CE19" s="46">
        <f t="shared" si="38"/>
        <v>3.854637258938045E-2</v>
      </c>
      <c r="CF19" s="46">
        <f t="shared" si="38"/>
        <v>0.48908949478585662</v>
      </c>
      <c r="CG19" s="46">
        <f t="shared" si="38"/>
        <v>0.89529353943848855</v>
      </c>
      <c r="CH19" s="46">
        <f t="shared" si="38"/>
        <v>0.44866900387418063</v>
      </c>
      <c r="CI19" s="46">
        <f t="shared" si="38"/>
        <v>0.73935263620927461</v>
      </c>
      <c r="CJ19" s="46">
        <f t="shared" si="38"/>
        <v>0.37170098441762744</v>
      </c>
      <c r="CK19" s="46">
        <f t="shared" si="38"/>
        <v>0.52848016455436775</v>
      </c>
      <c r="CL19" s="46">
        <f t="shared" si="38"/>
        <v>7.9443604104774468E-2</v>
      </c>
      <c r="CM19" s="46">
        <f t="shared" si="37"/>
        <v>0.44286848345293789</v>
      </c>
      <c r="CN19" s="46">
        <f t="shared" si="37"/>
        <v>-0.3650958160653045</v>
      </c>
      <c r="CO19" s="46">
        <f t="shared" si="37"/>
        <v>-0.27618936660417925</v>
      </c>
      <c r="CP19" s="46">
        <f t="shared" si="37"/>
        <v>0.17179428671254188</v>
      </c>
      <c r="CU19" s="23">
        <v>18</v>
      </c>
      <c r="CV19" s="25">
        <f t="shared" si="7"/>
        <v>0.87887549162340606</v>
      </c>
      <c r="CW19" s="25">
        <f t="shared" si="8"/>
        <v>-2.5904171047865567</v>
      </c>
      <c r="CX19" s="25">
        <f t="shared" si="9"/>
        <v>0.31908418422112578</v>
      </c>
      <c r="CY19" s="25">
        <f t="shared" si="10"/>
        <v>-0.27699698348351687</v>
      </c>
      <c r="CZ19" s="25">
        <f t="shared" si="11"/>
        <v>-6.7373442008846818E-2</v>
      </c>
      <c r="DA19" s="25">
        <f t="shared" si="12"/>
        <v>2.4299939340583969</v>
      </c>
      <c r="DB19" s="25">
        <f t="shared" si="13"/>
        <v>3.3223244899068347</v>
      </c>
      <c r="DC19" s="25">
        <f t="shared" si="14"/>
        <v>-3.9360469654260681</v>
      </c>
      <c r="DF19" s="18">
        <v>18</v>
      </c>
      <c r="DG19" s="21">
        <f t="shared" si="36"/>
        <v>-0.3650958160653045</v>
      </c>
      <c r="DH19" s="21">
        <f t="shared" si="15"/>
        <v>7.0315521056479258E-2</v>
      </c>
      <c r="DI19" s="21">
        <f t="shared" si="16"/>
        <v>-0.27618936660417925</v>
      </c>
      <c r="DJ19" s="21">
        <f t="shared" si="17"/>
        <v>0.1602501571170446</v>
      </c>
      <c r="DK19" s="21">
        <f t="shared" si="18"/>
        <v>-0.31716310249337853</v>
      </c>
      <c r="DL19" s="21">
        <f t="shared" si="19"/>
        <v>0.11381397577696845</v>
      </c>
      <c r="DM19" s="21">
        <f t="shared" si="20"/>
        <v>-0.62930964765519415</v>
      </c>
      <c r="DN19" s="21">
        <f t="shared" si="21"/>
        <v>-0.19830201145183349</v>
      </c>
      <c r="DO19" s="21">
        <f t="shared" si="22"/>
        <v>-0.73935263620927461</v>
      </c>
      <c r="DP19" s="21">
        <f t="shared" si="23"/>
        <v>-0.31150964241619983</v>
      </c>
      <c r="DQ19" s="21">
        <f t="shared" si="24"/>
        <v>0.17179428671254188</v>
      </c>
      <c r="DR19" s="21">
        <f t="shared" si="25"/>
        <v>0.60920666906917953</v>
      </c>
      <c r="DS19" s="21">
        <f t="shared" si="26"/>
        <v>-0.43510082247176746</v>
      </c>
      <c r="DT19" s="21">
        <f t="shared" si="27"/>
        <v>0.43510082247176746</v>
      </c>
      <c r="DX19">
        <v>18</v>
      </c>
      <c r="DY19" s="9">
        <f t="shared" si="4"/>
        <v>7.2583714553329024</v>
      </c>
      <c r="EM19" s="11">
        <v>18</v>
      </c>
      <c r="EN19" s="8">
        <f t="shared" si="28"/>
        <v>0.87887549162340606</v>
      </c>
      <c r="EO19" s="8">
        <f t="shared" si="5"/>
        <v>-2.5904171047865567</v>
      </c>
      <c r="EP19" s="8">
        <f t="shared" si="29"/>
        <v>0.31908418422112578</v>
      </c>
      <c r="EQ19" s="8">
        <f t="shared" si="30"/>
        <v>-0.27699698348351687</v>
      </c>
      <c r="ER19" s="8">
        <f t="shared" si="31"/>
        <v>-6.7373442008846818E-2</v>
      </c>
      <c r="ES19" s="8">
        <f t="shared" si="32"/>
        <v>2.4299939340583969</v>
      </c>
      <c r="ET19" s="8">
        <f t="shared" si="33"/>
        <v>3.3223244899068347</v>
      </c>
      <c r="EU19" s="8">
        <f t="shared" si="34"/>
        <v>-3.9360469654260681</v>
      </c>
      <c r="EW19" s="50"/>
      <c r="EX19" s="51"/>
      <c r="EY19" s="48"/>
      <c r="EZ19" s="48"/>
      <c r="FA19" s="48"/>
      <c r="FB19" s="48"/>
      <c r="FK19" s="10"/>
      <c r="FL19" s="10"/>
    </row>
    <row r="20" spans="1:168" ht="18.600000000000001" thickBot="1" x14ac:dyDescent="0.4">
      <c r="A20" s="12" t="s">
        <v>50</v>
      </c>
      <c r="B20" s="13">
        <v>18</v>
      </c>
      <c r="C20" s="30">
        <f>RTD("fxbluelabs.excelrtd", , "21422436","@bh,AUDUSD,h1,close,18")</f>
        <v>0.67318999999999996</v>
      </c>
      <c r="D20" s="31">
        <f>RTD("fxbluelabs.excelrtd", , "21422436","@bh,AUDNZD,h1,close,18")</f>
        <v>1.1017699999999999</v>
      </c>
      <c r="E20" s="32">
        <f>RTD("fxbluelabs.excelrtd", , "21422436","@bh,AUDJPY,h1,close,18")</f>
        <v>98.713999999999999</v>
      </c>
      <c r="F20" s="31">
        <f>RTD("fxbluelabs.excelrtd", , "21422436","@bh,AUDCHF,h1,close,18")</f>
        <v>0.58072000000000001</v>
      </c>
      <c r="G20" s="31">
        <f>RTD("fxbluelabs.excelrtd", , "21422436","@bh,AUDCAD,h1,close,18")</f>
        <v>0.91796</v>
      </c>
      <c r="H20" s="31">
        <f>RTD("fxbluelabs.excelrtd", , "21422436","@bh,EURUSD,h1,close,18")</f>
        <v>1.1083700000000001</v>
      </c>
      <c r="I20" s="31">
        <f>RTD("fxbluelabs.excelrtd", , "21422436","@bh,EURCAD,h1,close,18")</f>
        <v>1.51135</v>
      </c>
      <c r="J20" s="31">
        <f>RTD("fxbluelabs.excelrtd", , "21422436","@bh,EURGBP,h1,close,18")</f>
        <v>0.85319999999999996</v>
      </c>
      <c r="K20" s="31">
        <f>RTD("fxbluelabs.excelrtd", , "21422436","@bh,EURCHF,h1,close,18")</f>
        <v>0.95611000000000002</v>
      </c>
      <c r="L20" s="32">
        <f>RTD("fxbluelabs.excelrtd", , "21422436","@bh,EURJPY,h1,close,18")</f>
        <v>162.52099999999999</v>
      </c>
      <c r="M20" s="31">
        <f>RTD("fxbluelabs.excelrtd", , "21422436","@bh,EURAUD,h1,close,18")</f>
        <v>1.6464399999999999</v>
      </c>
      <c r="N20" s="31">
        <f>RTD("fxbluelabs.excelrtd", , "21422436","@bh,EURNZD,h1,close,18")</f>
        <v>1.8140400000000001</v>
      </c>
      <c r="O20" s="31">
        <f>RTD("fxbluelabs.excelrtd", , "21422436","@bh,GBPUSD,h1,close,18")</f>
        <v>1.2989999999999999</v>
      </c>
      <c r="P20" s="31">
        <f>RTD("fxbluelabs.excelrtd", , "21422436","@bh,GBPAUD,h1,close,18")</f>
        <v>1.9295899999999999</v>
      </c>
      <c r="Q20" s="31">
        <f>RTD("fxbluelabs.excelrtd", , "21422436","@bh,GBPNZD,h1,close,18")</f>
        <v>2.1259399999999999</v>
      </c>
      <c r="R20" s="31">
        <f>RTD("fxbluelabs.excelrtd", , "21422436","@bh,GBPCAD,h1,close,18")</f>
        <v>1.7712699999999999</v>
      </c>
      <c r="S20" s="31">
        <f>RTD("fxbluelabs.excelrtd", , "21422436","@bh,GBPCHF,h1,close,18")</f>
        <v>1.12056</v>
      </c>
      <c r="T20" s="32">
        <f>RTD("fxbluelabs.excelrtd", , "21422436","@bh,GBPJPY,h1,close,18")</f>
        <v>190.47800000000001</v>
      </c>
      <c r="U20" s="32">
        <f>RTD("fxbluelabs.excelrtd", , "21422436","@bh,NZDJPY,h1,close,18")</f>
        <v>89.582999999999998</v>
      </c>
      <c r="V20" s="31">
        <f>RTD("fxbluelabs.excelrtd", , "21422436","@bh,NZDCHF,h1,close,18")</f>
        <v>0.52700999999999998</v>
      </c>
      <c r="W20" s="31">
        <f>RTD("fxbluelabs.excelrtd", , "21422436","@bh,NZDUSD,h1,close,18")</f>
        <v>0.61099999999999999</v>
      </c>
      <c r="X20" s="31">
        <f>RTD("fxbluelabs.excelrtd", , "21422436","@bh,NZDCAD,h1,close,18")</f>
        <v>0.83311999999999997</v>
      </c>
      <c r="Y20" s="32">
        <f>RTD("fxbluelabs.excelrtd", , "21422436","@bh,CADJPY,h1,close,18")</f>
        <v>107.536</v>
      </c>
      <c r="Z20" s="31">
        <f>RTD("fxbluelabs.excelrtd", , "21422436","@bh,CADCHF,h1,close,18")</f>
        <v>0.63261999999999996</v>
      </c>
      <c r="AA20" s="32">
        <f>RTD("fxbluelabs.excelrtd", , "21422436","@bh,CHFJPY,h1,close,18")</f>
        <v>169.98500000000001</v>
      </c>
      <c r="AB20" s="31">
        <f>RTD("fxbluelabs.excelrtd", , "21422436","@bh,USDCAD,h1,close,18")</f>
        <v>1.3636299999999999</v>
      </c>
      <c r="AC20" s="31">
        <f>RTD("fxbluelabs.excelrtd", , "21422436","@bh,USDCHF,h1,close,18")</f>
        <v>0.86265999999999998</v>
      </c>
      <c r="AD20" s="33">
        <f>RTD("fxbluelabs.excelrtd", , "21422436","@bh,USDJPY,h1,close,18")</f>
        <v>146.63800000000001</v>
      </c>
      <c r="AH20" s="23">
        <v>19</v>
      </c>
      <c r="AI20" s="41">
        <f t="shared" ref="AI20:AX28" si="40">IF(C20=0,0,(C20-C21)*100/C21)</f>
        <v>2.5259279070459051E-2</v>
      </c>
      <c r="AJ20" s="41">
        <f t="shared" si="40"/>
        <v>2.0879859106337717E-2</v>
      </c>
      <c r="AK20" s="41">
        <f t="shared" si="40"/>
        <v>1.21578083524148E-2</v>
      </c>
      <c r="AL20" s="41">
        <f t="shared" si="40"/>
        <v>2.2391016035405959E-2</v>
      </c>
      <c r="AM20" s="41">
        <f t="shared" si="40"/>
        <v>4.3593879419324723E-2</v>
      </c>
      <c r="AN20" s="41">
        <f t="shared" si="40"/>
        <v>1.8047772453682914E-2</v>
      </c>
      <c r="AO20" s="41">
        <f t="shared" si="40"/>
        <v>3.7066700203197925E-2</v>
      </c>
      <c r="AP20" s="41">
        <f t="shared" si="40"/>
        <v>3.1655587211141888E-2</v>
      </c>
      <c r="AQ20" s="41">
        <f t="shared" si="40"/>
        <v>1.1506276150633316E-2</v>
      </c>
      <c r="AR20" s="41">
        <f t="shared" si="40"/>
        <v>5.5380525745705733E-3</v>
      </c>
      <c r="AS20" s="41">
        <f t="shared" si="40"/>
        <v>-4.8587323567329888E-3</v>
      </c>
      <c r="AT20" s="41">
        <f t="shared" si="40"/>
        <v>1.8194749987603502E-2</v>
      </c>
      <c r="AU20" s="41">
        <f t="shared" si="40"/>
        <v>-1.6163668690977094E-2</v>
      </c>
      <c r="AV20" s="41">
        <f t="shared" si="40"/>
        <v>-4.1442402830523049E-2</v>
      </c>
      <c r="AW20" s="41">
        <f t="shared" si="40"/>
        <v>-2.1632806621515472E-2</v>
      </c>
      <c r="AX20" s="41">
        <f t="shared" si="40"/>
        <v>5.6456985421922629E-4</v>
      </c>
      <c r="AY20" s="41">
        <f t="shared" si="39"/>
        <v>-1.8737118231219919E-2</v>
      </c>
      <c r="AZ20" s="41">
        <f t="shared" si="39"/>
        <v>-2.9391079807269661E-2</v>
      </c>
      <c r="BA20" s="41">
        <f t="shared" si="39"/>
        <v>-1.3393604553826056E-2</v>
      </c>
      <c r="BB20" s="41">
        <f t="shared" si="39"/>
        <v>0</v>
      </c>
      <c r="BC20" s="41">
        <f t="shared" si="39"/>
        <v>1.3095004255871305E-2</v>
      </c>
      <c r="BD20" s="41">
        <f t="shared" si="39"/>
        <v>2.7614691015614604E-2</v>
      </c>
      <c r="BE20" s="41">
        <f t="shared" si="39"/>
        <v>-3.0677983433890107E-2</v>
      </c>
      <c r="BF20" s="41">
        <f t="shared" si="39"/>
        <v>-2.0545239035965942E-2</v>
      </c>
      <c r="BG20" s="41">
        <f t="shared" si="39"/>
        <v>-4.7060761325356665E-3</v>
      </c>
      <c r="BH20" s="41">
        <f t="shared" si="39"/>
        <v>1.6869590729056218E-2</v>
      </c>
      <c r="BI20" s="41">
        <f t="shared" si="39"/>
        <v>-1.1591918114766378E-3</v>
      </c>
      <c r="BJ20" s="41">
        <f t="shared" si="39"/>
        <v>-1.2273619899629528E-2</v>
      </c>
      <c r="BN20" s="26">
        <v>19</v>
      </c>
      <c r="BO20" s="45">
        <f t="shared" si="6"/>
        <v>0.62782418292754438</v>
      </c>
      <c r="BP20" s="45">
        <f t="shared" si="2"/>
        <v>-4.347070742165135E-2</v>
      </c>
      <c r="BQ20" s="45">
        <f t="shared" si="38"/>
        <v>0.82261396069672488</v>
      </c>
      <c r="BR20" s="45">
        <f t="shared" si="38"/>
        <v>0.32275929582723056</v>
      </c>
      <c r="BS20" s="45">
        <f t="shared" si="38"/>
        <v>0.28269372921029068</v>
      </c>
      <c r="BT20" s="45">
        <f t="shared" si="38"/>
        <v>0.42246966139739439</v>
      </c>
      <c r="BU20" s="45">
        <f t="shared" si="38"/>
        <v>7.8917102424128277E-2</v>
      </c>
      <c r="BV20" s="45">
        <f t="shared" si="38"/>
        <v>0.11029780137470804</v>
      </c>
      <c r="BW20" s="45">
        <f t="shared" si="38"/>
        <v>0.1194598714804545</v>
      </c>
      <c r="BX20" s="45">
        <f t="shared" si="38"/>
        <v>0.61720563535659867</v>
      </c>
      <c r="BY20" s="45">
        <f t="shared" si="38"/>
        <v>-0.20255360883770931</v>
      </c>
      <c r="BZ20" s="45">
        <f t="shared" si="38"/>
        <v>-0.24425643962023069</v>
      </c>
      <c r="CA20" s="45">
        <f t="shared" si="38"/>
        <v>0.31177434190831199</v>
      </c>
      <c r="CB20" s="45">
        <f t="shared" si="38"/>
        <v>-0.31502330943981444</v>
      </c>
      <c r="CC20" s="45">
        <f t="shared" si="38"/>
        <v>-0.35998482189578379</v>
      </c>
      <c r="CD20" s="45">
        <f t="shared" si="38"/>
        <v>-3.3219287038326377E-2</v>
      </c>
      <c r="CE20" s="45">
        <f t="shared" si="38"/>
        <v>7.3119897807782767E-3</v>
      </c>
      <c r="CF20" s="45">
        <f t="shared" si="38"/>
        <v>0.50641433019992832</v>
      </c>
      <c r="CG20" s="45">
        <f t="shared" si="38"/>
        <v>0.85399106017344262</v>
      </c>
      <c r="CH20" s="45">
        <f t="shared" si="38"/>
        <v>0.35569164101579265</v>
      </c>
      <c r="CI20" s="45">
        <f t="shared" si="38"/>
        <v>0.67224952655296999</v>
      </c>
      <c r="CJ20" s="45">
        <f t="shared" si="38"/>
        <v>0.32488900054975706</v>
      </c>
      <c r="CK20" s="45">
        <f t="shared" si="38"/>
        <v>0.53963921826661343</v>
      </c>
      <c r="CL20" s="45">
        <f t="shared" si="38"/>
        <v>4.1506137695236672E-2</v>
      </c>
      <c r="CM20" s="45">
        <f t="shared" si="37"/>
        <v>0.49993234202869957</v>
      </c>
      <c r="CN20" s="45">
        <f t="shared" si="37"/>
        <v>-0.34382905015373755</v>
      </c>
      <c r="CO20" s="45">
        <f t="shared" si="37"/>
        <v>-0.3016918820795691</v>
      </c>
      <c r="CP20" s="45">
        <f t="shared" si="37"/>
        <v>0.19634453971653901</v>
      </c>
      <c r="CU20" s="23">
        <v>19</v>
      </c>
      <c r="CV20" s="24">
        <f t="shared" si="7"/>
        <v>0.90154002357534391</v>
      </c>
      <c r="CW20" s="24">
        <f t="shared" si="8"/>
        <v>-2.4834941053029884</v>
      </c>
      <c r="CX20" s="24">
        <f t="shared" si="9"/>
        <v>0.27169386096973802</v>
      </c>
      <c r="CY20" s="24">
        <f t="shared" si="10"/>
        <v>-3.5985739959872864E-3</v>
      </c>
      <c r="CZ20" s="24">
        <f t="shared" si="11"/>
        <v>6.9754421403859512E-3</v>
      </c>
      <c r="DA20" s="24">
        <f t="shared" si="12"/>
        <v>2.5299973795176625</v>
      </c>
      <c r="DB20" s="24">
        <f t="shared" si="13"/>
        <v>2.8545331972296282</v>
      </c>
      <c r="DC20" s="24">
        <f t="shared" si="14"/>
        <v>-4.0361410864385459</v>
      </c>
      <c r="DF20" s="18">
        <v>19</v>
      </c>
      <c r="DG20" s="19">
        <f t="shared" si="36"/>
        <v>-0.34382905015373755</v>
      </c>
      <c r="DH20" s="19">
        <f t="shared" si="15"/>
        <v>7.8917102424128277E-2</v>
      </c>
      <c r="DI20" s="19">
        <f t="shared" si="16"/>
        <v>-0.3016918820795691</v>
      </c>
      <c r="DJ20" s="19">
        <f t="shared" si="17"/>
        <v>0.1194598714804545</v>
      </c>
      <c r="DK20" s="19">
        <f t="shared" si="18"/>
        <v>-0.31177434190831199</v>
      </c>
      <c r="DL20" s="19">
        <f t="shared" si="19"/>
        <v>0.11029780137470804</v>
      </c>
      <c r="DM20" s="19">
        <f t="shared" si="20"/>
        <v>-0.62782418292754438</v>
      </c>
      <c r="DN20" s="19">
        <f t="shared" si="21"/>
        <v>-0.20255360883770931</v>
      </c>
      <c r="DO20" s="19">
        <f t="shared" si="22"/>
        <v>-0.67224952655296999</v>
      </c>
      <c r="DP20" s="19">
        <f t="shared" si="23"/>
        <v>-0.24425643962023069</v>
      </c>
      <c r="DQ20" s="19">
        <f t="shared" si="24"/>
        <v>0.19634453971653901</v>
      </c>
      <c r="DR20" s="19">
        <f t="shared" si="25"/>
        <v>0.61720563535659867</v>
      </c>
      <c r="DS20" s="19">
        <f t="shared" si="26"/>
        <v>-0.42246966139739439</v>
      </c>
      <c r="DT20" s="19">
        <f t="shared" si="27"/>
        <v>0.42246966139739439</v>
      </c>
      <c r="DX20">
        <v>19</v>
      </c>
      <c r="DY20" s="9">
        <f t="shared" si="4"/>
        <v>6.890674283668174</v>
      </c>
      <c r="EM20" s="11">
        <v>19</v>
      </c>
      <c r="EN20" s="8">
        <f t="shared" si="28"/>
        <v>0.90154002357534391</v>
      </c>
      <c r="EO20" s="8">
        <f t="shared" si="5"/>
        <v>-2.4834941053029884</v>
      </c>
      <c r="EP20" s="8">
        <f t="shared" si="29"/>
        <v>0.27169386096973802</v>
      </c>
      <c r="EQ20" s="8">
        <f t="shared" si="30"/>
        <v>-3.5985739959872864E-3</v>
      </c>
      <c r="ER20" s="8">
        <f t="shared" si="31"/>
        <v>6.9754421403859512E-3</v>
      </c>
      <c r="ES20" s="8">
        <f t="shared" si="32"/>
        <v>2.5299973795176625</v>
      </c>
      <c r="ET20" s="8">
        <f t="shared" si="33"/>
        <v>2.8545331972296282</v>
      </c>
      <c r="EU20" s="8">
        <f t="shared" si="34"/>
        <v>-4.0361410864385459</v>
      </c>
      <c r="EW20" s="50"/>
      <c r="EX20" s="51"/>
      <c r="EY20" s="48"/>
      <c r="EZ20" s="48"/>
      <c r="FA20" s="48"/>
      <c r="FB20" s="48"/>
      <c r="FK20" s="10"/>
      <c r="FL20" s="10"/>
    </row>
    <row r="21" spans="1:168" ht="18.600000000000001" thickBot="1" x14ac:dyDescent="0.4">
      <c r="A21" s="12" t="s">
        <v>50</v>
      </c>
      <c r="B21" s="13">
        <v>19</v>
      </c>
      <c r="C21" s="30">
        <f>RTD("fxbluelabs.excelrtd", , "21422436","@bh,AUDUSD,h1,close,19")</f>
        <v>0.67301999999999995</v>
      </c>
      <c r="D21" s="31">
        <f>RTD("fxbluelabs.excelrtd", , "21422436","@bh,AUDNZD,h1,close,19")</f>
        <v>1.10154</v>
      </c>
      <c r="E21" s="32">
        <f>RTD("fxbluelabs.excelrtd", , "21422436","@bh,AUDJPY,h1,close,19")</f>
        <v>98.701999999999998</v>
      </c>
      <c r="F21" s="31">
        <f>RTD("fxbluelabs.excelrtd", , "21422436","@bh,AUDCHF,h1,close,19")</f>
        <v>0.58059000000000005</v>
      </c>
      <c r="G21" s="31">
        <f>RTD("fxbluelabs.excelrtd", , "21422436","@bh,AUDCAD,h1,close,19")</f>
        <v>0.91756000000000004</v>
      </c>
      <c r="H21" s="31">
        <f>RTD("fxbluelabs.excelrtd", , "21422436","@bh,EURUSD,h1,close,19")</f>
        <v>1.1081700000000001</v>
      </c>
      <c r="I21" s="31">
        <f>RTD("fxbluelabs.excelrtd", , "21422436","@bh,EURCAD,h1,close,19")</f>
        <v>1.5107900000000001</v>
      </c>
      <c r="J21" s="31">
        <f>RTD("fxbluelabs.excelrtd", , "21422436","@bh,EURGBP,h1,close,19")</f>
        <v>0.85292999999999997</v>
      </c>
      <c r="K21" s="31">
        <f>RTD("fxbluelabs.excelrtd", , "21422436","@bh,EURCHF,h1,close,19")</f>
        <v>0.95599999999999996</v>
      </c>
      <c r="L21" s="32">
        <f>RTD("fxbluelabs.excelrtd", , "21422436","@bh,EURJPY,h1,close,19")</f>
        <v>162.512</v>
      </c>
      <c r="M21" s="31">
        <f>RTD("fxbluelabs.excelrtd", , "21422436","@bh,EURAUD,h1,close,19")</f>
        <v>1.64652</v>
      </c>
      <c r="N21" s="31">
        <f>RTD("fxbluelabs.excelrtd", , "21422436","@bh,EURNZD,h1,close,19")</f>
        <v>1.8137099999999999</v>
      </c>
      <c r="O21" s="31">
        <f>RTD("fxbluelabs.excelrtd", , "21422436","@bh,GBPUSD,h1,close,19")</f>
        <v>1.29921</v>
      </c>
      <c r="P21" s="31">
        <f>RTD("fxbluelabs.excelrtd", , "21422436","@bh,GBPAUD,h1,close,19")</f>
        <v>1.9303900000000001</v>
      </c>
      <c r="Q21" s="31">
        <f>RTD("fxbluelabs.excelrtd", , "21422436","@bh,GBPNZD,h1,close,19")</f>
        <v>2.1263999999999998</v>
      </c>
      <c r="R21" s="31">
        <f>RTD("fxbluelabs.excelrtd", , "21422436","@bh,GBPCAD,h1,close,19")</f>
        <v>1.7712600000000001</v>
      </c>
      <c r="S21" s="31">
        <f>RTD("fxbluelabs.excelrtd", , "21422436","@bh,GBPCHF,h1,close,19")</f>
        <v>1.12077</v>
      </c>
      <c r="T21" s="32">
        <f>RTD("fxbluelabs.excelrtd", , "21422436","@bh,GBPJPY,h1,close,19")</f>
        <v>190.53399999999999</v>
      </c>
      <c r="U21" s="32">
        <f>RTD("fxbluelabs.excelrtd", , "21422436","@bh,NZDJPY,h1,close,19")</f>
        <v>89.594999999999999</v>
      </c>
      <c r="V21" s="31">
        <f>RTD("fxbluelabs.excelrtd", , "21422436","@bh,NZDCHF,h1,close,19")</f>
        <v>0.52700999999999998</v>
      </c>
      <c r="W21" s="31">
        <f>RTD("fxbluelabs.excelrtd", , "21422436","@bh,NZDUSD,h1,close,19")</f>
        <v>0.61092000000000002</v>
      </c>
      <c r="X21" s="31">
        <f>RTD("fxbluelabs.excelrtd", , "21422436","@bh,NZDCAD,h1,close,19")</f>
        <v>0.83289000000000002</v>
      </c>
      <c r="Y21" s="32">
        <f>RTD("fxbluelabs.excelrtd", , "21422436","@bh,CADJPY,h1,close,19")</f>
        <v>107.569</v>
      </c>
      <c r="Z21" s="31">
        <f>RTD("fxbluelabs.excelrtd", , "21422436","@bh,CADCHF,h1,close,19")</f>
        <v>0.63275000000000003</v>
      </c>
      <c r="AA21" s="32">
        <f>RTD("fxbluelabs.excelrtd", , "21422436","@bh,CHFJPY,h1,close,19")</f>
        <v>169.99299999999999</v>
      </c>
      <c r="AB21" s="31">
        <f>RTD("fxbluelabs.excelrtd", , "21422436","@bh,USDCAD,h1,close,19")</f>
        <v>1.3633999999999999</v>
      </c>
      <c r="AC21" s="31">
        <f>RTD("fxbluelabs.excelrtd", , "21422436","@bh,USDCHF,h1,close,19")</f>
        <v>0.86267000000000005</v>
      </c>
      <c r="AD21" s="33">
        <f>RTD("fxbluelabs.excelrtd", , "21422436","@bh,USDJPY,h1,close,19")</f>
        <v>146.65600000000001</v>
      </c>
      <c r="AH21" s="23">
        <v>20</v>
      </c>
      <c r="AI21" s="42">
        <f t="shared" si="40"/>
        <v>3.8646768535573896E-2</v>
      </c>
      <c r="AJ21" s="42">
        <f t="shared" si="40"/>
        <v>-1.63380895327369E-2</v>
      </c>
      <c r="AK21" s="42">
        <f t="shared" si="40"/>
        <v>0.11766376564623746</v>
      </c>
      <c r="AL21" s="42">
        <f t="shared" si="40"/>
        <v>4.3078195540559583E-2</v>
      </c>
      <c r="AM21" s="42">
        <f t="shared" si="40"/>
        <v>-1.7434511615736604E-2</v>
      </c>
      <c r="AN21" s="42">
        <f>IF(H21=0,0,(H21-H22)*100/H22)</f>
        <v>4.2430260900983348E-2</v>
      </c>
      <c r="AO21" s="42">
        <f t="shared" si="40"/>
        <v>-1.3236354972566197E-2</v>
      </c>
      <c r="AP21" s="42">
        <f t="shared" si="40"/>
        <v>3.0492453117844764E-2</v>
      </c>
      <c r="AQ21" s="42">
        <f t="shared" si="40"/>
        <v>4.918736198758495E-2</v>
      </c>
      <c r="AR21" s="42">
        <f t="shared" si="40"/>
        <v>0.11951847607781539</v>
      </c>
      <c r="AS21" s="42">
        <f t="shared" si="40"/>
        <v>3.0367999416863636E-3</v>
      </c>
      <c r="AT21" s="42">
        <f t="shared" si="40"/>
        <v>-1.3782001808203239E-2</v>
      </c>
      <c r="AU21" s="42">
        <f t="shared" si="40"/>
        <v>1.3856492921646845E-2</v>
      </c>
      <c r="AV21" s="42">
        <f t="shared" si="40"/>
        <v>-2.485926033342669E-2</v>
      </c>
      <c r="AW21" s="42">
        <f t="shared" si="40"/>
        <v>-4.1837267133303754E-2</v>
      </c>
      <c r="AX21" s="42">
        <f t="shared" si="40"/>
        <v>-4.1760722347627705E-2</v>
      </c>
      <c r="AY21" s="42">
        <f t="shared" si="39"/>
        <v>1.7848059469732187E-2</v>
      </c>
      <c r="AZ21" s="42">
        <f t="shared" si="39"/>
        <v>9.1931560892830361E-2</v>
      </c>
      <c r="BA21" s="42">
        <f t="shared" si="39"/>
        <v>0.12628238081401796</v>
      </c>
      <c r="BB21" s="42">
        <f t="shared" si="39"/>
        <v>5.1258685499485986E-2</v>
      </c>
      <c r="BC21" s="42">
        <f t="shared" si="39"/>
        <v>4.7491934559391526E-2</v>
      </c>
      <c r="BD21" s="42">
        <f t="shared" si="39"/>
        <v>-7.2033135242150171E-3</v>
      </c>
      <c r="BE21" s="42">
        <f t="shared" si="39"/>
        <v>0.13404700954154569</v>
      </c>
      <c r="BF21" s="42">
        <f t="shared" si="39"/>
        <v>6.0091402185436842E-2</v>
      </c>
      <c r="BG21" s="42">
        <f t="shared" si="39"/>
        <v>7.3586549556125938E-2</v>
      </c>
      <c r="BH21" s="42">
        <f t="shared" si="39"/>
        <v>-5.4246631577401366E-2</v>
      </c>
      <c r="BI21" s="42">
        <f t="shared" si="39"/>
        <v>0</v>
      </c>
      <c r="BJ21" s="42">
        <f t="shared" si="39"/>
        <v>7.915927391839353E-2</v>
      </c>
      <c r="BN21" s="26">
        <v>20</v>
      </c>
      <c r="BO21" s="46">
        <f t="shared" si="6"/>
        <v>0.60256490385708528</v>
      </c>
      <c r="BP21" s="46">
        <f t="shared" si="2"/>
        <v>-6.4350566527989053E-2</v>
      </c>
      <c r="BQ21" s="46">
        <f t="shared" si="38"/>
        <v>0.81045615234431001</v>
      </c>
      <c r="BR21" s="46">
        <f t="shared" si="38"/>
        <v>0.30036827979182462</v>
      </c>
      <c r="BS21" s="46">
        <f t="shared" si="38"/>
        <v>0.23909984979096593</v>
      </c>
      <c r="BT21" s="46">
        <f t="shared" si="38"/>
        <v>0.40442188894371145</v>
      </c>
      <c r="BU21" s="46">
        <f t="shared" si="38"/>
        <v>4.1850402220930352E-2</v>
      </c>
      <c r="BV21" s="46">
        <f t="shared" si="38"/>
        <v>7.8642214163566149E-2</v>
      </c>
      <c r="BW21" s="46">
        <f t="shared" si="38"/>
        <v>0.10795359532982116</v>
      </c>
      <c r="BX21" s="46">
        <f t="shared" si="38"/>
        <v>0.61166758278202815</v>
      </c>
      <c r="BY21" s="46">
        <f t="shared" si="38"/>
        <v>-0.19769487648097633</v>
      </c>
      <c r="BZ21" s="46">
        <f t="shared" si="38"/>
        <v>-0.2624511896078342</v>
      </c>
      <c r="CA21" s="46">
        <f t="shared" si="38"/>
        <v>0.32793801059928906</v>
      </c>
      <c r="CB21" s="46">
        <f t="shared" si="38"/>
        <v>-0.27358090660929135</v>
      </c>
      <c r="CC21" s="46">
        <f t="shared" si="38"/>
        <v>-0.33835201527426839</v>
      </c>
      <c r="CD21" s="46">
        <f t="shared" si="38"/>
        <v>-3.3783856892545601E-2</v>
      </c>
      <c r="CE21" s="46">
        <f t="shared" si="38"/>
        <v>2.6049108011998199E-2</v>
      </c>
      <c r="CF21" s="46">
        <f t="shared" si="38"/>
        <v>0.53580541000719795</v>
      </c>
      <c r="CG21" s="46">
        <f t="shared" si="38"/>
        <v>0.86738466472726872</v>
      </c>
      <c r="CH21" s="46">
        <f t="shared" si="38"/>
        <v>0.35569164101579276</v>
      </c>
      <c r="CI21" s="46">
        <f t="shared" si="38"/>
        <v>0.6591545222970987</v>
      </c>
      <c r="CJ21" s="46">
        <f t="shared" si="38"/>
        <v>0.29727430953414258</v>
      </c>
      <c r="CK21" s="46">
        <f t="shared" si="38"/>
        <v>0.57031720170050337</v>
      </c>
      <c r="CL21" s="46">
        <f t="shared" si="38"/>
        <v>6.2051376731202583E-2</v>
      </c>
      <c r="CM21" s="46">
        <f t="shared" si="37"/>
        <v>0.50463841816123522</v>
      </c>
      <c r="CN21" s="46">
        <f t="shared" si="37"/>
        <v>-0.3606986408827938</v>
      </c>
      <c r="CO21" s="46">
        <f t="shared" si="37"/>
        <v>-0.30053269026809248</v>
      </c>
      <c r="CP21" s="46">
        <f t="shared" si="37"/>
        <v>0.20861815961616856</v>
      </c>
      <c r="CU21" s="23">
        <v>20</v>
      </c>
      <c r="CV21" s="25">
        <f t="shared" si="7"/>
        <v>0.7843896173512469</v>
      </c>
      <c r="CW21" s="25">
        <f t="shared" si="8"/>
        <v>-2.4466924972319024</v>
      </c>
      <c r="CX21" s="25">
        <f t="shared" si="9"/>
        <v>0.44862651466100639</v>
      </c>
      <c r="CY21" s="25">
        <f t="shared" si="10"/>
        <v>1.5108484279890921E-2</v>
      </c>
      <c r="CZ21" s="25">
        <f t="shared" si="11"/>
        <v>0.16543353567881375</v>
      </c>
      <c r="DA21" s="25">
        <f t="shared" si="12"/>
        <v>2.3594144023464647</v>
      </c>
      <c r="DB21" s="25">
        <f t="shared" si="13"/>
        <v>2.8446589089843948</v>
      </c>
      <c r="DC21" s="25">
        <f t="shared" si="14"/>
        <v>-4.1088875893387122</v>
      </c>
      <c r="DF21" s="20">
        <v>20</v>
      </c>
      <c r="DG21" s="21">
        <f t="shared" si="36"/>
        <v>-0.3606986408827938</v>
      </c>
      <c r="DH21" s="21">
        <f t="shared" si="15"/>
        <v>4.1850402220930352E-2</v>
      </c>
      <c r="DI21" s="21">
        <f t="shared" si="16"/>
        <v>-0.30053269026809248</v>
      </c>
      <c r="DJ21" s="21">
        <f t="shared" si="17"/>
        <v>0.10795359532982116</v>
      </c>
      <c r="DK21" s="21">
        <f t="shared" si="18"/>
        <v>-0.32793801059928906</v>
      </c>
      <c r="DL21" s="21">
        <f t="shared" si="19"/>
        <v>7.8642214163566149E-2</v>
      </c>
      <c r="DM21" s="21">
        <f t="shared" si="20"/>
        <v>-0.60256490385708528</v>
      </c>
      <c r="DN21" s="21">
        <f t="shared" si="21"/>
        <v>-0.19769487648097633</v>
      </c>
      <c r="DO21" s="21">
        <f t="shared" si="22"/>
        <v>-0.6591545222970987</v>
      </c>
      <c r="DP21" s="21">
        <f t="shared" si="23"/>
        <v>-0.2624511896078342</v>
      </c>
      <c r="DQ21" s="21">
        <f t="shared" si="24"/>
        <v>0.20861815961616856</v>
      </c>
      <c r="DR21" s="21">
        <f t="shared" si="25"/>
        <v>0.61166758278202815</v>
      </c>
      <c r="DS21" s="21">
        <f>-(BT21)</f>
        <v>-0.40442188894371145</v>
      </c>
      <c r="DT21" s="21">
        <f t="shared" si="27"/>
        <v>0.40442188894371145</v>
      </c>
      <c r="DX21">
        <v>20</v>
      </c>
      <c r="DY21" s="9">
        <f t="shared" si="4"/>
        <v>6.9535464983231066</v>
      </c>
      <c r="EM21" s="11">
        <v>20</v>
      </c>
      <c r="EN21" s="8">
        <f t="shared" si="28"/>
        <v>0.7843896173512469</v>
      </c>
      <c r="EO21" s="8">
        <f t="shared" si="5"/>
        <v>-2.4466924972319024</v>
      </c>
      <c r="EP21" s="8">
        <f t="shared" si="29"/>
        <v>0.44862651466100639</v>
      </c>
      <c r="EQ21" s="8">
        <f t="shared" si="30"/>
        <v>1.5108484279890921E-2</v>
      </c>
      <c r="ER21" s="8">
        <f t="shared" si="31"/>
        <v>0.16543353567881375</v>
      </c>
      <c r="ES21" s="8">
        <f t="shared" si="32"/>
        <v>2.3594144023464647</v>
      </c>
      <c r="ET21" s="8">
        <f t="shared" si="33"/>
        <v>2.8446589089843948</v>
      </c>
      <c r="EU21" s="8">
        <f t="shared" si="34"/>
        <v>-4.1088875893387122</v>
      </c>
      <c r="EW21" s="47"/>
      <c r="EX21" s="48"/>
      <c r="EY21" s="48"/>
      <c r="EZ21" s="48"/>
      <c r="FA21" s="48"/>
      <c r="FB21" s="48"/>
      <c r="FK21" s="10"/>
      <c r="FL21" s="10"/>
    </row>
    <row r="22" spans="1:168" ht="18.600000000000001" thickBot="1" x14ac:dyDescent="0.35">
      <c r="A22" s="12" t="s">
        <v>50</v>
      </c>
      <c r="B22" s="13">
        <v>20</v>
      </c>
      <c r="C22" s="30">
        <f>RTD("fxbluelabs.excelrtd", , "21422436","@bh,AUDUSD,h1,close,20")</f>
        <v>0.67276000000000002</v>
      </c>
      <c r="D22" s="31">
        <f>RTD("fxbluelabs.excelrtd", , "21422436","@bh,AUDNZD,h1,close,20")</f>
        <v>1.10172</v>
      </c>
      <c r="E22" s="32">
        <f>RTD("fxbluelabs.excelrtd", , "21422436","@bh,AUDJPY,h1,close,20")</f>
        <v>98.585999999999999</v>
      </c>
      <c r="F22" s="31">
        <f>RTD("fxbluelabs.excelrtd", , "21422436","@bh,AUDCHF,h1,close,20")</f>
        <v>0.58033999999999997</v>
      </c>
      <c r="G22" s="31">
        <f>RTD("fxbluelabs.excelrtd", , "21422436","@bh,AUDCAD,h1,close,20")</f>
        <v>0.91771999999999998</v>
      </c>
      <c r="H22" s="31">
        <f>RTD("fxbluelabs.excelrtd", , "21422436","@bh,EURUSD,h1,close,20")</f>
        <v>1.1076999999999999</v>
      </c>
      <c r="I22" s="31">
        <f>RTD("fxbluelabs.excelrtd", , "21422436","@bh,EURCAD,h1,close,20")</f>
        <v>1.5109900000000001</v>
      </c>
      <c r="J22" s="31">
        <f>RTD("fxbluelabs.excelrtd", , "21422436","@bh,EURGBP,h1,close,20")</f>
        <v>0.85267000000000004</v>
      </c>
      <c r="K22" s="31">
        <f>RTD("fxbluelabs.excelrtd", , "21422436","@bh,EURCHF,h1,close,20")</f>
        <v>0.95552999999999999</v>
      </c>
      <c r="L22" s="32">
        <f>RTD("fxbluelabs.excelrtd", , "21422436","@bh,EURJPY,h1,close,20")</f>
        <v>162.31800000000001</v>
      </c>
      <c r="M22" s="31">
        <f>RTD("fxbluelabs.excelrtd", , "21422436","@bh,EURAUD,h1,close,20")</f>
        <v>1.6464700000000001</v>
      </c>
      <c r="N22" s="31">
        <f>RTD("fxbluelabs.excelrtd", , "21422436","@bh,EURNZD,h1,close,20")</f>
        <v>1.81396</v>
      </c>
      <c r="O22" s="31">
        <f>RTD("fxbluelabs.excelrtd", , "21422436","@bh,GBPUSD,h1,close,20")</f>
        <v>1.2990299999999999</v>
      </c>
      <c r="P22" s="31">
        <f>RTD("fxbluelabs.excelrtd", , "21422436","@bh,GBPAUD,h1,close,20")</f>
        <v>1.9308700000000001</v>
      </c>
      <c r="Q22" s="31">
        <f>RTD("fxbluelabs.excelrtd", , "21422436","@bh,GBPNZD,h1,close,20")</f>
        <v>2.1272899999999999</v>
      </c>
      <c r="R22" s="31">
        <f>RTD("fxbluelabs.excelrtd", , "21422436","@bh,GBPCAD,h1,close,20")</f>
        <v>1.772</v>
      </c>
      <c r="S22" s="31">
        <f>RTD("fxbluelabs.excelrtd", , "21422436","@bh,GBPCHF,h1,close,20")</f>
        <v>1.1205700000000001</v>
      </c>
      <c r="T22" s="32">
        <f>RTD("fxbluelabs.excelrtd", , "21422436","@bh,GBPJPY,h1,close,20")</f>
        <v>190.35900000000001</v>
      </c>
      <c r="U22" s="32">
        <f>RTD("fxbluelabs.excelrtd", , "21422436","@bh,NZDJPY,h1,close,20")</f>
        <v>89.481999999999999</v>
      </c>
      <c r="V22" s="31">
        <f>RTD("fxbluelabs.excelrtd", , "21422436","@bh,NZDCHF,h1,close,20")</f>
        <v>0.52673999999999999</v>
      </c>
      <c r="W22" s="31">
        <f>RTD("fxbluelabs.excelrtd", , "21422436","@bh,NZDUSD,h1,close,20")</f>
        <v>0.61063000000000001</v>
      </c>
      <c r="X22" s="31">
        <f>RTD("fxbluelabs.excelrtd", , "21422436","@bh,NZDCAD,h1,close,20")</f>
        <v>0.83294999999999997</v>
      </c>
      <c r="Y22" s="32">
        <f>RTD("fxbluelabs.excelrtd", , "21422436","@bh,CADJPY,h1,close,20")</f>
        <v>107.425</v>
      </c>
      <c r="Z22" s="31">
        <f>RTD("fxbluelabs.excelrtd", , "21422436","@bh,CADCHF,h1,close,20")</f>
        <v>0.63236999999999999</v>
      </c>
      <c r="AA22" s="32">
        <f>RTD("fxbluelabs.excelrtd", , "21422436","@bh,CHFJPY,h1,close,20")</f>
        <v>169.86799999999999</v>
      </c>
      <c r="AB22" s="31">
        <f>RTD("fxbluelabs.excelrtd", , "21422436","@bh,USDCAD,h1,close,20")</f>
        <v>1.3641399999999999</v>
      </c>
      <c r="AC22" s="31">
        <f>RTD("fxbluelabs.excelrtd", , "21422436","@bh,USDCHF,h1,close,20")</f>
        <v>0.86267000000000005</v>
      </c>
      <c r="AD22" s="33">
        <f>RTD("fxbluelabs.excelrtd", , "21422436","@bh,USDJPY,h1,close,20")</f>
        <v>146.54</v>
      </c>
      <c r="AH22" s="23">
        <v>21</v>
      </c>
      <c r="AI22" s="41">
        <f t="shared" si="40"/>
        <v>0.11309523809523554</v>
      </c>
      <c r="AJ22" s="41">
        <f t="shared" si="40"/>
        <v>-8.6154515856965944E-2</v>
      </c>
      <c r="AK22" s="41">
        <f t="shared" si="40"/>
        <v>0.13915834594561699</v>
      </c>
      <c r="AL22" s="41">
        <f t="shared" si="40"/>
        <v>6.5521760121376629E-2</v>
      </c>
      <c r="AM22" s="41">
        <f t="shared" si="40"/>
        <v>5.4512548788725163E-2</v>
      </c>
      <c r="AN22" s="41">
        <f t="shared" si="40"/>
        <v>2.9800337737155735E-2</v>
      </c>
      <c r="AO22" s="41">
        <f t="shared" si="40"/>
        <v>-2.9111503675327069E-2</v>
      </c>
      <c r="AP22" s="41">
        <f t="shared" si="40"/>
        <v>-3.7515093963585384E-2</v>
      </c>
      <c r="AQ22" s="41">
        <f t="shared" si="40"/>
        <v>-1.2556898446084758E-2</v>
      </c>
      <c r="AR22" s="41">
        <f t="shared" si="40"/>
        <v>5.7327785483136225E-2</v>
      </c>
      <c r="AS22" s="41">
        <f t="shared" si="40"/>
        <v>-8.2532785542186141E-2</v>
      </c>
      <c r="AT22" s="41">
        <f t="shared" si="40"/>
        <v>-0.16840761246436817</v>
      </c>
      <c r="AU22" s="41">
        <f t="shared" si="40"/>
        <v>6.5476282179668263E-2</v>
      </c>
      <c r="AV22" s="41">
        <f t="shared" si="40"/>
        <v>-4.7106813405251448E-2</v>
      </c>
      <c r="AW22" s="41">
        <f t="shared" si="40"/>
        <v>-0.13332519611478896</v>
      </c>
      <c r="AX22" s="41">
        <f t="shared" si="40"/>
        <v>6.77246766147369E-3</v>
      </c>
      <c r="AY22" s="41">
        <f t="shared" si="39"/>
        <v>1.8743975150848254E-2</v>
      </c>
      <c r="AZ22" s="41">
        <f t="shared" si="39"/>
        <v>9.2542445959952341E-2</v>
      </c>
      <c r="BA22" s="41">
        <f t="shared" si="39"/>
        <v>0.23299056836256737</v>
      </c>
      <c r="BB22" s="41">
        <f t="shared" si="39"/>
        <v>0.1578216805156771</v>
      </c>
      <c r="BC22" s="41">
        <f t="shared" si="39"/>
        <v>0.20512652203878914</v>
      </c>
      <c r="BD22" s="41">
        <f t="shared" si="39"/>
        <v>0.14668221658470884</v>
      </c>
      <c r="BE22" s="41">
        <f t="shared" si="39"/>
        <v>8.5714551908545142E-2</v>
      </c>
      <c r="BF22" s="41">
        <f t="shared" si="39"/>
        <v>1.2652422148060064E-2</v>
      </c>
      <c r="BG22" s="41">
        <f t="shared" si="39"/>
        <v>6.8924483508191539E-2</v>
      </c>
      <c r="BH22" s="41">
        <f t="shared" si="39"/>
        <v>-5.8610634899712362E-2</v>
      </c>
      <c r="BI22" s="41">
        <f t="shared" si="39"/>
        <v>-4.287170930663485E-2</v>
      </c>
      <c r="BJ22" s="41">
        <f t="shared" si="39"/>
        <v>2.7303754266206171E-2</v>
      </c>
      <c r="BN22" s="26">
        <v>21</v>
      </c>
      <c r="BO22" s="45">
        <f t="shared" si="6"/>
        <v>0.56391813532151136</v>
      </c>
      <c r="BP22" s="45">
        <f t="shared" si="2"/>
        <v>-4.8012476995252157E-2</v>
      </c>
      <c r="BQ22" s="45">
        <f t="shared" si="38"/>
        <v>0.69279238669807253</v>
      </c>
      <c r="BR22" s="45">
        <f t="shared" si="38"/>
        <v>0.25729008425126504</v>
      </c>
      <c r="BS22" s="45">
        <f t="shared" si="38"/>
        <v>0.2565343614067026</v>
      </c>
      <c r="BT22" s="45">
        <f t="shared" si="38"/>
        <v>0.36199162804272811</v>
      </c>
      <c r="BU22" s="45">
        <f t="shared" si="38"/>
        <v>5.5086757193496524E-2</v>
      </c>
      <c r="BV22" s="45">
        <f t="shared" si="38"/>
        <v>4.8149761045721377E-2</v>
      </c>
      <c r="BW22" s="45">
        <f t="shared" si="38"/>
        <v>5.876623334223622E-2</v>
      </c>
      <c r="BX22" s="45">
        <f t="shared" si="38"/>
        <v>0.49214910670421275</v>
      </c>
      <c r="BY22" s="45">
        <f t="shared" si="38"/>
        <v>-0.20073167642266271</v>
      </c>
      <c r="BZ22" s="45">
        <f t="shared" si="38"/>
        <v>-0.24866918779963096</v>
      </c>
      <c r="CA22" s="45">
        <f t="shared" si="38"/>
        <v>0.31408151767764225</v>
      </c>
      <c r="CB22" s="45">
        <f t="shared" si="38"/>
        <v>-0.24872164627586471</v>
      </c>
      <c r="CC22" s="45">
        <f t="shared" si="38"/>
        <v>-0.29651474814096457</v>
      </c>
      <c r="CD22" s="45">
        <f t="shared" si="38"/>
        <v>7.9768654550820932E-3</v>
      </c>
      <c r="CE22" s="45">
        <f t="shared" si="38"/>
        <v>8.2010485422660054E-3</v>
      </c>
      <c r="CF22" s="45">
        <f t="shared" si="38"/>
        <v>0.44387384911436745</v>
      </c>
      <c r="CG22" s="45">
        <f t="shared" si="38"/>
        <v>0.74110228391325073</v>
      </c>
      <c r="CH22" s="45">
        <f t="shared" si="38"/>
        <v>0.30443295551630672</v>
      </c>
      <c r="CI22" s="45">
        <f t="shared" si="38"/>
        <v>0.61166258773770721</v>
      </c>
      <c r="CJ22" s="45">
        <f t="shared" si="38"/>
        <v>0.30447762305835746</v>
      </c>
      <c r="CK22" s="45">
        <f t="shared" si="38"/>
        <v>0.43627019215895768</v>
      </c>
      <c r="CL22" s="45">
        <f t="shared" si="38"/>
        <v>1.9599745457657448E-3</v>
      </c>
      <c r="CM22" s="45">
        <f t="shared" si="37"/>
        <v>0.43105186860510919</v>
      </c>
      <c r="CN22" s="45">
        <f t="shared" si="37"/>
        <v>-0.3064520093053924</v>
      </c>
      <c r="CO22" s="45">
        <f t="shared" si="37"/>
        <v>-0.30053269026809248</v>
      </c>
      <c r="CP22" s="45">
        <f t="shared" si="37"/>
        <v>0.12945888569777503</v>
      </c>
      <c r="CU22" s="23">
        <v>21</v>
      </c>
      <c r="CV22" s="24">
        <f t="shared" si="7"/>
        <v>0.56674262210610116</v>
      </c>
      <c r="CW22" s="24">
        <f t="shared" si="8"/>
        <v>-2.3291796826552988</v>
      </c>
      <c r="CX22" s="24">
        <f t="shared" si="9"/>
        <v>0.1206065688964772</v>
      </c>
      <c r="CY22" s="24">
        <f t="shared" si="10"/>
        <v>0.10289423722112773</v>
      </c>
      <c r="CZ22" s="24">
        <f t="shared" si="11"/>
        <v>0.18074712532680712</v>
      </c>
      <c r="DA22" s="24">
        <f t="shared" si="12"/>
        <v>2.1719758133808269</v>
      </c>
      <c r="DB22" s="24">
        <f t="shared" si="13"/>
        <v>2.5548718631614697</v>
      </c>
      <c r="DC22" s="24">
        <f t="shared" si="14"/>
        <v>-3.3666985728917456</v>
      </c>
      <c r="DF22" s="18">
        <v>21</v>
      </c>
      <c r="DG22" s="19">
        <f t="shared" si="36"/>
        <v>-0.3064520093053924</v>
      </c>
      <c r="DH22" s="19">
        <f t="shared" si="15"/>
        <v>5.5086757193496524E-2</v>
      </c>
      <c r="DI22" s="19">
        <f t="shared" si="16"/>
        <v>-0.30053269026809248</v>
      </c>
      <c r="DJ22" s="19">
        <f t="shared" si="17"/>
        <v>5.876623334223622E-2</v>
      </c>
      <c r="DK22" s="19">
        <f t="shared" si="18"/>
        <v>-0.31408151767764225</v>
      </c>
      <c r="DL22" s="19">
        <f t="shared" si="19"/>
        <v>4.8149761045721377E-2</v>
      </c>
      <c r="DM22" s="19">
        <f t="shared" si="20"/>
        <v>-0.56391813532151136</v>
      </c>
      <c r="DN22" s="19">
        <f t="shared" si="21"/>
        <v>-0.20073167642266271</v>
      </c>
      <c r="DO22" s="19">
        <f t="shared" si="22"/>
        <v>-0.61166258773770721</v>
      </c>
      <c r="DP22" s="19">
        <f t="shared" si="23"/>
        <v>-0.24866918779963096</v>
      </c>
      <c r="DQ22" s="19">
        <f t="shared" si="24"/>
        <v>0.12945888569777503</v>
      </c>
      <c r="DR22" s="19">
        <f t="shared" si="25"/>
        <v>0.49214910670421275</v>
      </c>
      <c r="DS22" s="19">
        <f t="shared" si="26"/>
        <v>-0.36199162804272811</v>
      </c>
      <c r="DT22" s="19">
        <f t="shared" si="27"/>
        <v>0.36199162804272811</v>
      </c>
      <c r="DX22">
        <v>21</v>
      </c>
      <c r="DY22" s="9">
        <f t="shared" si="4"/>
        <v>5.9215704360532158</v>
      </c>
      <c r="EM22" s="7">
        <v>21</v>
      </c>
      <c r="EN22" s="8">
        <f t="shared" si="28"/>
        <v>0.56674262210610116</v>
      </c>
      <c r="EO22" s="8">
        <f t="shared" si="5"/>
        <v>-2.3291796826552988</v>
      </c>
      <c r="EP22" s="8">
        <f t="shared" si="29"/>
        <v>0.1206065688964772</v>
      </c>
      <c r="EQ22" s="8">
        <f t="shared" si="30"/>
        <v>0.10289423722112773</v>
      </c>
      <c r="ER22" s="8">
        <f t="shared" si="31"/>
        <v>0.18074712532680712</v>
      </c>
      <c r="ES22" s="8">
        <f t="shared" si="32"/>
        <v>2.1719758133808269</v>
      </c>
      <c r="ET22" s="8">
        <f t="shared" si="33"/>
        <v>2.5548718631614697</v>
      </c>
      <c r="EU22" s="8">
        <f t="shared" si="34"/>
        <v>-3.3666985728917456</v>
      </c>
      <c r="EW22" s="49"/>
      <c r="EX22" s="48"/>
      <c r="EY22" s="48"/>
      <c r="EZ22" s="48"/>
      <c r="FA22" s="48"/>
      <c r="FB22" s="48"/>
      <c r="FK22" s="10"/>
      <c r="FL22" s="10"/>
    </row>
    <row r="23" spans="1:168" ht="18.600000000000001" thickBot="1" x14ac:dyDescent="0.4">
      <c r="A23" s="12" t="s">
        <v>50</v>
      </c>
      <c r="B23" s="13">
        <v>21</v>
      </c>
      <c r="C23" s="30">
        <f>RTD("fxbluelabs.excelrtd", , "21422436","@bh,AUDUSD,h1,close,21")</f>
        <v>0.67200000000000004</v>
      </c>
      <c r="D23" s="31">
        <f>RTD("fxbluelabs.excelrtd", , "21422436","@bh,AUDNZD,h1,close,21")</f>
        <v>1.10267</v>
      </c>
      <c r="E23" s="32">
        <f>RTD("fxbluelabs.excelrtd", , "21422436","@bh,AUDJPY,h1,close,21")</f>
        <v>98.448999999999998</v>
      </c>
      <c r="F23" s="31">
        <f>RTD("fxbluelabs.excelrtd", , "21422436","@bh,AUDCHF,h1,close,21")</f>
        <v>0.57996000000000003</v>
      </c>
      <c r="G23" s="31">
        <f>RTD("fxbluelabs.excelrtd", , "21422436","@bh,AUDCAD,h1,close,21")</f>
        <v>0.91722000000000004</v>
      </c>
      <c r="H23" s="31">
        <f>RTD("fxbluelabs.excelrtd", , "21422436","@bh,EURUSD,h1,close,21")</f>
        <v>1.10737</v>
      </c>
      <c r="I23" s="31">
        <f>RTD("fxbluelabs.excelrtd", , "21422436","@bh,EURCAD,h1,close,21")</f>
        <v>1.5114300000000001</v>
      </c>
      <c r="J23" s="31">
        <f>RTD("fxbluelabs.excelrtd", , "21422436","@bh,EURGBP,h1,close,21")</f>
        <v>0.85299000000000003</v>
      </c>
      <c r="K23" s="31">
        <f>RTD("fxbluelabs.excelrtd", , "21422436","@bh,EURCHF,h1,close,21")</f>
        <v>0.95565</v>
      </c>
      <c r="L23" s="32">
        <f>RTD("fxbluelabs.excelrtd", , "21422436","@bh,EURJPY,h1,close,21")</f>
        <v>162.22499999999999</v>
      </c>
      <c r="M23" s="31">
        <f>RTD("fxbluelabs.excelrtd", , "21422436","@bh,EURAUD,h1,close,21")</f>
        <v>1.6478299999999999</v>
      </c>
      <c r="N23" s="31">
        <f>RTD("fxbluelabs.excelrtd", , "21422436","@bh,EURNZD,h1,close,21")</f>
        <v>1.8170200000000001</v>
      </c>
      <c r="O23" s="31">
        <f>RTD("fxbluelabs.excelrtd", , "21422436","@bh,GBPUSD,h1,close,21")</f>
        <v>1.2981799999999999</v>
      </c>
      <c r="P23" s="31">
        <f>RTD("fxbluelabs.excelrtd", , "21422436","@bh,GBPAUD,h1,close,21")</f>
        <v>1.9317800000000001</v>
      </c>
      <c r="Q23" s="31">
        <f>RTD("fxbluelabs.excelrtd", , "21422436","@bh,GBPNZD,h1,close,21")</f>
        <v>2.1301299999999999</v>
      </c>
      <c r="R23" s="31">
        <f>RTD("fxbluelabs.excelrtd", , "21422436","@bh,GBPCAD,h1,close,21")</f>
        <v>1.7718799999999999</v>
      </c>
      <c r="S23" s="31">
        <f>RTD("fxbluelabs.excelrtd", , "21422436","@bh,GBPCHF,h1,close,21")</f>
        <v>1.12036</v>
      </c>
      <c r="T23" s="32">
        <f>RTD("fxbluelabs.excelrtd", , "21422436","@bh,GBPJPY,h1,close,21")</f>
        <v>190.18299999999999</v>
      </c>
      <c r="U23" s="32">
        <f>RTD("fxbluelabs.excelrtd", , "21422436","@bh,NZDJPY,h1,close,21")</f>
        <v>89.274000000000001</v>
      </c>
      <c r="V23" s="31">
        <f>RTD("fxbluelabs.excelrtd", , "21422436","@bh,NZDCHF,h1,close,21")</f>
        <v>0.52590999999999999</v>
      </c>
      <c r="W23" s="31">
        <f>RTD("fxbluelabs.excelrtd", , "21422436","@bh,NZDUSD,h1,close,21")</f>
        <v>0.60938000000000003</v>
      </c>
      <c r="X23" s="31">
        <f>RTD("fxbluelabs.excelrtd", , "21422436","@bh,NZDCAD,h1,close,21")</f>
        <v>0.83172999999999997</v>
      </c>
      <c r="Y23" s="32">
        <f>RTD("fxbluelabs.excelrtd", , "21422436","@bh,CADJPY,h1,close,21")</f>
        <v>107.333</v>
      </c>
      <c r="Z23" s="31">
        <f>RTD("fxbluelabs.excelrtd", , "21422436","@bh,CADCHF,h1,close,21")</f>
        <v>0.63229000000000002</v>
      </c>
      <c r="AA23" s="32">
        <f>RTD("fxbluelabs.excelrtd", , "21422436","@bh,CHFJPY,h1,close,21")</f>
        <v>169.751</v>
      </c>
      <c r="AB23" s="31">
        <f>RTD("fxbluelabs.excelrtd", , "21422436","@bh,USDCAD,h1,close,21")</f>
        <v>1.36494</v>
      </c>
      <c r="AC23" s="31">
        <f>RTD("fxbluelabs.excelrtd", , "21422436","@bh,USDCHF,h1,close,21")</f>
        <v>0.86304000000000003</v>
      </c>
      <c r="AD23" s="33">
        <f>RTD("fxbluelabs.excelrtd", , "21422436","@bh,USDJPY,h1,close,21")</f>
        <v>146.5</v>
      </c>
      <c r="AH23" s="23">
        <v>22</v>
      </c>
      <c r="AI23" s="42">
        <f t="shared" si="40"/>
        <v>8.4893436396954333E-2</v>
      </c>
      <c r="AJ23" s="42">
        <f t="shared" si="40"/>
        <v>6.897115009393634E-2</v>
      </c>
      <c r="AK23" s="42">
        <f t="shared" si="40"/>
        <v>0.13833368933914708</v>
      </c>
      <c r="AL23" s="42">
        <f t="shared" si="40"/>
        <v>9.6651708664136166E-2</v>
      </c>
      <c r="AM23" s="42">
        <f t="shared" si="40"/>
        <v>1.3084723585215242E-2</v>
      </c>
      <c r="AN23" s="42">
        <f t="shared" si="40"/>
        <v>3.9749577660736987E-2</v>
      </c>
      <c r="AO23" s="42">
        <f t="shared" si="40"/>
        <v>-3.1747921503266462E-2</v>
      </c>
      <c r="AP23" s="42">
        <f t="shared" si="40"/>
        <v>2.5798280896372757E-2</v>
      </c>
      <c r="AQ23" s="42">
        <f t="shared" si="40"/>
        <v>4.606316935542927E-2</v>
      </c>
      <c r="AR23" s="42">
        <f t="shared" si="40"/>
        <v>9.1314622062350692E-2</v>
      </c>
      <c r="AS23" s="42">
        <f t="shared" si="40"/>
        <v>-4.6100000606584653E-2</v>
      </c>
      <c r="AT23" s="42">
        <f t="shared" si="40"/>
        <v>2.2018914247348264E-2</v>
      </c>
      <c r="AU23" s="42">
        <f t="shared" si="40"/>
        <v>1.2326466464302396E-2</v>
      </c>
      <c r="AV23" s="42">
        <f t="shared" si="40"/>
        <v>-7.3453341609764994E-2</v>
      </c>
      <c r="AW23" s="42">
        <f t="shared" si="40"/>
        <v>-4.6943287814090982E-3</v>
      </c>
      <c r="AX23" s="42">
        <f t="shared" si="40"/>
        <v>-5.9223996435279196E-2</v>
      </c>
      <c r="AY23" s="42">
        <f t="shared" si="39"/>
        <v>2.1426275756170586E-2</v>
      </c>
      <c r="AZ23" s="42">
        <f t="shared" si="39"/>
        <v>6.4189917973695637E-2</v>
      </c>
      <c r="BA23" s="42">
        <f t="shared" si="39"/>
        <v>6.949737703447699E-2</v>
      </c>
      <c r="BB23" s="42">
        <f t="shared" si="39"/>
        <v>2.6627612834514904E-2</v>
      </c>
      <c r="BC23" s="42">
        <f t="shared" si="39"/>
        <v>1.641281512604861E-2</v>
      </c>
      <c r="BD23" s="42">
        <f t="shared" si="39"/>
        <v>-5.40748395779833E-2</v>
      </c>
      <c r="BE23" s="42">
        <f t="shared" si="39"/>
        <v>0.12406716417910034</v>
      </c>
      <c r="BF23" s="42">
        <f t="shared" si="39"/>
        <v>8.2308435031730673E-2</v>
      </c>
      <c r="BG23" s="42">
        <f t="shared" si="39"/>
        <v>4.4791513186971207E-2</v>
      </c>
      <c r="BH23" s="42">
        <f t="shared" si="39"/>
        <v>-7.3209657818051305E-2</v>
      </c>
      <c r="BI23" s="42">
        <f t="shared" si="39"/>
        <v>9.2704180958653945E-3</v>
      </c>
      <c r="BJ23" s="42">
        <f t="shared" si="39"/>
        <v>5.1904059443802518E-2</v>
      </c>
      <c r="BN23" s="26">
        <v>22</v>
      </c>
      <c r="BO23" s="46">
        <f t="shared" si="6"/>
        <v>0.45082289722627589</v>
      </c>
      <c r="BP23" s="46">
        <f t="shared" si="2"/>
        <v>3.8142038861713787E-2</v>
      </c>
      <c r="BQ23" s="46">
        <f t="shared" si="38"/>
        <v>0.55363404075245559</v>
      </c>
      <c r="BR23" s="46">
        <f t="shared" si="38"/>
        <v>0.1917683241298884</v>
      </c>
      <c r="BS23" s="46">
        <f t="shared" si="38"/>
        <v>0.20202181261797741</v>
      </c>
      <c r="BT23" s="46">
        <f t="shared" si="38"/>
        <v>0.33219129030557243</v>
      </c>
      <c r="BU23" s="46">
        <f t="shared" si="38"/>
        <v>8.4198260868823621E-2</v>
      </c>
      <c r="BV23" s="46">
        <f t="shared" si="38"/>
        <v>8.5664855009306762E-2</v>
      </c>
      <c r="BW23" s="46">
        <f t="shared" si="38"/>
        <v>7.1323131788320976E-2</v>
      </c>
      <c r="BX23" s="46">
        <f t="shared" si="38"/>
        <v>0.43482132122107658</v>
      </c>
      <c r="BY23" s="46">
        <f t="shared" si="38"/>
        <v>-0.11819889088047658</v>
      </c>
      <c r="BZ23" s="46">
        <f t="shared" si="38"/>
        <v>-8.0261575335262778E-2</v>
      </c>
      <c r="CA23" s="46">
        <f t="shared" si="38"/>
        <v>0.24860523549797398</v>
      </c>
      <c r="CB23" s="46">
        <f t="shared" si="38"/>
        <v>-0.20161483287061327</v>
      </c>
      <c r="CC23" s="46">
        <f t="shared" si="38"/>
        <v>-0.16318955202617566</v>
      </c>
      <c r="CD23" s="46">
        <f t="shared" ref="CD23:CP28" si="41">AX23+SUM(AX24:AX58)</f>
        <v>1.2043977936083972E-3</v>
      </c>
      <c r="CE23" s="46">
        <f t="shared" si="41"/>
        <v>-1.0542926608582241E-2</v>
      </c>
      <c r="CF23" s="46">
        <f t="shared" si="41"/>
        <v>0.35133140315441513</v>
      </c>
      <c r="CG23" s="46">
        <f t="shared" si="41"/>
        <v>0.50811171555068335</v>
      </c>
      <c r="CH23" s="46">
        <f t="shared" si="41"/>
        <v>0.14661127500062962</v>
      </c>
      <c r="CI23" s="46">
        <f t="shared" si="41"/>
        <v>0.40653606569891798</v>
      </c>
      <c r="CJ23" s="46">
        <f t="shared" si="41"/>
        <v>0.15779540647364865</v>
      </c>
      <c r="CK23" s="46">
        <f t="shared" si="41"/>
        <v>0.35055564025041253</v>
      </c>
      <c r="CL23" s="46">
        <f t="shared" si="41"/>
        <v>-1.0692447602294305E-2</v>
      </c>
      <c r="CM23" s="46">
        <f t="shared" si="37"/>
        <v>0.36212738509691766</v>
      </c>
      <c r="CN23" s="46">
        <f t="shared" si="37"/>
        <v>-0.24784137440568002</v>
      </c>
      <c r="CO23" s="46">
        <f t="shared" si="37"/>
        <v>-0.25766098096145762</v>
      </c>
      <c r="CP23" s="46">
        <f t="shared" si="37"/>
        <v>0.10215513143156887</v>
      </c>
      <c r="CU23" s="23">
        <v>22</v>
      </c>
      <c r="CV23" s="25">
        <f t="shared" si="7"/>
        <v>0.80973839297736105</v>
      </c>
      <c r="CW23" s="25">
        <f t="shared" si="8"/>
        <v>-1.8415027126643091</v>
      </c>
      <c r="CX23" s="25">
        <f t="shared" si="9"/>
        <v>0.14248468929974017</v>
      </c>
      <c r="CY23" s="25">
        <f t="shared" si="10"/>
        <v>0.22062856174811854</v>
      </c>
      <c r="CZ23" s="25">
        <f t="shared" si="11"/>
        <v>0.14012886993131957</v>
      </c>
      <c r="DA23" s="25">
        <f t="shared" si="12"/>
        <v>1.756202837339401</v>
      </c>
      <c r="DB23" s="25">
        <f t="shared" si="13"/>
        <v>1.4243635512236041</v>
      </c>
      <c r="DC23" s="25">
        <f t="shared" si="14"/>
        <v>-2.6627366374575296</v>
      </c>
      <c r="DF23" s="20">
        <v>22</v>
      </c>
      <c r="DG23" s="21">
        <f t="shared" si="36"/>
        <v>-0.24784137440568002</v>
      </c>
      <c r="DH23" s="21">
        <f t="shared" si="15"/>
        <v>8.4198260868823621E-2</v>
      </c>
      <c r="DI23" s="21">
        <f t="shared" si="16"/>
        <v>-0.25766098096145762</v>
      </c>
      <c r="DJ23" s="21">
        <f t="shared" si="17"/>
        <v>7.1323131788320976E-2</v>
      </c>
      <c r="DK23" s="21">
        <f t="shared" si="18"/>
        <v>-0.24860523549797398</v>
      </c>
      <c r="DL23" s="21">
        <f t="shared" si="19"/>
        <v>8.5664855009306762E-2</v>
      </c>
      <c r="DM23" s="21">
        <f t="shared" si="20"/>
        <v>-0.45082289722627589</v>
      </c>
      <c r="DN23" s="21">
        <f t="shared" si="21"/>
        <v>-0.11819889088047658</v>
      </c>
      <c r="DO23" s="21">
        <f t="shared" si="22"/>
        <v>-0.40653606569891798</v>
      </c>
      <c r="DP23" s="21">
        <f t="shared" si="23"/>
        <v>-8.0261575335262778E-2</v>
      </c>
      <c r="DQ23" s="21">
        <f t="shared" si="24"/>
        <v>0.10215513143156887</v>
      </c>
      <c r="DR23" s="21">
        <f t="shared" si="25"/>
        <v>0.43482132122107658</v>
      </c>
      <c r="DS23" s="21">
        <f t="shared" si="26"/>
        <v>-0.33219129030557243</v>
      </c>
      <c r="DT23" s="21">
        <f t="shared" si="27"/>
        <v>0.33219129030557243</v>
      </c>
      <c r="DX23">
        <v>22</v>
      </c>
      <c r="DY23" s="9">
        <f t="shared" si="4"/>
        <v>4.0871001886811342</v>
      </c>
      <c r="EM23" s="11">
        <v>22</v>
      </c>
      <c r="EN23" s="8">
        <f t="shared" si="28"/>
        <v>0.80973839297736105</v>
      </c>
      <c r="EO23" s="8">
        <f t="shared" si="5"/>
        <v>-1.8415027126643091</v>
      </c>
      <c r="EP23" s="8">
        <f t="shared" si="29"/>
        <v>0.14248468929974017</v>
      </c>
      <c r="EQ23" s="8">
        <f t="shared" si="30"/>
        <v>0.22062856174811854</v>
      </c>
      <c r="ER23" s="8">
        <f t="shared" si="31"/>
        <v>0.14012886993131957</v>
      </c>
      <c r="ES23" s="8">
        <f t="shared" si="32"/>
        <v>1.756202837339401</v>
      </c>
      <c r="ET23" s="8">
        <f t="shared" si="33"/>
        <v>1.4243635512236041</v>
      </c>
      <c r="EU23" s="8">
        <f t="shared" si="34"/>
        <v>-2.6627366374575296</v>
      </c>
      <c r="EW23" s="50"/>
      <c r="EX23" s="51"/>
      <c r="EY23" s="48"/>
      <c r="EZ23" s="48"/>
      <c r="FA23" s="48"/>
      <c r="FB23" s="48"/>
      <c r="FK23" s="10"/>
      <c r="FL23" s="10"/>
    </row>
    <row r="24" spans="1:168" ht="18.600000000000001" thickBot="1" x14ac:dyDescent="0.4">
      <c r="A24" s="12" t="s">
        <v>50</v>
      </c>
      <c r="B24" s="13">
        <v>22</v>
      </c>
      <c r="C24" s="30">
        <f>RTD("fxbluelabs.excelrtd", , "21422436","@bh,AUDUSD,h1,close,22")</f>
        <v>0.67142999999999997</v>
      </c>
      <c r="D24" s="31">
        <f>RTD("fxbluelabs.excelrtd", , "21422436","@bh,AUDNZD,h1,close,22")</f>
        <v>1.1019099999999999</v>
      </c>
      <c r="E24" s="32">
        <f>RTD("fxbluelabs.excelrtd", , "21422436","@bh,AUDJPY,h1,close,22")</f>
        <v>98.313000000000002</v>
      </c>
      <c r="F24" s="31">
        <f>RTD("fxbluelabs.excelrtd", , "21422436","@bh,AUDCHF,h1,close,22")</f>
        <v>0.57940000000000003</v>
      </c>
      <c r="G24" s="31">
        <f>RTD("fxbluelabs.excelrtd", , "21422436","@bh,AUDCAD,h1,close,22")</f>
        <v>0.91710000000000003</v>
      </c>
      <c r="H24" s="31">
        <f>RTD("fxbluelabs.excelrtd", , "21422436","@bh,EURUSD,h1,close,22")</f>
        <v>1.10693</v>
      </c>
      <c r="I24" s="31">
        <f>RTD("fxbluelabs.excelrtd", , "21422436","@bh,EURCAD,h1,close,22")</f>
        <v>1.5119100000000001</v>
      </c>
      <c r="J24" s="31">
        <f>RTD("fxbluelabs.excelrtd", , "21422436","@bh,EURGBP,h1,close,22")</f>
        <v>0.85277000000000003</v>
      </c>
      <c r="K24" s="31">
        <f>RTD("fxbluelabs.excelrtd", , "21422436","@bh,EURCHF,h1,close,22")</f>
        <v>0.95521</v>
      </c>
      <c r="L24" s="32">
        <f>RTD("fxbluelabs.excelrtd", , "21422436","@bh,EURJPY,h1,close,22")</f>
        <v>162.077</v>
      </c>
      <c r="M24" s="31">
        <f>RTD("fxbluelabs.excelrtd", , "21422436","@bh,EURAUD,h1,close,22")</f>
        <v>1.64859</v>
      </c>
      <c r="N24" s="31">
        <f>RTD("fxbluelabs.excelrtd", , "21422436","@bh,EURNZD,h1,close,22")</f>
        <v>1.8166199999999999</v>
      </c>
      <c r="O24" s="31">
        <f>RTD("fxbluelabs.excelrtd", , "21422436","@bh,GBPUSD,h1,close,22")</f>
        <v>1.29802</v>
      </c>
      <c r="P24" s="31">
        <f>RTD("fxbluelabs.excelrtd", , "21422436","@bh,GBPAUD,h1,close,22")</f>
        <v>1.9332</v>
      </c>
      <c r="Q24" s="31">
        <f>RTD("fxbluelabs.excelrtd", , "21422436","@bh,GBPNZD,h1,close,22")</f>
        <v>2.1302300000000001</v>
      </c>
      <c r="R24" s="31">
        <f>RTD("fxbluelabs.excelrtd", , "21422436","@bh,GBPCAD,h1,close,22")</f>
        <v>1.7729299999999999</v>
      </c>
      <c r="S24" s="31">
        <f>RTD("fxbluelabs.excelrtd", , "21422436","@bh,GBPCHF,h1,close,22")</f>
        <v>1.12012</v>
      </c>
      <c r="T24" s="32">
        <f>RTD("fxbluelabs.excelrtd", , "21422436","@bh,GBPJPY,h1,close,22")</f>
        <v>190.06100000000001</v>
      </c>
      <c r="U24" s="32">
        <f>RTD("fxbluelabs.excelrtd", , "21422436","@bh,NZDJPY,h1,close,22")</f>
        <v>89.212000000000003</v>
      </c>
      <c r="V24" s="31">
        <f>RTD("fxbluelabs.excelrtd", , "21422436","@bh,NZDCHF,h1,close,22")</f>
        <v>0.52576999999999996</v>
      </c>
      <c r="W24" s="31">
        <f>RTD("fxbluelabs.excelrtd", , "21422436","@bh,NZDUSD,h1,close,22")</f>
        <v>0.60928000000000004</v>
      </c>
      <c r="X24" s="31">
        <f>RTD("fxbluelabs.excelrtd", , "21422436","@bh,NZDCAD,h1,close,22")</f>
        <v>0.83218000000000003</v>
      </c>
      <c r="Y24" s="32">
        <f>RTD("fxbluelabs.excelrtd", , "21422436","@bh,CADJPY,h1,close,22")</f>
        <v>107.2</v>
      </c>
      <c r="Z24" s="31">
        <f>RTD("fxbluelabs.excelrtd", , "21422436","@bh,CADCHF,h1,close,22")</f>
        <v>0.63177000000000005</v>
      </c>
      <c r="AA24" s="32">
        <f>RTD("fxbluelabs.excelrtd", , "21422436","@bh,CHFJPY,h1,close,22")</f>
        <v>169.67500000000001</v>
      </c>
      <c r="AB24" s="31">
        <f>RTD("fxbluelabs.excelrtd", , "21422436","@bh,USDCAD,h1,close,22")</f>
        <v>1.3659399999999999</v>
      </c>
      <c r="AC24" s="31">
        <f>RTD("fxbluelabs.excelrtd", , "21422436","@bh,USDCHF,h1,close,22")</f>
        <v>0.86295999999999995</v>
      </c>
      <c r="AD24" s="33">
        <f>RTD("fxbluelabs.excelrtd", , "21422436","@bh,USDJPY,h1,close,22")</f>
        <v>146.42400000000001</v>
      </c>
      <c r="AH24" s="23">
        <v>23</v>
      </c>
      <c r="AI24" s="41">
        <f t="shared" si="40"/>
        <v>-2.6801268593390357E-2</v>
      </c>
      <c r="AJ24" s="41">
        <f t="shared" si="40"/>
        <v>-3.6287432754847186E-2</v>
      </c>
      <c r="AK24" s="41">
        <f t="shared" si="40"/>
        <v>1.3224821973555676E-2</v>
      </c>
      <c r="AL24" s="41">
        <f t="shared" si="40"/>
        <v>-8.2775746706202136E-2</v>
      </c>
      <c r="AM24" s="41">
        <f t="shared" si="40"/>
        <v>7.966214520335764E-2</v>
      </c>
      <c r="AN24" s="41">
        <f t="shared" si="40"/>
        <v>3.2532962216571558E-2</v>
      </c>
      <c r="AO24" s="41">
        <f t="shared" si="40"/>
        <v>0.138427097269883</v>
      </c>
      <c r="AP24" s="41">
        <f t="shared" si="40"/>
        <v>8.2152874763814471E-2</v>
      </c>
      <c r="AQ24" s="41">
        <f t="shared" si="40"/>
        <v>-2.0933421253700294E-2</v>
      </c>
      <c r="AR24" s="41">
        <f t="shared" si="40"/>
        <v>6.9768590550986359E-2</v>
      </c>
      <c r="AS24" s="41">
        <f t="shared" si="40"/>
        <v>5.8872798339417783E-2</v>
      </c>
      <c r="AT24" s="41">
        <f t="shared" si="40"/>
        <v>2.2023763640966181E-2</v>
      </c>
      <c r="AU24" s="41">
        <f t="shared" si="40"/>
        <v>-5.0051206234073276E-2</v>
      </c>
      <c r="AV24" s="41">
        <f t="shared" si="40"/>
        <v>-2.3789083913402818E-2</v>
      </c>
      <c r="AW24" s="41">
        <f t="shared" si="40"/>
        <v>-6.0051325116933431E-2</v>
      </c>
      <c r="AX24" s="41">
        <f t="shared" si="40"/>
        <v>5.5870966285530226E-2</v>
      </c>
      <c r="AY24" s="41">
        <f t="shared" si="39"/>
        <v>-0.10523499509497537</v>
      </c>
      <c r="AZ24" s="41">
        <f t="shared" si="39"/>
        <v>-8.9436967981543925E-3</v>
      </c>
      <c r="BA24" s="41">
        <f t="shared" si="39"/>
        <v>4.3735211330785638E-2</v>
      </c>
      <c r="BB24" s="41">
        <f t="shared" si="39"/>
        <v>-5.1326895293132176E-2</v>
      </c>
      <c r="BC24" s="41">
        <f t="shared" si="39"/>
        <v>4.9240869922175653E-3</v>
      </c>
      <c r="BD24" s="41">
        <f t="shared" si="39"/>
        <v>0.10826676931960494</v>
      </c>
      <c r="BE24" s="41">
        <f t="shared" si="39"/>
        <v>-6.5255896336341171E-2</v>
      </c>
      <c r="BF24" s="41">
        <f t="shared" si="39"/>
        <v>-0.16276864728191773</v>
      </c>
      <c r="BG24" s="41">
        <f t="shared" si="39"/>
        <v>9.3205991139540853E-2</v>
      </c>
      <c r="BH24" s="41">
        <f t="shared" si="39"/>
        <v>0.1070004690431532</v>
      </c>
      <c r="BI24" s="41">
        <f t="shared" si="39"/>
        <v>-5.3276505061269831E-2</v>
      </c>
      <c r="BJ24" s="41">
        <f t="shared" si="39"/>
        <v>4.0310183445494141E-2</v>
      </c>
      <c r="BN24" s="26">
        <v>23</v>
      </c>
      <c r="BO24" s="45">
        <f t="shared" si="6"/>
        <v>0.36592946082932143</v>
      </c>
      <c r="BP24" s="45">
        <f t="shared" si="2"/>
        <v>-3.0829111232222553E-2</v>
      </c>
      <c r="BQ24" s="45">
        <f t="shared" ref="BQ24:CC28" si="42">AK24+SUM(AK25:AK59)</f>
        <v>0.41530035141330846</v>
      </c>
      <c r="BR24" s="45">
        <f t="shared" si="42"/>
        <v>9.5116615465752202E-2</v>
      </c>
      <c r="BS24" s="45">
        <f t="shared" si="42"/>
        <v>0.18893708903276218</v>
      </c>
      <c r="BT24" s="45">
        <f t="shared" si="42"/>
        <v>0.29244171264483543</v>
      </c>
      <c r="BU24" s="45">
        <f t="shared" si="42"/>
        <v>0.11594618237209009</v>
      </c>
      <c r="BV24" s="45">
        <f t="shared" si="42"/>
        <v>5.9866574112934015E-2</v>
      </c>
      <c r="BW24" s="45">
        <f t="shared" si="42"/>
        <v>2.5259962432891716E-2</v>
      </c>
      <c r="BX24" s="45">
        <f t="shared" si="42"/>
        <v>0.343506699158726</v>
      </c>
      <c r="BY24" s="45">
        <f t="shared" si="42"/>
        <v>-7.2098890273891936E-2</v>
      </c>
      <c r="BZ24" s="45">
        <f t="shared" si="42"/>
        <v>-0.10228048958261106</v>
      </c>
      <c r="CA24" s="45">
        <f t="shared" si="42"/>
        <v>0.23627876903367157</v>
      </c>
      <c r="CB24" s="45">
        <f t="shared" si="42"/>
        <v>-0.12816149126084828</v>
      </c>
      <c r="CC24" s="45">
        <f t="shared" si="42"/>
        <v>-0.15849522324476656</v>
      </c>
      <c r="CD24" s="45">
        <f t="shared" si="41"/>
        <v>6.04283942288876E-2</v>
      </c>
      <c r="CE24" s="45">
        <f t="shared" si="41"/>
        <v>-3.1969202364752813E-2</v>
      </c>
      <c r="CF24" s="45">
        <f t="shared" si="41"/>
        <v>0.28714148518071958</v>
      </c>
      <c r="CG24" s="45">
        <f t="shared" si="41"/>
        <v>0.43861433851620635</v>
      </c>
      <c r="CH24" s="45">
        <f t="shared" si="41"/>
        <v>0.11998366216611472</v>
      </c>
      <c r="CI24" s="45">
        <f t="shared" si="41"/>
        <v>0.39012325057286945</v>
      </c>
      <c r="CJ24" s="45">
        <f t="shared" si="41"/>
        <v>0.21187024605163196</v>
      </c>
      <c r="CK24" s="45">
        <f t="shared" si="41"/>
        <v>0.22648847607131223</v>
      </c>
      <c r="CL24" s="45">
        <f t="shared" si="41"/>
        <v>-9.3000882634024978E-2</v>
      </c>
      <c r="CM24" s="45">
        <f t="shared" si="37"/>
        <v>0.31733587190994644</v>
      </c>
      <c r="CN24" s="45">
        <f t="shared" si="37"/>
        <v>-0.17463171658762872</v>
      </c>
      <c r="CO24" s="45">
        <f t="shared" si="37"/>
        <v>-0.26693139905732305</v>
      </c>
      <c r="CP24" s="45">
        <f t="shared" si="37"/>
        <v>5.0251071987766349E-2</v>
      </c>
      <c r="CU24" s="23">
        <v>23</v>
      </c>
      <c r="CV24" s="24">
        <f t="shared" si="7"/>
        <v>0.66264175086497423</v>
      </c>
      <c r="CW24" s="24">
        <f t="shared" si="8"/>
        <v>-1.6760852367378831</v>
      </c>
      <c r="CX24" s="24">
        <f t="shared" si="9"/>
        <v>-0.26906260166045581</v>
      </c>
      <c r="CY24" s="24">
        <f t="shared" si="10"/>
        <v>0.37587623326726372</v>
      </c>
      <c r="CZ24" s="24">
        <f t="shared" si="11"/>
        <v>0.2053561574599771</v>
      </c>
      <c r="DA24" s="24">
        <f t="shared" si="12"/>
        <v>1.2347147870436619</v>
      </c>
      <c r="DB24" s="24">
        <f t="shared" si="13"/>
        <v>1.4521963213664226</v>
      </c>
      <c r="DC24" s="24">
        <f t="shared" si="14"/>
        <v>-2.0786382942379853</v>
      </c>
      <c r="DF24" s="18">
        <v>23</v>
      </c>
      <c r="DG24" s="19">
        <f t="shared" si="36"/>
        <v>-0.17463171658762872</v>
      </c>
      <c r="DH24" s="19">
        <f t="shared" si="15"/>
        <v>0.11594618237209009</v>
      </c>
      <c r="DI24" s="19">
        <f t="shared" si="16"/>
        <v>-0.26693139905732305</v>
      </c>
      <c r="DJ24" s="19">
        <f t="shared" si="17"/>
        <v>2.5259962432891716E-2</v>
      </c>
      <c r="DK24" s="19">
        <f t="shared" si="18"/>
        <v>-0.23627876903367157</v>
      </c>
      <c r="DL24" s="19">
        <f t="shared" si="19"/>
        <v>5.9866574112934015E-2</v>
      </c>
      <c r="DM24" s="19">
        <f t="shared" si="20"/>
        <v>-0.36592946082932143</v>
      </c>
      <c r="DN24" s="19">
        <f t="shared" si="21"/>
        <v>-7.2098890273891936E-2</v>
      </c>
      <c r="DO24" s="19">
        <f t="shared" si="22"/>
        <v>-0.39012325057286945</v>
      </c>
      <c r="DP24" s="19">
        <f t="shared" si="23"/>
        <v>-0.10228048958261106</v>
      </c>
      <c r="DQ24" s="19">
        <f t="shared" si="24"/>
        <v>5.0251071987766349E-2</v>
      </c>
      <c r="DR24" s="19">
        <f t="shared" si="25"/>
        <v>0.343506699158726</v>
      </c>
      <c r="DS24" s="19">
        <f t="shared" si="26"/>
        <v>-0.29244171264483543</v>
      </c>
      <c r="DT24" s="19">
        <f t="shared" si="27"/>
        <v>0.29244171264483543</v>
      </c>
      <c r="DX24">
        <v>23</v>
      </c>
      <c r="DY24" s="9">
        <f t="shared" si="4"/>
        <v>3.5308346156044079</v>
      </c>
      <c r="EM24" s="11">
        <v>23</v>
      </c>
      <c r="EN24" s="8">
        <f t="shared" si="28"/>
        <v>0.66264175086497423</v>
      </c>
      <c r="EO24" s="8">
        <f t="shared" si="5"/>
        <v>-1.6760852367378831</v>
      </c>
      <c r="EP24" s="8">
        <f t="shared" si="29"/>
        <v>-0.26906260166045581</v>
      </c>
      <c r="EQ24" s="8">
        <f t="shared" si="30"/>
        <v>0.37587623326726372</v>
      </c>
      <c r="ER24" s="8">
        <f t="shared" si="31"/>
        <v>0.2053561574599771</v>
      </c>
      <c r="ES24" s="8">
        <f t="shared" si="32"/>
        <v>1.2347147870436619</v>
      </c>
      <c r="ET24" s="8">
        <f t="shared" si="33"/>
        <v>1.4521963213664226</v>
      </c>
      <c r="EU24" s="8">
        <f t="shared" si="34"/>
        <v>-2.0786382942379853</v>
      </c>
      <c r="EW24" s="50"/>
      <c r="EX24" s="51"/>
      <c r="EY24" s="48"/>
      <c r="EZ24" s="48"/>
      <c r="FA24" s="48"/>
      <c r="FB24" s="48"/>
      <c r="FK24" s="10"/>
      <c r="FL24" s="10"/>
    </row>
    <row r="25" spans="1:168" ht="18.600000000000001" thickBot="1" x14ac:dyDescent="0.4">
      <c r="A25" s="12" t="s">
        <v>50</v>
      </c>
      <c r="B25" s="13">
        <v>23</v>
      </c>
      <c r="C25" s="30">
        <f>RTD("fxbluelabs.excelrtd", , "21422436","@bh,AUDUSD,h1,close,23")</f>
        <v>0.67161000000000004</v>
      </c>
      <c r="D25" s="31">
        <f>RTD("fxbluelabs.excelrtd", , "21422436","@bh,AUDNZD,h1,close,23")</f>
        <v>1.1023099999999999</v>
      </c>
      <c r="E25" s="32">
        <f>RTD("fxbluelabs.excelrtd", , "21422436","@bh,AUDJPY,h1,close,23")</f>
        <v>98.3</v>
      </c>
      <c r="F25" s="31">
        <f>RTD("fxbluelabs.excelrtd", , "21422436","@bh,AUDCHF,h1,close,23")</f>
        <v>0.57987999999999995</v>
      </c>
      <c r="G25" s="31">
        <f>RTD("fxbluelabs.excelrtd", , "21422436","@bh,AUDCAD,h1,close,23")</f>
        <v>0.91637000000000002</v>
      </c>
      <c r="H25" s="31">
        <f>RTD("fxbluelabs.excelrtd", , "21422436","@bh,EURUSD,h1,close,23")</f>
        <v>1.1065700000000001</v>
      </c>
      <c r="I25" s="31">
        <f>RTD("fxbluelabs.excelrtd", , "21422436","@bh,EURCAD,h1,close,23")</f>
        <v>1.5098199999999999</v>
      </c>
      <c r="J25" s="31">
        <f>RTD("fxbluelabs.excelrtd", , "21422436","@bh,EURGBP,h1,close,23")</f>
        <v>0.85206999999999999</v>
      </c>
      <c r="K25" s="31">
        <f>RTD("fxbluelabs.excelrtd", , "21422436","@bh,EURCHF,h1,close,23")</f>
        <v>0.95540999999999998</v>
      </c>
      <c r="L25" s="32">
        <f>RTD("fxbluelabs.excelrtd", , "21422436","@bh,EURJPY,h1,close,23")</f>
        <v>161.964</v>
      </c>
      <c r="M25" s="31">
        <f>RTD("fxbluelabs.excelrtd", , "21422436","@bh,EURAUD,h1,close,23")</f>
        <v>1.6476200000000001</v>
      </c>
      <c r="N25" s="31">
        <f>RTD("fxbluelabs.excelrtd", , "21422436","@bh,EURNZD,h1,close,23")</f>
        <v>1.8162199999999999</v>
      </c>
      <c r="O25" s="31">
        <f>RTD("fxbluelabs.excelrtd", , "21422436","@bh,GBPUSD,h1,close,23")</f>
        <v>1.29867</v>
      </c>
      <c r="P25" s="31">
        <f>RTD("fxbluelabs.excelrtd", , "21422436","@bh,GBPAUD,h1,close,23")</f>
        <v>1.9336599999999999</v>
      </c>
      <c r="Q25" s="31">
        <f>RTD("fxbluelabs.excelrtd", , "21422436","@bh,GBPNZD,h1,close,23")</f>
        <v>2.13151</v>
      </c>
      <c r="R25" s="31">
        <f>RTD("fxbluelabs.excelrtd", , "21422436","@bh,GBPCAD,h1,close,23")</f>
        <v>1.7719400000000001</v>
      </c>
      <c r="S25" s="31">
        <f>RTD("fxbluelabs.excelrtd", , "21422436","@bh,GBPCHF,h1,close,23")</f>
        <v>1.1213</v>
      </c>
      <c r="T25" s="32">
        <f>RTD("fxbluelabs.excelrtd", , "21422436","@bh,GBPJPY,h1,close,23")</f>
        <v>190.078</v>
      </c>
      <c r="U25" s="32">
        <f>RTD("fxbluelabs.excelrtd", , "21422436","@bh,NZDJPY,h1,close,23")</f>
        <v>89.173000000000002</v>
      </c>
      <c r="V25" s="31">
        <f>RTD("fxbluelabs.excelrtd", , "21422436","@bh,NZDCHF,h1,close,23")</f>
        <v>0.52603999999999995</v>
      </c>
      <c r="W25" s="31">
        <f>RTD("fxbluelabs.excelrtd", , "21422436","@bh,NZDUSD,h1,close,23")</f>
        <v>0.60924999999999996</v>
      </c>
      <c r="X25" s="31">
        <f>RTD("fxbluelabs.excelrtd", , "21422436","@bh,NZDCAD,h1,close,23")</f>
        <v>0.83128000000000002</v>
      </c>
      <c r="Y25" s="32">
        <f>RTD("fxbluelabs.excelrtd", , "21422436","@bh,CADJPY,h1,close,23")</f>
        <v>107.27</v>
      </c>
      <c r="Z25" s="31">
        <f>RTD("fxbluelabs.excelrtd", , "21422436","@bh,CADCHF,h1,close,23")</f>
        <v>0.63280000000000003</v>
      </c>
      <c r="AA25" s="32">
        <f>RTD("fxbluelabs.excelrtd", , "21422436","@bh,CHFJPY,h1,close,23")</f>
        <v>169.517</v>
      </c>
      <c r="AB25" s="31">
        <f>RTD("fxbluelabs.excelrtd", , "21422436","@bh,USDCAD,h1,close,23")</f>
        <v>1.3644799999999999</v>
      </c>
      <c r="AC25" s="31">
        <f>RTD("fxbluelabs.excelrtd", , "21422436","@bh,USDCHF,h1,close,23")</f>
        <v>0.86341999999999997</v>
      </c>
      <c r="AD25" s="33">
        <f>RTD("fxbluelabs.excelrtd", , "21422436","@bh,USDJPY,h1,close,23")</f>
        <v>146.36500000000001</v>
      </c>
      <c r="AH25" s="23">
        <v>24</v>
      </c>
      <c r="AI25" s="42">
        <f t="shared" si="40"/>
        <v>0.22683520124163575</v>
      </c>
      <c r="AJ25" s="42">
        <f t="shared" si="40"/>
        <v>1.723950205058546E-2</v>
      </c>
      <c r="AK25" s="42">
        <f t="shared" si="40"/>
        <v>0.20591653244714284</v>
      </c>
      <c r="AL25" s="42">
        <f t="shared" si="40"/>
        <v>6.5573770491792222E-2</v>
      </c>
      <c r="AM25" s="42">
        <f t="shared" si="40"/>
        <v>0.10159049200384365</v>
      </c>
      <c r="AN25" s="42">
        <f t="shared" si="40"/>
        <v>0.19104358691125584</v>
      </c>
      <c r="AO25" s="42">
        <f t="shared" si="40"/>
        <v>6.2961023812522374E-2</v>
      </c>
      <c r="AP25" s="42">
        <f t="shared" si="40"/>
        <v>5.8684068449090972E-3</v>
      </c>
      <c r="AQ25" s="42">
        <f t="shared" si="40"/>
        <v>2.8268107293170894E-2</v>
      </c>
      <c r="AR25" s="42">
        <f t="shared" si="40"/>
        <v>0.17317730882462157</v>
      </c>
      <c r="AS25" s="42">
        <f t="shared" si="40"/>
        <v>-3.6402907378865319E-2</v>
      </c>
      <c r="AT25" s="42">
        <f t="shared" si="40"/>
        <v>-1.5414258188827855E-2</v>
      </c>
      <c r="AU25" s="42">
        <f t="shared" si="40"/>
        <v>0.18669238187078796</v>
      </c>
      <c r="AV25" s="42">
        <f t="shared" si="40"/>
        <v>-3.6187679645988589E-2</v>
      </c>
      <c r="AW25" s="42">
        <f t="shared" si="40"/>
        <v>-1.8762518117554493E-2</v>
      </c>
      <c r="AX25" s="42">
        <f t="shared" si="39"/>
        <v>6.0422278315185554E-2</v>
      </c>
      <c r="AY25" s="42">
        <f t="shared" si="39"/>
        <v>2.5869528371727409E-2</v>
      </c>
      <c r="AZ25" s="42">
        <f t="shared" si="39"/>
        <v>0.16546868742226814</v>
      </c>
      <c r="BA25" s="42">
        <f t="shared" si="39"/>
        <v>0.19213051392104277</v>
      </c>
      <c r="BB25" s="42">
        <f t="shared" si="39"/>
        <v>5.1353253323695246E-2</v>
      </c>
      <c r="BC25" s="42">
        <f t="shared" si="39"/>
        <v>0.21383337445513081</v>
      </c>
      <c r="BD25" s="42">
        <f t="shared" si="39"/>
        <v>8.5483463163849929E-2</v>
      </c>
      <c r="BE25" s="42">
        <f t="shared" si="39"/>
        <v>0.10638694986747368</v>
      </c>
      <c r="BF25" s="42">
        <f t="shared" si="39"/>
        <v>-3.4754036207386492E-2</v>
      </c>
      <c r="BG25" s="42">
        <f t="shared" si="39"/>
        <v>0.14118786847670953</v>
      </c>
      <c r="BH25" s="42">
        <f t="shared" si="39"/>
        <v>-0.12882070500058437</v>
      </c>
      <c r="BI25" s="42">
        <f t="shared" si="39"/>
        <v>-0.16419222052635027</v>
      </c>
      <c r="BJ25" s="42">
        <f t="shared" si="39"/>
        <v>-2.1858371414702669E-2</v>
      </c>
      <c r="BN25" s="26">
        <v>24</v>
      </c>
      <c r="BO25" s="46">
        <f t="shared" si="6"/>
        <v>0.39273072942271187</v>
      </c>
      <c r="BP25" s="46">
        <f t="shared" si="2"/>
        <v>5.4583215226246314E-3</v>
      </c>
      <c r="BQ25" s="46">
        <f t="shared" si="42"/>
        <v>0.40207552943975278</v>
      </c>
      <c r="BR25" s="46">
        <f t="shared" si="42"/>
        <v>0.17789236217195437</v>
      </c>
      <c r="BS25" s="46">
        <f t="shared" si="42"/>
        <v>0.10927494382940452</v>
      </c>
      <c r="BT25" s="46">
        <f t="shared" si="42"/>
        <v>0.25990875042826389</v>
      </c>
      <c r="BU25" s="46">
        <f t="shared" si="42"/>
        <v>-2.2480914897792928E-2</v>
      </c>
      <c r="BV25" s="46">
        <f t="shared" si="42"/>
        <v>-2.2286300650880456E-2</v>
      </c>
      <c r="BW25" s="46">
        <f t="shared" si="42"/>
        <v>4.6193383686591996E-2</v>
      </c>
      <c r="BX25" s="46">
        <f t="shared" si="42"/>
        <v>0.27373810860773962</v>
      </c>
      <c r="BY25" s="46">
        <f t="shared" si="42"/>
        <v>-0.13097168861330971</v>
      </c>
      <c r="BZ25" s="46">
        <f t="shared" si="42"/>
        <v>-0.12430425322357724</v>
      </c>
      <c r="CA25" s="46">
        <f t="shared" si="42"/>
        <v>0.28632997526774484</v>
      </c>
      <c r="CB25" s="46">
        <f t="shared" si="42"/>
        <v>-0.10437240734744546</v>
      </c>
      <c r="CC25" s="46">
        <f t="shared" si="42"/>
        <v>-9.8443898127833107E-2</v>
      </c>
      <c r="CD25" s="46">
        <f t="shared" si="41"/>
        <v>4.5574279433573811E-3</v>
      </c>
      <c r="CE25" s="46">
        <f t="shared" si="41"/>
        <v>7.3265792730222545E-2</v>
      </c>
      <c r="CF25" s="46">
        <f t="shared" si="41"/>
        <v>0.29608518197887401</v>
      </c>
      <c r="CG25" s="46">
        <f t="shared" si="41"/>
        <v>0.39487912718542073</v>
      </c>
      <c r="CH25" s="46">
        <f t="shared" si="41"/>
        <v>0.17131055745924689</v>
      </c>
      <c r="CI25" s="46">
        <f t="shared" si="41"/>
        <v>0.38519916358065187</v>
      </c>
      <c r="CJ25" s="46">
        <f t="shared" si="41"/>
        <v>0.10360347673202702</v>
      </c>
      <c r="CK25" s="46">
        <f t="shared" si="41"/>
        <v>0.29174437240765339</v>
      </c>
      <c r="CL25" s="46">
        <f t="shared" si="41"/>
        <v>6.9767764647892749E-2</v>
      </c>
      <c r="CM25" s="46">
        <f t="shared" si="37"/>
        <v>0.22412988077040563</v>
      </c>
      <c r="CN25" s="46">
        <f t="shared" si="37"/>
        <v>-0.28163218563078191</v>
      </c>
      <c r="CO25" s="46">
        <f t="shared" si="37"/>
        <v>-0.2136548939960532</v>
      </c>
      <c r="CP25" s="46">
        <f t="shared" si="37"/>
        <v>9.9408885422721874E-3</v>
      </c>
      <c r="CU25" s="23">
        <v>24</v>
      </c>
      <c r="CV25" s="25">
        <f t="shared" si="7"/>
        <v>0.27979708533703518</v>
      </c>
      <c r="CW25" s="25">
        <f t="shared" si="8"/>
        <v>-1.8095148097839351</v>
      </c>
      <c r="CX25" s="25">
        <f t="shared" si="9"/>
        <v>0.44818938907933203</v>
      </c>
      <c r="CY25" s="25">
        <f t="shared" si="10"/>
        <v>-3.0877321281556958E-2</v>
      </c>
      <c r="CZ25" s="25">
        <f t="shared" si="11"/>
        <v>0.47970837309580067</v>
      </c>
      <c r="DA25" s="25">
        <f t="shared" si="12"/>
        <v>1.3227759823472034</v>
      </c>
      <c r="DB25" s="25">
        <f t="shared" si="13"/>
        <v>1.272282154786132</v>
      </c>
      <c r="DC25" s="25">
        <f t="shared" si="14"/>
        <v>-1.8925930889321185</v>
      </c>
      <c r="DF25" s="20">
        <v>24</v>
      </c>
      <c r="DG25" s="21">
        <f t="shared" si="36"/>
        <v>-0.28163218563078191</v>
      </c>
      <c r="DH25" s="21">
        <f t="shared" si="15"/>
        <v>-2.2480914897792928E-2</v>
      </c>
      <c r="DI25" s="21">
        <f t="shared" si="16"/>
        <v>-0.2136548939960532</v>
      </c>
      <c r="DJ25" s="21">
        <f t="shared" si="17"/>
        <v>4.6193383686591996E-2</v>
      </c>
      <c r="DK25" s="21">
        <f t="shared" si="18"/>
        <v>-0.28632997526774484</v>
      </c>
      <c r="DL25" s="21">
        <f t="shared" si="19"/>
        <v>-2.2286300650880456E-2</v>
      </c>
      <c r="DM25" s="21">
        <f t="shared" si="20"/>
        <v>-0.39273072942271187</v>
      </c>
      <c r="DN25" s="21">
        <f t="shared" si="21"/>
        <v>-0.13097168861330971</v>
      </c>
      <c r="DO25" s="21">
        <f t="shared" si="22"/>
        <v>-0.38519916358065187</v>
      </c>
      <c r="DP25" s="21">
        <f t="shared" si="23"/>
        <v>-0.12430425322357724</v>
      </c>
      <c r="DQ25" s="21">
        <f t="shared" si="24"/>
        <v>9.9408885422721874E-3</v>
      </c>
      <c r="DR25" s="21">
        <f t="shared" si="25"/>
        <v>0.27373810860773962</v>
      </c>
      <c r="DS25" s="21">
        <f t="shared" si="26"/>
        <v>-0.25990875042826389</v>
      </c>
      <c r="DT25" s="21">
        <f t="shared" si="27"/>
        <v>0.25990875042826389</v>
      </c>
      <c r="DX25">
        <v>24</v>
      </c>
      <c r="DY25" s="9">
        <f t="shared" si="4"/>
        <v>3.1648752437182504</v>
      </c>
      <c r="EM25" s="11">
        <v>24</v>
      </c>
      <c r="EN25" s="8">
        <f t="shared" si="28"/>
        <v>0.27979708533703518</v>
      </c>
      <c r="EO25" s="8">
        <f t="shared" si="5"/>
        <v>-1.8095148097839351</v>
      </c>
      <c r="EP25" s="8">
        <f t="shared" si="29"/>
        <v>0.44818938907933203</v>
      </c>
      <c r="EQ25" s="8">
        <f t="shared" si="30"/>
        <v>-3.0877321281556958E-2</v>
      </c>
      <c r="ER25" s="8">
        <f t="shared" si="31"/>
        <v>0.47970837309580067</v>
      </c>
      <c r="ES25" s="8">
        <f t="shared" si="32"/>
        <v>1.3227759823472034</v>
      </c>
      <c r="ET25" s="8">
        <f t="shared" si="33"/>
        <v>1.272282154786132</v>
      </c>
      <c r="EU25" s="8">
        <f t="shared" si="34"/>
        <v>-1.8925930889321185</v>
      </c>
      <c r="EW25" s="50"/>
      <c r="EX25" s="51"/>
      <c r="EY25" s="48"/>
      <c r="EZ25" s="48"/>
      <c r="FA25" s="48"/>
      <c r="FB25" s="48"/>
      <c r="FK25" s="10"/>
      <c r="FL25" s="10"/>
    </row>
    <row r="26" spans="1:168" ht="18.600000000000001" thickBot="1" x14ac:dyDescent="0.4">
      <c r="A26" s="12" t="s">
        <v>50</v>
      </c>
      <c r="B26" s="13">
        <v>24</v>
      </c>
      <c r="C26" s="30">
        <f>RTD("fxbluelabs.excelrtd", , "21422436","@bh,AUDUSD,h1,close,24")</f>
        <v>0.67008999999999996</v>
      </c>
      <c r="D26" s="31">
        <f>RTD("fxbluelabs.excelrtd", , "21422436","@bh,AUDNZD,h1,close,24")</f>
        <v>1.10212</v>
      </c>
      <c r="E26" s="32">
        <f>RTD("fxbluelabs.excelrtd", , "21422436","@bh,AUDJPY,h1,close,24")</f>
        <v>98.097999999999999</v>
      </c>
      <c r="F26" s="31">
        <f>RTD("fxbluelabs.excelrtd", , "21422436","@bh,AUDCHF,h1,close,24")</f>
        <v>0.57950000000000002</v>
      </c>
      <c r="G26" s="31">
        <f>RTD("fxbluelabs.excelrtd", , "21422436","@bh,AUDCAD,h1,close,24")</f>
        <v>0.91544000000000003</v>
      </c>
      <c r="H26" s="31">
        <f>RTD("fxbluelabs.excelrtd", , "21422436","@bh,EURUSD,h1,close,24")</f>
        <v>1.10446</v>
      </c>
      <c r="I26" s="31">
        <f>RTD("fxbluelabs.excelrtd", , "21422436","@bh,EURCAD,h1,close,24")</f>
        <v>1.5088699999999999</v>
      </c>
      <c r="J26" s="31">
        <f>RTD("fxbluelabs.excelrtd", , "21422436","@bh,EURGBP,h1,close,24")</f>
        <v>0.85202</v>
      </c>
      <c r="K26" s="31">
        <f>RTD("fxbluelabs.excelrtd", , "21422436","@bh,EURCHF,h1,close,24")</f>
        <v>0.95513999999999999</v>
      </c>
      <c r="L26" s="32">
        <f>RTD("fxbluelabs.excelrtd", , "21422436","@bh,EURJPY,h1,close,24")</f>
        <v>161.684</v>
      </c>
      <c r="M26" s="31">
        <f>RTD("fxbluelabs.excelrtd", , "21422436","@bh,EURAUD,h1,close,24")</f>
        <v>1.64822</v>
      </c>
      <c r="N26" s="31">
        <f>RTD("fxbluelabs.excelrtd", , "21422436","@bh,EURNZD,h1,close,24")</f>
        <v>1.8165</v>
      </c>
      <c r="O26" s="31">
        <f>RTD("fxbluelabs.excelrtd", , "21422436","@bh,GBPUSD,h1,close,24")</f>
        <v>1.2962499999999999</v>
      </c>
      <c r="P26" s="31">
        <f>RTD("fxbluelabs.excelrtd", , "21422436","@bh,GBPAUD,h1,close,24")</f>
        <v>1.9343600000000001</v>
      </c>
      <c r="Q26" s="31">
        <f>RTD("fxbluelabs.excelrtd", , "21422436","@bh,GBPNZD,h1,close,24")</f>
        <v>2.13191</v>
      </c>
      <c r="R26" s="31">
        <f>RTD("fxbluelabs.excelrtd", , "21422436","@bh,GBPCAD,h1,close,24")</f>
        <v>1.7708699999999999</v>
      </c>
      <c r="S26" s="31">
        <f>RTD("fxbluelabs.excelrtd", , "21422436","@bh,GBPCHF,h1,close,24")</f>
        <v>1.1210100000000001</v>
      </c>
      <c r="T26" s="32">
        <f>RTD("fxbluelabs.excelrtd", , "21422436","@bh,GBPJPY,h1,close,24")</f>
        <v>189.76400000000001</v>
      </c>
      <c r="U26" s="32">
        <f>RTD("fxbluelabs.excelrtd", , "21422436","@bh,NZDJPY,h1,close,24")</f>
        <v>89.001999999999995</v>
      </c>
      <c r="V26" s="31">
        <f>RTD("fxbluelabs.excelrtd", , "21422436","@bh,NZDCHF,h1,close,24")</f>
        <v>0.52576999999999996</v>
      </c>
      <c r="W26" s="31">
        <f>RTD("fxbluelabs.excelrtd", , "21422436","@bh,NZDUSD,h1,close,24")</f>
        <v>0.60794999999999999</v>
      </c>
      <c r="X26" s="31">
        <f>RTD("fxbluelabs.excelrtd", , "21422436","@bh,NZDCAD,h1,close,24")</f>
        <v>0.83057000000000003</v>
      </c>
      <c r="Y26" s="32">
        <f>RTD("fxbluelabs.excelrtd", , "21422436","@bh,CADJPY,h1,close,24")</f>
        <v>107.15600000000001</v>
      </c>
      <c r="Z26" s="31">
        <f>RTD("fxbluelabs.excelrtd", , "21422436","@bh,CADCHF,h1,close,24")</f>
        <v>0.63302000000000003</v>
      </c>
      <c r="AA26" s="32">
        <f>RTD("fxbluelabs.excelrtd", , "21422436","@bh,CHFJPY,h1,close,24")</f>
        <v>169.27799999999999</v>
      </c>
      <c r="AB26" s="31">
        <f>RTD("fxbluelabs.excelrtd", , "21422436","@bh,USDCAD,h1,close,24")</f>
        <v>1.3662399999999999</v>
      </c>
      <c r="AC26" s="31">
        <f>RTD("fxbluelabs.excelrtd", , "21422436","@bh,USDCHF,h1,close,24")</f>
        <v>0.86484000000000005</v>
      </c>
      <c r="AD26" s="33">
        <f>RTD("fxbluelabs.excelrtd", , "21422436","@bh,USDJPY,h1,close,24")</f>
        <v>146.39699999999999</v>
      </c>
      <c r="AH26" s="23">
        <v>25</v>
      </c>
      <c r="AI26" s="41">
        <f t="shared" si="40"/>
        <v>6.1223270815898699E-2</v>
      </c>
      <c r="AJ26" s="41">
        <f t="shared" si="40"/>
        <v>-4.2626905740118307E-2</v>
      </c>
      <c r="AK26" s="41">
        <f t="shared" si="40"/>
        <v>0.18382728405399681</v>
      </c>
      <c r="AL26" s="41">
        <f t="shared" si="40"/>
        <v>-3.4511319712900333E-3</v>
      </c>
      <c r="AM26" s="41">
        <f t="shared" si="40"/>
        <v>-1.6382878799460838E-2</v>
      </c>
      <c r="AN26" s="41">
        <f t="shared" si="40"/>
        <v>5.0729232720345491E-2</v>
      </c>
      <c r="AO26" s="41">
        <f t="shared" si="40"/>
        <v>-2.4515650261057318E-2</v>
      </c>
      <c r="AP26" s="41">
        <f t="shared" si="40"/>
        <v>-3.9889248674269906E-2</v>
      </c>
      <c r="AQ26" s="41">
        <f t="shared" si="40"/>
        <v>-1.2562024998430689E-2</v>
      </c>
      <c r="AR26" s="41">
        <f t="shared" si="40"/>
        <v>0.17099524187153703</v>
      </c>
      <c r="AS26" s="41">
        <f t="shared" si="40"/>
        <v>-9.7064997148678077E-3</v>
      </c>
      <c r="AT26" s="41">
        <f t="shared" si="40"/>
        <v>-5.5020632737270425E-2</v>
      </c>
      <c r="AU26" s="41">
        <f t="shared" si="40"/>
        <v>9.0341909380107277E-2</v>
      </c>
      <c r="AV26" s="41">
        <f t="shared" si="40"/>
        <v>2.5337794164039022E-2</v>
      </c>
      <c r="AW26" s="41">
        <f t="shared" si="40"/>
        <v>-1.6883415327333687E-2</v>
      </c>
      <c r="AX26" s="41">
        <f t="shared" si="39"/>
        <v>1.3554497551719896E-2</v>
      </c>
      <c r="AY26" s="41">
        <f t="shared" si="39"/>
        <v>2.5876222428449881E-2</v>
      </c>
      <c r="AZ26" s="41">
        <f t="shared" si="39"/>
        <v>0.21229180088931002</v>
      </c>
      <c r="BA26" s="41">
        <f t="shared" si="39"/>
        <v>0.22296292959775832</v>
      </c>
      <c r="BB26" s="41">
        <f t="shared" si="39"/>
        <v>3.6150538452740293E-2</v>
      </c>
      <c r="BC26" s="41">
        <f t="shared" si="39"/>
        <v>0.10043797543385903</v>
      </c>
      <c r="BD26" s="41">
        <f t="shared" si="39"/>
        <v>2.6494851568615398E-2</v>
      </c>
      <c r="BE26" s="41">
        <f t="shared" si="39"/>
        <v>0.19729767637571904</v>
      </c>
      <c r="BF26" s="41">
        <f t="shared" si="39"/>
        <v>1.1059325381154039E-2</v>
      </c>
      <c r="BG26" s="41">
        <f t="shared" si="39"/>
        <v>0.18643134887519619</v>
      </c>
      <c r="BH26" s="41">
        <f t="shared" si="39"/>
        <v>-7.387090875846973E-2</v>
      </c>
      <c r="BI26" s="41">
        <f t="shared" si="39"/>
        <v>-6.124547881252175E-2</v>
      </c>
      <c r="BJ26" s="41">
        <f t="shared" si="39"/>
        <v>0.12241994829638078</v>
      </c>
      <c r="BN26" s="26">
        <v>25</v>
      </c>
      <c r="BO26" s="45">
        <f t="shared" si="6"/>
        <v>0.16589552818107611</v>
      </c>
      <c r="BP26" s="45">
        <f t="shared" si="2"/>
        <v>-1.1781180527960827E-2</v>
      </c>
      <c r="BQ26" s="45">
        <f t="shared" si="42"/>
        <v>0.19615899699260997</v>
      </c>
      <c r="BR26" s="45">
        <f t="shared" si="42"/>
        <v>0.11231859168016214</v>
      </c>
      <c r="BS26" s="45">
        <f t="shared" si="42"/>
        <v>7.6844518255608681E-3</v>
      </c>
      <c r="BT26" s="45">
        <f t="shared" si="42"/>
        <v>6.8865163517008054E-2</v>
      </c>
      <c r="BU26" s="45">
        <f t="shared" si="42"/>
        <v>-8.5441938710315302E-2</v>
      </c>
      <c r="BV26" s="45">
        <f t="shared" si="42"/>
        <v>-2.8154707495789553E-2</v>
      </c>
      <c r="BW26" s="45">
        <f t="shared" si="42"/>
        <v>1.7925276393421105E-2</v>
      </c>
      <c r="BX26" s="45">
        <f t="shared" si="42"/>
        <v>0.10056079978311802</v>
      </c>
      <c r="BY26" s="45">
        <f t="shared" si="42"/>
        <v>-9.4568781234444385E-2</v>
      </c>
      <c r="BZ26" s="45">
        <f t="shared" si="42"/>
        <v>-0.10888999503474939</v>
      </c>
      <c r="CA26" s="45">
        <f t="shared" si="42"/>
        <v>9.9637593396956894E-2</v>
      </c>
      <c r="CB26" s="45">
        <f t="shared" si="42"/>
        <v>-6.8184727701456865E-2</v>
      </c>
      <c r="CC26" s="45">
        <f t="shared" si="42"/>
        <v>-7.9681380010278621E-2</v>
      </c>
      <c r="CD26" s="45">
        <f t="shared" si="41"/>
        <v>-5.586485037182818E-2</v>
      </c>
      <c r="CE26" s="45">
        <f t="shared" si="41"/>
        <v>4.739626435849513E-2</v>
      </c>
      <c r="CF26" s="45">
        <f t="shared" si="41"/>
        <v>0.13061649455660582</v>
      </c>
      <c r="CG26" s="45">
        <f t="shared" si="41"/>
        <v>0.20274861326437799</v>
      </c>
      <c r="CH26" s="45">
        <f t="shared" si="41"/>
        <v>0.11995730413555164</v>
      </c>
      <c r="CI26" s="45">
        <f t="shared" si="41"/>
        <v>0.17136578912552103</v>
      </c>
      <c r="CJ26" s="45">
        <f t="shared" si="41"/>
        <v>1.81200135681771E-2</v>
      </c>
      <c r="CK26" s="45">
        <f t="shared" si="41"/>
        <v>0.1853574225401797</v>
      </c>
      <c r="CL26" s="45">
        <f t="shared" si="41"/>
        <v>0.10452180085527923</v>
      </c>
      <c r="CM26" s="45">
        <f t="shared" si="37"/>
        <v>8.2942012293696105E-2</v>
      </c>
      <c r="CN26" s="45">
        <f t="shared" si="37"/>
        <v>-0.15281148063019756</v>
      </c>
      <c r="CO26" s="45">
        <f t="shared" si="37"/>
        <v>-4.9462673469702914E-2</v>
      </c>
      <c r="CP26" s="45">
        <f t="shared" si="37"/>
        <v>3.1799259956974871E-2</v>
      </c>
      <c r="CU26" s="23">
        <v>25</v>
      </c>
      <c r="CV26" s="24">
        <f t="shared" si="7"/>
        <v>-0.12970418278175144</v>
      </c>
      <c r="CW26" s="24">
        <f t="shared" si="8"/>
        <v>-0.67623896836348774</v>
      </c>
      <c r="CX26" s="24">
        <f t="shared" si="9"/>
        <v>0.55819302771406198</v>
      </c>
      <c r="CY26" s="24">
        <f t="shared" si="10"/>
        <v>-0.16519275080423099</v>
      </c>
      <c r="CZ26" s="24">
        <f t="shared" si="11"/>
        <v>0.10207410172428373</v>
      </c>
      <c r="DA26" s="24">
        <f t="shared" si="12"/>
        <v>0.63302989708734947</v>
      </c>
      <c r="DB26" s="24">
        <f t="shared" si="13"/>
        <v>0.71254427566661649</v>
      </c>
      <c r="DC26" s="24">
        <f t="shared" si="14"/>
        <v>-0.93018359938756257</v>
      </c>
      <c r="DF26" s="18">
        <v>25</v>
      </c>
      <c r="DG26" s="19">
        <f t="shared" si="36"/>
        <v>-0.15281148063019756</v>
      </c>
      <c r="DH26" s="19">
        <f t="shared" si="15"/>
        <v>-8.5441938710315302E-2</v>
      </c>
      <c r="DI26" s="19">
        <f t="shared" si="16"/>
        <v>-4.9462673469702914E-2</v>
      </c>
      <c r="DJ26" s="19">
        <f t="shared" si="17"/>
        <v>1.7925276393421105E-2</v>
      </c>
      <c r="DK26" s="19">
        <f t="shared" si="18"/>
        <v>-9.9637593396956894E-2</v>
      </c>
      <c r="DL26" s="19">
        <f t="shared" si="19"/>
        <v>-2.8154707495789553E-2</v>
      </c>
      <c r="DM26" s="19">
        <f t="shared" si="20"/>
        <v>-0.16589552818107611</v>
      </c>
      <c r="DN26" s="19">
        <f t="shared" si="21"/>
        <v>-9.4568781234444385E-2</v>
      </c>
      <c r="DO26" s="19">
        <f t="shared" si="22"/>
        <v>-0.17136578912552103</v>
      </c>
      <c r="DP26" s="19">
        <f t="shared" si="23"/>
        <v>-0.10888999503474939</v>
      </c>
      <c r="DQ26" s="19">
        <f t="shared" si="24"/>
        <v>3.1799259956974871E-2</v>
      </c>
      <c r="DR26" s="19">
        <f t="shared" si="25"/>
        <v>0.10056079978311802</v>
      </c>
      <c r="DS26" s="19">
        <f t="shared" si="26"/>
        <v>-6.8865163517008054E-2</v>
      </c>
      <c r="DT26" s="19">
        <f t="shared" si="27"/>
        <v>6.8865163517008054E-2</v>
      </c>
      <c r="DX26">
        <v>25</v>
      </c>
      <c r="DY26" s="9">
        <f t="shared" si="4"/>
        <v>1.6427278750541792</v>
      </c>
      <c r="EM26" s="11">
        <v>25</v>
      </c>
      <c r="EN26" s="8">
        <f t="shared" si="28"/>
        <v>-0.12970418278175144</v>
      </c>
      <c r="EO26" s="8">
        <f t="shared" si="5"/>
        <v>-0.67623896836348774</v>
      </c>
      <c r="EP26" s="8">
        <f t="shared" si="29"/>
        <v>0.55819302771406198</v>
      </c>
      <c r="EQ26" s="8">
        <f t="shared" si="30"/>
        <v>-0.16519275080423099</v>
      </c>
      <c r="ER26" s="8">
        <f t="shared" si="31"/>
        <v>0.10207410172428373</v>
      </c>
      <c r="ES26" s="8">
        <f t="shared" si="32"/>
        <v>0.63302989708734947</v>
      </c>
      <c r="ET26" s="8">
        <f t="shared" si="33"/>
        <v>0.71254427566661649</v>
      </c>
      <c r="EU26" s="8">
        <f t="shared" si="34"/>
        <v>-0.93018359938756257</v>
      </c>
      <c r="EW26" s="50"/>
      <c r="EX26" s="51"/>
      <c r="EY26" s="48"/>
      <c r="EZ26" s="48"/>
      <c r="FA26" s="48"/>
      <c r="FB26" s="48"/>
      <c r="FK26" s="10"/>
      <c r="FL26" s="10"/>
    </row>
    <row r="27" spans="1:168" ht="18.600000000000001" thickBot="1" x14ac:dyDescent="0.4">
      <c r="A27" s="12" t="s">
        <v>50</v>
      </c>
      <c r="B27" s="13">
        <v>25</v>
      </c>
      <c r="C27" s="30">
        <f>RTD("fxbluelabs.excelrtd", , "21422436","@bh,AUDUSD,h1,close,25")</f>
        <v>0.66968000000000005</v>
      </c>
      <c r="D27" s="31">
        <f>RTD("fxbluelabs.excelrtd", , "21422436","@bh,AUDNZD,h1,close,25")</f>
        <v>1.10259</v>
      </c>
      <c r="E27" s="32">
        <f>RTD("fxbluelabs.excelrtd", , "21422436","@bh,AUDJPY,h1,close,25")</f>
        <v>97.918000000000006</v>
      </c>
      <c r="F27" s="31">
        <f>RTD("fxbluelabs.excelrtd", , "21422436","@bh,AUDCHF,h1,close,25")</f>
        <v>0.57952000000000004</v>
      </c>
      <c r="G27" s="31">
        <f>RTD("fxbluelabs.excelrtd", , "21422436","@bh,AUDCAD,h1,close,25")</f>
        <v>0.91559000000000001</v>
      </c>
      <c r="H27" s="31">
        <f>RTD("fxbluelabs.excelrtd", , "21422436","@bh,EURUSD,h1,close,25")</f>
        <v>1.1039000000000001</v>
      </c>
      <c r="I27" s="31">
        <f>RTD("fxbluelabs.excelrtd", , "21422436","@bh,EURCAD,h1,close,25")</f>
        <v>1.5092399999999999</v>
      </c>
      <c r="J27" s="31">
        <f>RTD("fxbluelabs.excelrtd", , "21422436","@bh,EURGBP,h1,close,25")</f>
        <v>0.85236000000000001</v>
      </c>
      <c r="K27" s="31">
        <f>RTD("fxbluelabs.excelrtd", , "21422436","@bh,EURCHF,h1,close,25")</f>
        <v>0.95526</v>
      </c>
      <c r="L27" s="32">
        <f>RTD("fxbluelabs.excelrtd", , "21422436","@bh,EURJPY,h1,close,25")</f>
        <v>161.40799999999999</v>
      </c>
      <c r="M27" s="31">
        <f>RTD("fxbluelabs.excelrtd", , "21422436","@bh,EURAUD,h1,close,25")</f>
        <v>1.64838</v>
      </c>
      <c r="N27" s="31">
        <f>RTD("fxbluelabs.excelrtd", , "21422436","@bh,EURNZD,h1,close,25")</f>
        <v>1.8174999999999999</v>
      </c>
      <c r="O27" s="31">
        <f>RTD("fxbluelabs.excelrtd", , "21422436","@bh,GBPUSD,h1,close,25")</f>
        <v>1.29508</v>
      </c>
      <c r="P27" s="31">
        <f>RTD("fxbluelabs.excelrtd", , "21422436","@bh,GBPAUD,h1,close,25")</f>
        <v>1.93387</v>
      </c>
      <c r="Q27" s="31">
        <f>RTD("fxbluelabs.excelrtd", , "21422436","@bh,GBPNZD,h1,close,25")</f>
        <v>2.1322700000000001</v>
      </c>
      <c r="R27" s="31">
        <f>RTD("fxbluelabs.excelrtd", , "21422436","@bh,GBPCAD,h1,close,25")</f>
        <v>1.7706299999999999</v>
      </c>
      <c r="S27" s="31">
        <f>RTD("fxbluelabs.excelrtd", , "21422436","@bh,GBPCHF,h1,close,25")</f>
        <v>1.1207199999999999</v>
      </c>
      <c r="T27" s="32">
        <f>RTD("fxbluelabs.excelrtd", , "21422436","@bh,GBPJPY,h1,close,25")</f>
        <v>189.36199999999999</v>
      </c>
      <c r="U27" s="32">
        <f>RTD("fxbluelabs.excelrtd", , "21422436","@bh,NZDJPY,h1,close,25")</f>
        <v>88.804000000000002</v>
      </c>
      <c r="V27" s="31">
        <f>RTD("fxbluelabs.excelrtd", , "21422436","@bh,NZDCHF,h1,close,25")</f>
        <v>0.52558000000000005</v>
      </c>
      <c r="W27" s="31">
        <f>RTD("fxbluelabs.excelrtd", , "21422436","@bh,NZDUSD,h1,close,25")</f>
        <v>0.60733999999999999</v>
      </c>
      <c r="X27" s="31">
        <f>RTD("fxbluelabs.excelrtd", , "21422436","@bh,NZDCAD,h1,close,25")</f>
        <v>0.83035000000000003</v>
      </c>
      <c r="Y27" s="32">
        <f>RTD("fxbluelabs.excelrtd", , "21422436","@bh,CADJPY,h1,close,25")</f>
        <v>106.94499999999999</v>
      </c>
      <c r="Z27" s="31">
        <f>RTD("fxbluelabs.excelrtd", , "21422436","@bh,CADCHF,h1,close,25")</f>
        <v>0.63295000000000001</v>
      </c>
      <c r="AA27" s="32">
        <f>RTD("fxbluelabs.excelrtd", , "21422436","@bh,CHFJPY,h1,close,25")</f>
        <v>168.96299999999999</v>
      </c>
      <c r="AB27" s="31">
        <f>RTD("fxbluelabs.excelrtd", , "21422436","@bh,USDCAD,h1,close,25")</f>
        <v>1.3672500000000001</v>
      </c>
      <c r="AC27" s="31">
        <f>RTD("fxbluelabs.excelrtd", , "21422436","@bh,USDCHF,h1,close,25")</f>
        <v>0.86536999999999997</v>
      </c>
      <c r="AD27" s="33">
        <f>RTD("fxbluelabs.excelrtd", , "21422436","@bh,USDJPY,h1,close,25")</f>
        <v>146.21799999999999</v>
      </c>
      <c r="AH27" s="23">
        <v>26</v>
      </c>
      <c r="AI27" s="42">
        <f t="shared" si="40"/>
        <v>-2.687128653747917E-2</v>
      </c>
      <c r="AJ27" s="42">
        <f t="shared" si="40"/>
        <v>2.9938490011425747E-2</v>
      </c>
      <c r="AK27" s="42">
        <f t="shared" si="40"/>
        <v>9.3021354022926384E-2</v>
      </c>
      <c r="AL27" s="42">
        <f t="shared" si="40"/>
        <v>0.13304535637149864</v>
      </c>
      <c r="AM27" s="42">
        <f t="shared" si="40"/>
        <v>-4.6942206502033852E-2</v>
      </c>
      <c r="AN27" s="42">
        <f t="shared" si="40"/>
        <v>-3.0790407882345047E-2</v>
      </c>
      <c r="AO27" s="42">
        <f t="shared" si="40"/>
        <v>-4.9669203107307228E-2</v>
      </c>
      <c r="AP27" s="42">
        <f t="shared" si="40"/>
        <v>1.7601295455343575E-2</v>
      </c>
      <c r="AQ27" s="42">
        <f t="shared" si="40"/>
        <v>0.12577825294006445</v>
      </c>
      <c r="AR27" s="42">
        <f t="shared" si="40"/>
        <v>8.9915231640228577E-2</v>
      </c>
      <c r="AS27" s="42">
        <f t="shared" si="40"/>
        <v>-3.0331891557485312E-3</v>
      </c>
      <c r="AT27" s="42">
        <f t="shared" si="40"/>
        <v>2.6967380476710608E-2</v>
      </c>
      <c r="AU27" s="42">
        <f t="shared" si="40"/>
        <v>-4.9393387460251743E-2</v>
      </c>
      <c r="AV27" s="42">
        <f t="shared" si="40"/>
        <v>-2.1196517567261278E-2</v>
      </c>
      <c r="AW27" s="42">
        <f t="shared" si="40"/>
        <v>8.9114854977258105E-3</v>
      </c>
      <c r="AX27" s="42">
        <f t="shared" si="39"/>
        <v>-6.8290590572520959E-2</v>
      </c>
      <c r="AY27" s="42">
        <f t="shared" si="39"/>
        <v>0.11165998195574454</v>
      </c>
      <c r="AZ27" s="42">
        <f t="shared" si="39"/>
        <v>7.2400581318536383E-2</v>
      </c>
      <c r="BA27" s="42">
        <f t="shared" si="39"/>
        <v>6.1972529267943104E-2</v>
      </c>
      <c r="BB27" s="42">
        <f t="shared" si="39"/>
        <v>0.10284930671950633</v>
      </c>
      <c r="BC27" s="42">
        <f t="shared" si="39"/>
        <v>-5.9239756458783439E-2</v>
      </c>
      <c r="BD27" s="42">
        <f t="shared" si="39"/>
        <v>-7.8219013237055171E-2</v>
      </c>
      <c r="BE27" s="42">
        <f t="shared" si="39"/>
        <v>0.14045601385831871</v>
      </c>
      <c r="BF27" s="42">
        <f t="shared" si="39"/>
        <v>0.18201962646406841</v>
      </c>
      <c r="BG27" s="42">
        <f t="shared" si="39"/>
        <v>-3.3723819666321361E-2</v>
      </c>
      <c r="BH27" s="42">
        <f t="shared" si="39"/>
        <v>-2.1205961068773233E-2</v>
      </c>
      <c r="BI27" s="42">
        <f t="shared" si="39"/>
        <v>0.15624638318557005</v>
      </c>
      <c r="BJ27" s="42">
        <f t="shared" si="39"/>
        <v>0.12119884142123959</v>
      </c>
      <c r="BN27" s="26">
        <v>26</v>
      </c>
      <c r="BO27" s="46">
        <f t="shared" si="6"/>
        <v>0.10467225736517741</v>
      </c>
      <c r="BP27" s="46">
        <f t="shared" si="2"/>
        <v>3.084572521215748E-2</v>
      </c>
      <c r="BQ27" s="46">
        <f t="shared" si="42"/>
        <v>1.233171293861314E-2</v>
      </c>
      <c r="BR27" s="46">
        <f t="shared" si="42"/>
        <v>0.11576972365145217</v>
      </c>
      <c r="BS27" s="46">
        <f t="shared" si="42"/>
        <v>2.4067330625021706E-2</v>
      </c>
      <c r="BT27" s="46">
        <f t="shared" si="42"/>
        <v>1.8135930796662567E-2</v>
      </c>
      <c r="BU27" s="46">
        <f t="shared" si="42"/>
        <v>-6.092628844925798E-2</v>
      </c>
      <c r="BV27" s="46">
        <f t="shared" si="42"/>
        <v>1.1734541178480353E-2</v>
      </c>
      <c r="BW27" s="46">
        <f t="shared" si="42"/>
        <v>3.0487301391851795E-2</v>
      </c>
      <c r="BX27" s="46">
        <f t="shared" si="42"/>
        <v>-7.0434442088419008E-2</v>
      </c>
      <c r="BY27" s="46">
        <f t="shared" si="42"/>
        <v>-8.4862281519576574E-2</v>
      </c>
      <c r="BZ27" s="46">
        <f t="shared" si="42"/>
        <v>-5.3869362297478955E-2</v>
      </c>
      <c r="CA27" s="46">
        <f t="shared" si="42"/>
        <v>9.2956840168496174E-3</v>
      </c>
      <c r="CB27" s="46">
        <f t="shared" si="42"/>
        <v>-9.3522521865495895E-2</v>
      </c>
      <c r="CC27" s="46">
        <f t="shared" si="42"/>
        <v>-6.2797964682944935E-2</v>
      </c>
      <c r="CD27" s="46">
        <f t="shared" si="41"/>
        <v>-6.9419347923548078E-2</v>
      </c>
      <c r="CE27" s="46">
        <f t="shared" si="41"/>
        <v>2.1520041930045253E-2</v>
      </c>
      <c r="CF27" s="46">
        <f t="shared" si="41"/>
        <v>-8.1675306332704201E-2</v>
      </c>
      <c r="CG27" s="46">
        <f t="shared" si="41"/>
        <v>-2.0214316333380326E-2</v>
      </c>
      <c r="CH27" s="46">
        <f t="shared" si="41"/>
        <v>8.3806765682811354E-2</v>
      </c>
      <c r="CI27" s="46">
        <f t="shared" si="41"/>
        <v>7.0927813691662012E-2</v>
      </c>
      <c r="CJ27" s="46">
        <f t="shared" si="41"/>
        <v>-8.3748380004382977E-3</v>
      </c>
      <c r="CK27" s="46">
        <f t="shared" si="41"/>
        <v>-1.1940253835539344E-2</v>
      </c>
      <c r="CL27" s="46">
        <f t="shared" si="41"/>
        <v>9.3462475474125201E-2</v>
      </c>
      <c r="CM27" s="46">
        <f t="shared" si="41"/>
        <v>-0.10348933658150009</v>
      </c>
      <c r="CN27" s="46">
        <f t="shared" si="41"/>
        <v>-7.8940571871727816E-2</v>
      </c>
      <c r="CO27" s="46">
        <f t="shared" si="41"/>
        <v>1.1782805342818836E-2</v>
      </c>
      <c r="CP27" s="46">
        <f t="shared" si="41"/>
        <v>-9.0620688339405911E-2</v>
      </c>
      <c r="CU27" s="23">
        <v>26</v>
      </c>
      <c r="CV27" s="25">
        <f t="shared" si="7"/>
        <v>-0.2097346009877378</v>
      </c>
      <c r="CW27" s="25">
        <f t="shared" si="8"/>
        <v>-0.36081014073866646</v>
      </c>
      <c r="CX27" s="25">
        <f t="shared" si="9"/>
        <v>0.27511593725853634</v>
      </c>
      <c r="CY27" s="25">
        <f t="shared" si="10"/>
        <v>-0.36685597458047947</v>
      </c>
      <c r="CZ27" s="25">
        <f t="shared" si="11"/>
        <v>-0.28833395603627859</v>
      </c>
      <c r="DA27" s="25">
        <f t="shared" si="12"/>
        <v>0.46607155317749438</v>
      </c>
      <c r="DB27" s="25">
        <f t="shared" si="13"/>
        <v>0.21196702680892116</v>
      </c>
      <c r="DC27" s="25">
        <f t="shared" si="14"/>
        <v>0.36604263057233571</v>
      </c>
      <c r="DF27" s="20">
        <v>26</v>
      </c>
      <c r="DG27" s="21">
        <f t="shared" si="36"/>
        <v>-7.8940571871727816E-2</v>
      </c>
      <c r="DH27" s="21">
        <f t="shared" si="15"/>
        <v>-6.092628844925798E-2</v>
      </c>
      <c r="DI27" s="21">
        <f t="shared" si="16"/>
        <v>1.1782805342818836E-2</v>
      </c>
      <c r="DJ27" s="21">
        <f t="shared" si="17"/>
        <v>3.0487301391851795E-2</v>
      </c>
      <c r="DK27" s="21">
        <f t="shared" si="18"/>
        <v>-9.2956840168496174E-3</v>
      </c>
      <c r="DL27" s="21">
        <f t="shared" si="19"/>
        <v>1.1734541178480353E-2</v>
      </c>
      <c r="DM27" s="21">
        <f t="shared" si="20"/>
        <v>-0.10467225736517741</v>
      </c>
      <c r="DN27" s="21">
        <f t="shared" si="21"/>
        <v>-8.4862281519576574E-2</v>
      </c>
      <c r="DO27" s="21">
        <f t="shared" si="22"/>
        <v>-7.0927813691662012E-2</v>
      </c>
      <c r="DP27" s="21">
        <f t="shared" si="23"/>
        <v>-5.3869362297478955E-2</v>
      </c>
      <c r="DQ27" s="21">
        <f t="shared" si="24"/>
        <v>-9.0620688339405911E-2</v>
      </c>
      <c r="DR27" s="21">
        <f t="shared" si="25"/>
        <v>-7.0434442088419008E-2</v>
      </c>
      <c r="DS27" s="21">
        <f t="shared" si="26"/>
        <v>-1.8135930796662567E-2</v>
      </c>
      <c r="DT27" s="21">
        <f t="shared" si="27"/>
        <v>1.8135930796662567E-2</v>
      </c>
      <c r="DX27">
        <v>26</v>
      </c>
      <c r="DY27" s="9">
        <f t="shared" si="4"/>
        <v>-0.15407560376341456</v>
      </c>
      <c r="EM27" s="7">
        <v>26</v>
      </c>
      <c r="EN27" s="8">
        <f t="shared" si="28"/>
        <v>-0.2097346009877378</v>
      </c>
      <c r="EO27" s="8">
        <f t="shared" si="5"/>
        <v>-0.36081014073866646</v>
      </c>
      <c r="EP27" s="8">
        <f t="shared" si="29"/>
        <v>0.27511593725853634</v>
      </c>
      <c r="EQ27" s="8">
        <f t="shared" si="30"/>
        <v>-0.36685597458047947</v>
      </c>
      <c r="ER27" s="8">
        <f t="shared" si="31"/>
        <v>-0.28833395603627859</v>
      </c>
      <c r="ES27" s="8">
        <f t="shared" si="32"/>
        <v>0.46607155317749438</v>
      </c>
      <c r="ET27" s="8">
        <f t="shared" si="33"/>
        <v>0.21196702680892116</v>
      </c>
      <c r="EU27" s="8">
        <f t="shared" si="34"/>
        <v>0.36604263057233571</v>
      </c>
      <c r="EW27" s="50"/>
      <c r="EX27" s="51"/>
      <c r="EY27" s="48"/>
      <c r="EZ27" s="48"/>
      <c r="FA27" s="48"/>
      <c r="FB27" s="48"/>
      <c r="FK27" s="10"/>
      <c r="FL27" s="10"/>
    </row>
    <row r="28" spans="1:168" ht="18.600000000000001" thickBot="1" x14ac:dyDescent="0.4">
      <c r="A28" s="12" t="s">
        <v>50</v>
      </c>
      <c r="B28" s="13">
        <v>26</v>
      </c>
      <c r="C28" s="30">
        <f>RTD("fxbluelabs.excelrtd", , "21422436","@bh,AUDUSD,h1,close,26")</f>
        <v>0.66986000000000001</v>
      </c>
      <c r="D28" s="31">
        <f>RTD("fxbluelabs.excelrtd", , "21422436","@bh,AUDNZD,h1,close,26")</f>
        <v>1.10226</v>
      </c>
      <c r="E28" s="32">
        <f>RTD("fxbluelabs.excelrtd", , "21422436","@bh,AUDJPY,h1,close,26")</f>
        <v>97.826999999999998</v>
      </c>
      <c r="F28" s="31">
        <f>RTD("fxbluelabs.excelrtd", , "21422436","@bh,AUDCHF,h1,close,26")</f>
        <v>0.57874999999999999</v>
      </c>
      <c r="G28" s="31">
        <f>RTD("fxbluelabs.excelrtd", , "21422436","@bh,AUDCAD,h1,close,26")</f>
        <v>0.91601999999999995</v>
      </c>
      <c r="H28" s="31">
        <f>RTD("fxbluelabs.excelrtd", , "21422436","@bh,EURUSD,h1,close,26")</f>
        <v>1.1042400000000001</v>
      </c>
      <c r="I28" s="31">
        <f>RTD("fxbluelabs.excelrtd", , "21422436","@bh,EURCAD,h1,close,26")</f>
        <v>1.5099899999999999</v>
      </c>
      <c r="J28" s="31">
        <f>RTD("fxbluelabs.excelrtd", , "21422436","@bh,EURGBP,h1,close,26")</f>
        <v>0.85221000000000002</v>
      </c>
      <c r="K28" s="31">
        <f>RTD("fxbluelabs.excelrtd", , "21422436","@bh,EURCHF,h1,close,26")</f>
        <v>0.95406000000000002</v>
      </c>
      <c r="L28" s="32">
        <f>RTD("fxbluelabs.excelrtd", , "21422436","@bh,EURJPY,h1,close,26")</f>
        <v>161.26300000000001</v>
      </c>
      <c r="M28" s="31">
        <f>RTD("fxbluelabs.excelrtd", , "21422436","@bh,EURAUD,h1,close,26")</f>
        <v>1.6484300000000001</v>
      </c>
      <c r="N28" s="31">
        <f>RTD("fxbluelabs.excelrtd", , "21422436","@bh,EURNZD,h1,close,26")</f>
        <v>1.81701</v>
      </c>
      <c r="O28" s="31">
        <f>RTD("fxbluelabs.excelrtd", , "21422436","@bh,GBPUSD,h1,close,26")</f>
        <v>1.29572</v>
      </c>
      <c r="P28" s="31">
        <f>RTD("fxbluelabs.excelrtd", , "21422436","@bh,GBPAUD,h1,close,26")</f>
        <v>1.93428</v>
      </c>
      <c r="Q28" s="31">
        <f>RTD("fxbluelabs.excelrtd", , "21422436","@bh,GBPNZD,h1,close,26")</f>
        <v>2.1320800000000002</v>
      </c>
      <c r="R28" s="31">
        <f>RTD("fxbluelabs.excelrtd", , "21422436","@bh,GBPCAD,h1,close,26")</f>
        <v>1.7718400000000001</v>
      </c>
      <c r="S28" s="31">
        <f>RTD("fxbluelabs.excelrtd", , "21422436","@bh,GBPCHF,h1,close,26")</f>
        <v>1.11947</v>
      </c>
      <c r="T28" s="32">
        <f>RTD("fxbluelabs.excelrtd", , "21422436","@bh,GBPJPY,h1,close,26")</f>
        <v>189.22499999999999</v>
      </c>
      <c r="U28" s="32">
        <f>RTD("fxbluelabs.excelrtd", , "21422436","@bh,NZDJPY,h1,close,26")</f>
        <v>88.748999999999995</v>
      </c>
      <c r="V28" s="31">
        <f>RTD("fxbluelabs.excelrtd", , "21422436","@bh,NZDCHF,h1,close,26")</f>
        <v>0.52503999999999995</v>
      </c>
      <c r="W28" s="31">
        <f>RTD("fxbluelabs.excelrtd", , "21422436","@bh,NZDUSD,h1,close,26")</f>
        <v>0.60770000000000002</v>
      </c>
      <c r="X28" s="31">
        <f>RTD("fxbluelabs.excelrtd", , "21422436","@bh,NZDCAD,h1,close,26")</f>
        <v>0.83099999999999996</v>
      </c>
      <c r="Y28" s="32">
        <f>RTD("fxbluelabs.excelrtd", , "21422436","@bh,CADJPY,h1,close,26")</f>
        <v>106.795</v>
      </c>
      <c r="Z28" s="31">
        <f>RTD("fxbluelabs.excelrtd", , "21422436","@bh,CADCHF,h1,close,26")</f>
        <v>0.63180000000000003</v>
      </c>
      <c r="AA28" s="32">
        <f>RTD("fxbluelabs.excelrtd", , "21422436","@bh,CHFJPY,h1,close,26")</f>
        <v>169.02</v>
      </c>
      <c r="AB28" s="31">
        <f>RTD("fxbluelabs.excelrtd", , "21422436","@bh,USDCAD,h1,close,26")</f>
        <v>1.36754</v>
      </c>
      <c r="AC28" s="31">
        <f>RTD("fxbluelabs.excelrtd", , "21422436","@bh,USDCHF,h1,close,26")</f>
        <v>0.86402000000000001</v>
      </c>
      <c r="AD28" s="33">
        <f>RTD("fxbluelabs.excelrtd", , "21422436","@bh,USDJPY,h1,close,26")</f>
        <v>146.041</v>
      </c>
      <c r="AH28" s="23">
        <v>27</v>
      </c>
      <c r="AI28" s="41">
        <f>IF(C28=0,0,(C28-C29)*100/C29)</f>
        <v>0.13154354390265657</v>
      </c>
      <c r="AJ28" s="41">
        <f t="shared" si="40"/>
        <v>9.0723520073173163E-4</v>
      </c>
      <c r="AK28" s="41">
        <f t="shared" si="40"/>
        <v>-8.0689641084313243E-2</v>
      </c>
      <c r="AL28" s="41">
        <f t="shared" si="40"/>
        <v>-1.7275632720046469E-2</v>
      </c>
      <c r="AM28" s="41">
        <f t="shared" si="40"/>
        <v>7.1009537127055558E-2</v>
      </c>
      <c r="AN28" s="41">
        <f t="shared" si="40"/>
        <v>4.8926338679007614E-2</v>
      </c>
      <c r="AO28" s="41">
        <f t="shared" si="40"/>
        <v>-1.1257085341950752E-2</v>
      </c>
      <c r="AP28" s="41">
        <f t="shared" si="40"/>
        <v>-5.8667542768632217E-3</v>
      </c>
      <c r="AQ28" s="41">
        <f t="shared" si="40"/>
        <v>-9.5290951548212655E-2</v>
      </c>
      <c r="AR28" s="41">
        <f t="shared" si="40"/>
        <v>-0.16034967372864758</v>
      </c>
      <c r="AS28" s="41">
        <f t="shared" si="40"/>
        <v>-8.1829092363828043E-2</v>
      </c>
      <c r="AT28" s="41">
        <f t="shared" si="40"/>
        <v>-8.0836742774189563E-2</v>
      </c>
      <c r="AU28" s="41">
        <f t="shared" si="40"/>
        <v>5.8689071477101361E-2</v>
      </c>
      <c r="AV28" s="41">
        <f t="shared" si="40"/>
        <v>-7.2326004298234617E-2</v>
      </c>
      <c r="AW28" s="41">
        <f t="shared" si="40"/>
        <v>-7.170945018067075E-2</v>
      </c>
      <c r="AX28" s="41">
        <f t="shared" si="39"/>
        <v>-1.1287573510271117E-3</v>
      </c>
      <c r="AY28" s="41">
        <f t="shared" si="39"/>
        <v>-9.0139940025699292E-2</v>
      </c>
      <c r="AZ28" s="41">
        <f t="shared" si="39"/>
        <v>-0.15407588765124058</v>
      </c>
      <c r="BA28" s="41">
        <f t="shared" si="39"/>
        <v>-8.218684560132343E-2</v>
      </c>
      <c r="BB28" s="41">
        <f t="shared" si="39"/>
        <v>-1.9042541036694977E-2</v>
      </c>
      <c r="BC28" s="41">
        <f t="shared" si="39"/>
        <v>0.13016757015044544</v>
      </c>
      <c r="BD28" s="41">
        <f t="shared" si="39"/>
        <v>6.9844175236616873E-2</v>
      </c>
      <c r="BE28" s="41">
        <f t="shared" si="39"/>
        <v>-0.15239626769385806</v>
      </c>
      <c r="BF28" s="41">
        <f t="shared" si="39"/>
        <v>-8.8557150989943212E-2</v>
      </c>
      <c r="BG28" s="41">
        <f t="shared" si="39"/>
        <v>-6.9765516915178724E-2</v>
      </c>
      <c r="BH28" s="41">
        <f t="shared" si="39"/>
        <v>-5.7734610802954577E-2</v>
      </c>
      <c r="BI28" s="41">
        <f t="shared" si="39"/>
        <v>-0.14446357784275121</v>
      </c>
      <c r="BJ28" s="41">
        <f t="shared" si="39"/>
        <v>-0.2118195297606455</v>
      </c>
      <c r="BN28" s="26">
        <v>27</v>
      </c>
      <c r="BO28" s="45">
        <f t="shared" si="6"/>
        <v>0.13154354390265657</v>
      </c>
      <c r="BP28" s="45">
        <f t="shared" si="2"/>
        <v>9.0723520073173163E-4</v>
      </c>
      <c r="BQ28" s="45">
        <f t="shared" si="42"/>
        <v>-8.0689641084313243E-2</v>
      </c>
      <c r="BR28" s="45">
        <f t="shared" si="42"/>
        <v>-1.7275632720046469E-2</v>
      </c>
      <c r="BS28" s="45">
        <f t="shared" si="42"/>
        <v>7.1009537127055558E-2</v>
      </c>
      <c r="BT28" s="45">
        <f t="shared" si="42"/>
        <v>4.8926338679007614E-2</v>
      </c>
      <c r="BU28" s="45">
        <f t="shared" si="42"/>
        <v>-1.1257085341950752E-2</v>
      </c>
      <c r="BV28" s="45">
        <f t="shared" si="42"/>
        <v>-5.8667542768632217E-3</v>
      </c>
      <c r="BW28" s="45">
        <f t="shared" si="42"/>
        <v>-9.5290951548212655E-2</v>
      </c>
      <c r="BX28" s="45">
        <f t="shared" si="42"/>
        <v>-0.16034967372864758</v>
      </c>
      <c r="BY28" s="45">
        <f t="shared" si="42"/>
        <v>-8.1829092363828043E-2</v>
      </c>
      <c r="BZ28" s="45">
        <f t="shared" si="42"/>
        <v>-8.0836742774189563E-2</v>
      </c>
      <c r="CA28" s="45">
        <f t="shared" si="42"/>
        <v>5.8689071477101361E-2</v>
      </c>
      <c r="CB28" s="45">
        <f t="shared" si="42"/>
        <v>-7.2326004298234617E-2</v>
      </c>
      <c r="CC28" s="45">
        <f t="shared" si="42"/>
        <v>-7.170945018067075E-2</v>
      </c>
      <c r="CD28" s="45">
        <f t="shared" si="41"/>
        <v>-1.1287573510271117E-3</v>
      </c>
      <c r="CE28" s="45">
        <f t="shared" si="41"/>
        <v>-9.0139940025699292E-2</v>
      </c>
      <c r="CF28" s="45">
        <f t="shared" si="41"/>
        <v>-0.15407588765124058</v>
      </c>
      <c r="CG28" s="45">
        <f t="shared" si="41"/>
        <v>-8.218684560132343E-2</v>
      </c>
      <c r="CH28" s="45">
        <f t="shared" si="41"/>
        <v>-1.9042541036694977E-2</v>
      </c>
      <c r="CI28" s="45">
        <f t="shared" si="41"/>
        <v>0.13016757015044544</v>
      </c>
      <c r="CJ28" s="45">
        <f t="shared" si="41"/>
        <v>6.9844175236616873E-2</v>
      </c>
      <c r="CK28" s="45">
        <f t="shared" si="41"/>
        <v>-0.15239626769385806</v>
      </c>
      <c r="CL28" s="45">
        <f t="shared" si="41"/>
        <v>-8.8557150989943212E-2</v>
      </c>
      <c r="CM28" s="45">
        <f t="shared" si="41"/>
        <v>-6.9765516915178724E-2</v>
      </c>
      <c r="CN28" s="45">
        <f t="shared" si="41"/>
        <v>-5.7734610802954577E-2</v>
      </c>
      <c r="CO28" s="45">
        <f t="shared" si="41"/>
        <v>-0.14446357784275121</v>
      </c>
      <c r="CP28" s="45">
        <f t="shared" si="41"/>
        <v>-0.2118195297606455</v>
      </c>
      <c r="CU28" s="23">
        <v>27</v>
      </c>
      <c r="CV28" s="24">
        <f t="shared" si="7"/>
        <v>-0.38650396135468418</v>
      </c>
      <c r="CW28" s="24">
        <f t="shared" si="8"/>
        <v>-0.78334424261556224</v>
      </c>
      <c r="CX28" s="24">
        <f t="shared" si="9"/>
        <v>-0.31168667755154122</v>
      </c>
      <c r="CY28" s="24">
        <f t="shared" si="10"/>
        <v>0.29644712625822583</v>
      </c>
      <c r="CZ28" s="24">
        <f t="shared" si="11"/>
        <v>-0.32482421375290776</v>
      </c>
      <c r="DA28" s="24">
        <f t="shared" si="12"/>
        <v>0.25965013908814683</v>
      </c>
      <c r="DB28" s="24">
        <f t="shared" si="13"/>
        <v>0.25042131650317251</v>
      </c>
      <c r="DC28" s="24">
        <f t="shared" si="14"/>
        <v>0.91128336243520724</v>
      </c>
      <c r="DF28" s="18">
        <v>27</v>
      </c>
      <c r="DG28" s="19">
        <f t="shared" si="36"/>
        <v>-5.7734610802954577E-2</v>
      </c>
      <c r="DH28" s="19">
        <f t="shared" si="15"/>
        <v>-1.1257085341950752E-2</v>
      </c>
      <c r="DI28" s="19">
        <f t="shared" si="16"/>
        <v>-0.14446357784275121</v>
      </c>
      <c r="DJ28" s="19">
        <f t="shared" si="17"/>
        <v>-9.5290951548212655E-2</v>
      </c>
      <c r="DK28" s="19">
        <f t="shared" si="18"/>
        <v>-5.8689071477101361E-2</v>
      </c>
      <c r="DL28" s="19">
        <f t="shared" si="19"/>
        <v>-5.8667542768632217E-3</v>
      </c>
      <c r="DM28" s="19">
        <f t="shared" si="20"/>
        <v>-0.13154354390265657</v>
      </c>
      <c r="DN28" s="19">
        <f t="shared" si="21"/>
        <v>-8.1829092363828043E-2</v>
      </c>
      <c r="DO28" s="19">
        <f t="shared" si="22"/>
        <v>-0.13016757015044544</v>
      </c>
      <c r="DP28" s="19">
        <f t="shared" si="23"/>
        <v>-8.0836742774189563E-2</v>
      </c>
      <c r="DQ28" s="19">
        <f t="shared" si="24"/>
        <v>-0.2118195297606455</v>
      </c>
      <c r="DR28" s="19">
        <f t="shared" si="25"/>
        <v>-0.16034967372864758</v>
      </c>
      <c r="DS28" s="19">
        <f t="shared" si="26"/>
        <v>-4.8926338679007614E-2</v>
      </c>
      <c r="DT28" s="19">
        <f t="shared" si="27"/>
        <v>4.8926338679007614E-2</v>
      </c>
      <c r="DX28">
        <v>27</v>
      </c>
      <c r="DY28" s="9">
        <f t="shared" si="4"/>
        <v>-0.66086204593203468</v>
      </c>
      <c r="EM28" s="11">
        <v>27</v>
      </c>
      <c r="EN28" s="8">
        <f t="shared" si="28"/>
        <v>-0.38650396135468418</v>
      </c>
      <c r="EO28" s="8">
        <f t="shared" si="5"/>
        <v>-0.78334424261556224</v>
      </c>
      <c r="EP28" s="8">
        <f t="shared" si="29"/>
        <v>-0.31168667755154122</v>
      </c>
      <c r="EQ28" s="8">
        <f t="shared" si="30"/>
        <v>0.29644712625822583</v>
      </c>
      <c r="ER28" s="8">
        <f t="shared" si="31"/>
        <v>-0.32482421375290776</v>
      </c>
      <c r="ES28" s="8">
        <f t="shared" si="32"/>
        <v>0.25965013908814683</v>
      </c>
      <c r="ET28" s="8">
        <f t="shared" si="33"/>
        <v>0.25042131650317251</v>
      </c>
      <c r="EU28" s="8">
        <f t="shared" si="34"/>
        <v>0.91128336243520724</v>
      </c>
      <c r="EW28" s="50"/>
      <c r="EX28" s="51"/>
      <c r="EY28" s="48"/>
      <c r="EZ28" s="48"/>
      <c r="FA28" s="48"/>
      <c r="FB28" s="48"/>
      <c r="FK28" s="10"/>
      <c r="FL28" s="10"/>
    </row>
    <row r="29" spans="1:168" ht="18.600000000000001" thickBot="1" x14ac:dyDescent="0.4">
      <c r="A29" s="12" t="s">
        <v>50</v>
      </c>
      <c r="B29" s="13">
        <v>27</v>
      </c>
      <c r="C29" s="30">
        <f>RTD("fxbluelabs.excelrtd", , "21422436","@bh,AUDUSD,h1,close,27")</f>
        <v>0.66898000000000002</v>
      </c>
      <c r="D29" s="31">
        <f>RTD("fxbluelabs.excelrtd", , "21422436","@bh,AUDNZD,h1,close,27")</f>
        <v>1.10225</v>
      </c>
      <c r="E29" s="32">
        <f>RTD("fxbluelabs.excelrtd", , "21422436","@bh,AUDJPY,h1,close,27")</f>
        <v>97.906000000000006</v>
      </c>
      <c r="F29" s="31">
        <f>RTD("fxbluelabs.excelrtd", , "21422436","@bh,AUDCHF,h1,close,27")</f>
        <v>0.57884999999999998</v>
      </c>
      <c r="G29" s="31">
        <f>RTD("fxbluelabs.excelrtd", , "21422436","@bh,AUDCAD,h1,close,27")</f>
        <v>0.91537000000000002</v>
      </c>
      <c r="H29" s="31">
        <f>RTD("fxbluelabs.excelrtd", , "21422436","@bh,EURUSD,h1,close,27")</f>
        <v>1.1036999999999999</v>
      </c>
      <c r="I29" s="31">
        <f>RTD("fxbluelabs.excelrtd", , "21422436","@bh,EURCAD,h1,close,27")</f>
        <v>1.5101599999999999</v>
      </c>
      <c r="J29" s="31">
        <f>RTD("fxbluelabs.excelrtd", , "21422436","@bh,EURGBP,h1,close,27")</f>
        <v>0.85226000000000002</v>
      </c>
      <c r="K29" s="31">
        <f>RTD("fxbluelabs.excelrtd", , "21422436","@bh,EURCHF,h1,close,27")</f>
        <v>0.95496999999999999</v>
      </c>
      <c r="L29" s="32">
        <f>RTD("fxbluelabs.excelrtd", , "21422436","@bh,EURJPY,h1,close,27")</f>
        <v>161.52199999999999</v>
      </c>
      <c r="M29" s="31">
        <f>RTD("fxbluelabs.excelrtd", , "21422436","@bh,EURAUD,h1,close,27")</f>
        <v>1.64978</v>
      </c>
      <c r="N29" s="31">
        <f>RTD("fxbluelabs.excelrtd", , "21422436","@bh,EURNZD,h1,close,27")</f>
        <v>1.8184800000000001</v>
      </c>
      <c r="O29" s="31">
        <f>RTD("fxbluelabs.excelrtd", , "21422436","@bh,GBPUSD,h1,close,27")</f>
        <v>1.2949600000000001</v>
      </c>
      <c r="P29" s="31">
        <f>RTD("fxbluelabs.excelrtd", , "21422436","@bh,GBPAUD,h1,close,27")</f>
        <v>1.9356800000000001</v>
      </c>
      <c r="Q29" s="31">
        <f>RTD("fxbluelabs.excelrtd", , "21422436","@bh,GBPNZD,h1,close,27")</f>
        <v>2.13361</v>
      </c>
      <c r="R29" s="31">
        <f>RTD("fxbluelabs.excelrtd", , "21422436","@bh,GBPCAD,h1,close,27")</f>
        <v>1.77186</v>
      </c>
      <c r="S29" s="31">
        <f>RTD("fxbluelabs.excelrtd", , "21422436","@bh,GBPCHF,h1,close,27")</f>
        <v>1.1204799999999999</v>
      </c>
      <c r="T29" s="32">
        <f>RTD("fxbluelabs.excelrtd", , "21422436","@bh,GBPJPY,h1,close,27")</f>
        <v>189.517</v>
      </c>
      <c r="U29" s="32">
        <f>RTD("fxbluelabs.excelrtd", , "21422436","@bh,NZDJPY,h1,close,27")</f>
        <v>88.822000000000003</v>
      </c>
      <c r="V29" s="31">
        <f>RTD("fxbluelabs.excelrtd", , "21422436","@bh,NZDCHF,h1,close,27")</f>
        <v>0.52514000000000005</v>
      </c>
      <c r="W29" s="31">
        <f>RTD("fxbluelabs.excelrtd", , "21422436","@bh,NZDUSD,h1,close,27")</f>
        <v>0.60690999999999995</v>
      </c>
      <c r="X29" s="31">
        <f>RTD("fxbluelabs.excelrtd", , "21422436","@bh,NZDCAD,h1,close,27")</f>
        <v>0.83042000000000005</v>
      </c>
      <c r="Y29" s="32">
        <f>RTD("fxbluelabs.excelrtd", , "21422436","@bh,CADJPY,h1,close,27")</f>
        <v>106.958</v>
      </c>
      <c r="Z29" s="31">
        <f>RTD("fxbluelabs.excelrtd", , "21422436","@bh,CADCHF,h1,close,27")</f>
        <v>0.63236000000000003</v>
      </c>
      <c r="AA29" s="32">
        <f>RTD("fxbluelabs.excelrtd", , "21422436","@bh,CHFJPY,h1,close,27")</f>
        <v>169.13800000000001</v>
      </c>
      <c r="AB29" s="31">
        <f>RTD("fxbluelabs.excelrtd", , "21422436","@bh,USDCAD,h1,close,27")</f>
        <v>1.36833</v>
      </c>
      <c r="AC29" s="31">
        <f>RTD("fxbluelabs.excelrtd", , "21422436","@bh,USDCHF,h1,close,27")</f>
        <v>0.86526999999999998</v>
      </c>
      <c r="AD29" s="33">
        <f>RTD("fxbluelabs.excelrtd", , "21422436","@bh,USDJPY,h1,close,27")</f>
        <v>146.351</v>
      </c>
      <c r="AH29" s="23">
        <v>28</v>
      </c>
      <c r="AI29" s="42">
        <f>0</f>
        <v>0</v>
      </c>
      <c r="AJ29" s="42">
        <f>0</f>
        <v>0</v>
      </c>
      <c r="AK29" s="42">
        <f>0</f>
        <v>0</v>
      </c>
      <c r="AL29" s="42">
        <f>0</f>
        <v>0</v>
      </c>
      <c r="AM29" s="42">
        <f>0</f>
        <v>0</v>
      </c>
      <c r="AN29" s="42">
        <f>0</f>
        <v>0</v>
      </c>
      <c r="AO29" s="42">
        <f>0</f>
        <v>0</v>
      </c>
      <c r="AP29" s="42">
        <f>0</f>
        <v>0</v>
      </c>
      <c r="AQ29" s="42">
        <f>0</f>
        <v>0</v>
      </c>
      <c r="AR29" s="42">
        <f>0</f>
        <v>0</v>
      </c>
      <c r="AS29" s="42">
        <f>0</f>
        <v>0</v>
      </c>
      <c r="AT29" s="42">
        <f>0</f>
        <v>0</v>
      </c>
      <c r="AU29" s="42">
        <f>0</f>
        <v>0</v>
      </c>
      <c r="AV29" s="42">
        <f>0</f>
        <v>0</v>
      </c>
      <c r="AW29" s="42">
        <f>0</f>
        <v>0</v>
      </c>
      <c r="AX29" s="42">
        <f>0</f>
        <v>0</v>
      </c>
      <c r="AY29" s="42">
        <f>0</f>
        <v>0</v>
      </c>
      <c r="AZ29" s="42">
        <f>0</f>
        <v>0</v>
      </c>
      <c r="BA29" s="42">
        <f>0</f>
        <v>0</v>
      </c>
      <c r="BB29" s="42">
        <f>0</f>
        <v>0</v>
      </c>
      <c r="BC29" s="42">
        <f>0</f>
        <v>0</v>
      </c>
      <c r="BD29" s="42">
        <f>0</f>
        <v>0</v>
      </c>
      <c r="BE29" s="42">
        <f>0</f>
        <v>0</v>
      </c>
      <c r="BF29" s="42">
        <f>0</f>
        <v>0</v>
      </c>
      <c r="BG29" s="42">
        <f>0</f>
        <v>0</v>
      </c>
      <c r="BH29" s="42">
        <f>0</f>
        <v>0</v>
      </c>
      <c r="BI29" s="42">
        <f>0</f>
        <v>0</v>
      </c>
      <c r="BJ29" s="42">
        <f>0</f>
        <v>0</v>
      </c>
      <c r="BN29" s="26">
        <v>28</v>
      </c>
      <c r="BO29" s="46">
        <f t="shared" ref="BO29:BO37" si="43">AI29+SUM(AI30:AI130)</f>
        <v>0</v>
      </c>
      <c r="BP29" s="46">
        <f t="shared" ref="BP29:BP37" si="44">AJ29+SUM(AJ30:AJ130)</f>
        <v>0</v>
      </c>
      <c r="BQ29" s="46">
        <f t="shared" ref="BQ29:CP37" si="45">AK29+SUM(AK30:AK130)</f>
        <v>0</v>
      </c>
      <c r="BR29" s="46">
        <f t="shared" si="45"/>
        <v>0</v>
      </c>
      <c r="BS29" s="46">
        <f t="shared" si="45"/>
        <v>0</v>
      </c>
      <c r="BT29" s="46">
        <f t="shared" si="45"/>
        <v>0</v>
      </c>
      <c r="BU29" s="46">
        <f t="shared" si="45"/>
        <v>0</v>
      </c>
      <c r="BV29" s="46">
        <f t="shared" si="45"/>
        <v>0</v>
      </c>
      <c r="BW29" s="46">
        <f t="shared" si="45"/>
        <v>0</v>
      </c>
      <c r="BX29" s="46">
        <f t="shared" si="45"/>
        <v>0</v>
      </c>
      <c r="BY29" s="46">
        <f t="shared" si="45"/>
        <v>0</v>
      </c>
      <c r="BZ29" s="46">
        <f t="shared" si="45"/>
        <v>0</v>
      </c>
      <c r="CA29" s="46">
        <f t="shared" si="45"/>
        <v>0</v>
      </c>
      <c r="CB29" s="46">
        <f t="shared" si="45"/>
        <v>0</v>
      </c>
      <c r="CC29" s="46">
        <f t="shared" si="45"/>
        <v>0</v>
      </c>
      <c r="CD29" s="46">
        <f t="shared" si="45"/>
        <v>0</v>
      </c>
      <c r="CE29" s="46">
        <f t="shared" si="45"/>
        <v>0</v>
      </c>
      <c r="CF29" s="46">
        <f t="shared" si="45"/>
        <v>0</v>
      </c>
      <c r="CG29" s="46">
        <f t="shared" si="45"/>
        <v>0</v>
      </c>
      <c r="CH29" s="46">
        <f t="shared" si="45"/>
        <v>0</v>
      </c>
      <c r="CI29" s="46">
        <f t="shared" si="45"/>
        <v>0</v>
      </c>
      <c r="CJ29" s="46">
        <f t="shared" si="45"/>
        <v>0</v>
      </c>
      <c r="CK29" s="46">
        <f t="shared" si="45"/>
        <v>0</v>
      </c>
      <c r="CL29" s="46">
        <f t="shared" si="45"/>
        <v>0</v>
      </c>
      <c r="CM29" s="46">
        <f t="shared" si="45"/>
        <v>0</v>
      </c>
      <c r="CN29" s="46">
        <f t="shared" si="45"/>
        <v>0</v>
      </c>
      <c r="CO29" s="46">
        <f t="shared" si="45"/>
        <v>0</v>
      </c>
      <c r="CP29" s="46">
        <f t="shared" si="45"/>
        <v>0</v>
      </c>
      <c r="CU29" s="23">
        <v>28</v>
      </c>
      <c r="CV29" s="25">
        <f t="shared" si="7"/>
        <v>0</v>
      </c>
      <c r="CW29" s="25">
        <f t="shared" si="8"/>
        <v>0</v>
      </c>
      <c r="CX29" s="25">
        <f t="shared" si="9"/>
        <v>0</v>
      </c>
      <c r="CY29" s="25">
        <f t="shared" si="10"/>
        <v>0</v>
      </c>
      <c r="CZ29" s="25">
        <f t="shared" si="11"/>
        <v>0</v>
      </c>
      <c r="DA29" s="25">
        <f t="shared" si="12"/>
        <v>0</v>
      </c>
      <c r="DB29" s="25">
        <f t="shared" si="13"/>
        <v>0</v>
      </c>
      <c r="DC29" s="25">
        <f t="shared" si="14"/>
        <v>0</v>
      </c>
      <c r="DF29" s="18">
        <v>28</v>
      </c>
      <c r="DG29" s="21">
        <f t="shared" si="36"/>
        <v>0</v>
      </c>
      <c r="DH29" s="21">
        <f t="shared" si="15"/>
        <v>0</v>
      </c>
      <c r="DI29" s="21">
        <f t="shared" si="16"/>
        <v>0</v>
      </c>
      <c r="DJ29" s="21">
        <f t="shared" si="17"/>
        <v>0</v>
      </c>
      <c r="DK29" s="21">
        <f t="shared" si="18"/>
        <v>0</v>
      </c>
      <c r="DL29" s="21">
        <f t="shared" si="19"/>
        <v>0</v>
      </c>
      <c r="DM29" s="21">
        <f t="shared" si="20"/>
        <v>0</v>
      </c>
      <c r="DN29" s="21">
        <f t="shared" si="21"/>
        <v>0</v>
      </c>
      <c r="DO29" s="21">
        <f t="shared" si="22"/>
        <v>0</v>
      </c>
      <c r="DP29" s="21">
        <f t="shared" si="23"/>
        <v>0</v>
      </c>
      <c r="DQ29" s="21">
        <f t="shared" si="24"/>
        <v>0</v>
      </c>
      <c r="DR29" s="21">
        <f t="shared" si="25"/>
        <v>0</v>
      </c>
      <c r="DS29" s="21">
        <f t="shared" si="26"/>
        <v>0</v>
      </c>
      <c r="DT29" s="21">
        <f t="shared" si="27"/>
        <v>0</v>
      </c>
      <c r="DX29">
        <v>28</v>
      </c>
      <c r="DY29" s="9">
        <f t="shared" si="4"/>
        <v>0</v>
      </c>
      <c r="EM29" s="11">
        <v>28</v>
      </c>
      <c r="EN29" s="8">
        <f t="shared" si="28"/>
        <v>0</v>
      </c>
      <c r="EO29" s="8">
        <f t="shared" si="5"/>
        <v>0</v>
      </c>
      <c r="EP29" s="8">
        <f t="shared" si="29"/>
        <v>0</v>
      </c>
      <c r="EQ29" s="8">
        <f t="shared" si="30"/>
        <v>0</v>
      </c>
      <c r="ER29" s="8">
        <f t="shared" si="31"/>
        <v>0</v>
      </c>
      <c r="ES29" s="8">
        <f t="shared" si="32"/>
        <v>0</v>
      </c>
      <c r="ET29" s="8">
        <f t="shared" si="33"/>
        <v>0</v>
      </c>
      <c r="EU29" s="8">
        <f t="shared" si="34"/>
        <v>0</v>
      </c>
      <c r="EW29" s="50"/>
      <c r="EX29" s="51"/>
      <c r="EY29" s="48"/>
      <c r="EZ29" s="48"/>
      <c r="FA29" s="48"/>
      <c r="FB29" s="48"/>
      <c r="FK29" s="10"/>
      <c r="FL29" s="10"/>
    </row>
    <row r="30" spans="1:168" ht="18.600000000000001" thickBot="1" x14ac:dyDescent="0.4">
      <c r="C30" s="34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6">
        <v>0</v>
      </c>
      <c r="AH30" s="23">
        <v>29</v>
      </c>
      <c r="AI30" s="41">
        <f t="shared" ref="AI30:AX36" si="46">IF(C30=0,0,(C30-C31)*100/C31)</f>
        <v>0</v>
      </c>
      <c r="AJ30" s="41">
        <f t="shared" si="46"/>
        <v>0</v>
      </c>
      <c r="AK30" s="41">
        <f t="shared" si="46"/>
        <v>0</v>
      </c>
      <c r="AL30" s="41">
        <f t="shared" si="46"/>
        <v>0</v>
      </c>
      <c r="AM30" s="41">
        <f t="shared" si="46"/>
        <v>0</v>
      </c>
      <c r="AN30" s="41">
        <f t="shared" si="46"/>
        <v>0</v>
      </c>
      <c r="AO30" s="41">
        <f t="shared" si="46"/>
        <v>0</v>
      </c>
      <c r="AP30" s="41">
        <f t="shared" si="46"/>
        <v>0</v>
      </c>
      <c r="AQ30" s="41">
        <f t="shared" si="46"/>
        <v>0</v>
      </c>
      <c r="AR30" s="41">
        <f t="shared" si="46"/>
        <v>0</v>
      </c>
      <c r="AS30" s="41">
        <f t="shared" si="46"/>
        <v>0</v>
      </c>
      <c r="AT30" s="41">
        <f t="shared" si="46"/>
        <v>0</v>
      </c>
      <c r="AU30" s="41">
        <f t="shared" si="46"/>
        <v>0</v>
      </c>
      <c r="AV30" s="41">
        <f t="shared" si="46"/>
        <v>0</v>
      </c>
      <c r="AW30" s="41">
        <f t="shared" si="46"/>
        <v>0</v>
      </c>
      <c r="AX30" s="41">
        <f t="shared" si="46"/>
        <v>0</v>
      </c>
      <c r="AY30" s="41">
        <f t="shared" ref="AY30:BJ36" si="47">IF(S30=0,0,(S30-S31)*100/S31)</f>
        <v>0</v>
      </c>
      <c r="AZ30" s="41">
        <f t="shared" si="47"/>
        <v>0</v>
      </c>
      <c r="BA30" s="41">
        <f t="shared" si="47"/>
        <v>0</v>
      </c>
      <c r="BB30" s="41">
        <f t="shared" si="47"/>
        <v>0</v>
      </c>
      <c r="BC30" s="41">
        <f t="shared" si="47"/>
        <v>0</v>
      </c>
      <c r="BD30" s="41">
        <f t="shared" si="47"/>
        <v>0</v>
      </c>
      <c r="BE30" s="41">
        <f t="shared" si="47"/>
        <v>0</v>
      </c>
      <c r="BF30" s="41">
        <f t="shared" si="47"/>
        <v>0</v>
      </c>
      <c r="BG30" s="41">
        <f t="shared" si="47"/>
        <v>0</v>
      </c>
      <c r="BH30" s="41">
        <f t="shared" si="47"/>
        <v>0</v>
      </c>
      <c r="BI30" s="41">
        <f t="shared" si="47"/>
        <v>0</v>
      </c>
      <c r="BJ30" s="41">
        <f t="shared" si="47"/>
        <v>0</v>
      </c>
      <c r="BN30" s="26">
        <v>29</v>
      </c>
      <c r="BO30" s="45">
        <f t="shared" si="43"/>
        <v>0</v>
      </c>
      <c r="BP30" s="45">
        <f t="shared" si="44"/>
        <v>0</v>
      </c>
      <c r="BQ30" s="45">
        <f t="shared" si="45"/>
        <v>0</v>
      </c>
      <c r="BR30" s="45">
        <f t="shared" si="45"/>
        <v>0</v>
      </c>
      <c r="BS30" s="45">
        <f t="shared" si="45"/>
        <v>0</v>
      </c>
      <c r="BT30" s="45">
        <f t="shared" si="45"/>
        <v>0</v>
      </c>
      <c r="BU30" s="45">
        <f t="shared" si="45"/>
        <v>0</v>
      </c>
      <c r="BV30" s="45">
        <f t="shared" si="45"/>
        <v>0</v>
      </c>
      <c r="BW30" s="45">
        <f t="shared" si="45"/>
        <v>0</v>
      </c>
      <c r="BX30" s="45">
        <f t="shared" si="45"/>
        <v>0</v>
      </c>
      <c r="BY30" s="45">
        <f t="shared" si="45"/>
        <v>0</v>
      </c>
      <c r="BZ30" s="45">
        <f t="shared" si="45"/>
        <v>0</v>
      </c>
      <c r="CA30" s="45">
        <f t="shared" si="45"/>
        <v>0</v>
      </c>
      <c r="CB30" s="45">
        <f t="shared" si="45"/>
        <v>0</v>
      </c>
      <c r="CC30" s="45">
        <f t="shared" si="45"/>
        <v>0</v>
      </c>
      <c r="CD30" s="45">
        <f t="shared" si="45"/>
        <v>0</v>
      </c>
      <c r="CE30" s="45">
        <f t="shared" si="45"/>
        <v>0</v>
      </c>
      <c r="CF30" s="45">
        <f t="shared" si="45"/>
        <v>0</v>
      </c>
      <c r="CG30" s="45">
        <f t="shared" si="45"/>
        <v>0</v>
      </c>
      <c r="CH30" s="45">
        <f t="shared" si="45"/>
        <v>0</v>
      </c>
      <c r="CI30" s="45">
        <f t="shared" si="45"/>
        <v>0</v>
      </c>
      <c r="CJ30" s="45">
        <f t="shared" si="45"/>
        <v>0</v>
      </c>
      <c r="CK30" s="45">
        <f t="shared" si="45"/>
        <v>0</v>
      </c>
      <c r="CL30" s="45">
        <f t="shared" si="45"/>
        <v>0</v>
      </c>
      <c r="CM30" s="45">
        <f t="shared" si="45"/>
        <v>0</v>
      </c>
      <c r="CN30" s="45">
        <f t="shared" si="45"/>
        <v>0</v>
      </c>
      <c r="CO30" s="45">
        <f t="shared" si="45"/>
        <v>0</v>
      </c>
      <c r="CP30" s="45">
        <f t="shared" si="45"/>
        <v>0</v>
      </c>
      <c r="CU30" s="23">
        <v>29</v>
      </c>
      <c r="CV30" s="24">
        <f t="shared" si="7"/>
        <v>0</v>
      </c>
      <c r="CW30" s="24">
        <f t="shared" si="8"/>
        <v>0</v>
      </c>
      <c r="CX30" s="24">
        <f t="shared" si="9"/>
        <v>0</v>
      </c>
      <c r="CY30" s="24">
        <f t="shared" si="10"/>
        <v>0</v>
      </c>
      <c r="CZ30" s="24">
        <f t="shared" si="11"/>
        <v>0</v>
      </c>
      <c r="DA30" s="24">
        <f t="shared" si="12"/>
        <v>0</v>
      </c>
      <c r="DB30" s="24">
        <f t="shared" si="13"/>
        <v>0</v>
      </c>
      <c r="DC30" s="24">
        <f t="shared" si="14"/>
        <v>0</v>
      </c>
      <c r="DF30" s="20">
        <v>29</v>
      </c>
      <c r="DG30" s="19">
        <f t="shared" si="36"/>
        <v>0</v>
      </c>
      <c r="DH30" s="19">
        <f t="shared" si="15"/>
        <v>0</v>
      </c>
      <c r="DI30" s="19">
        <f t="shared" si="16"/>
        <v>0</v>
      </c>
      <c r="DJ30" s="19">
        <f t="shared" si="17"/>
        <v>0</v>
      </c>
      <c r="DK30" s="19">
        <f t="shared" si="18"/>
        <v>0</v>
      </c>
      <c r="DL30" s="19">
        <f t="shared" si="19"/>
        <v>0</v>
      </c>
      <c r="DM30" s="19">
        <f t="shared" si="20"/>
        <v>0</v>
      </c>
      <c r="DN30" s="19">
        <f t="shared" si="21"/>
        <v>0</v>
      </c>
      <c r="DO30" s="19">
        <f t="shared" si="22"/>
        <v>0</v>
      </c>
      <c r="DP30" s="19">
        <f t="shared" si="23"/>
        <v>0</v>
      </c>
      <c r="DQ30" s="19">
        <f t="shared" si="24"/>
        <v>0</v>
      </c>
      <c r="DR30" s="19">
        <f t="shared" si="25"/>
        <v>0</v>
      </c>
      <c r="DS30" s="19">
        <f t="shared" si="26"/>
        <v>0</v>
      </c>
      <c r="DT30" s="19">
        <f t="shared" si="27"/>
        <v>0</v>
      </c>
      <c r="DX30">
        <v>29</v>
      </c>
      <c r="DY30" s="9">
        <f t="shared" si="4"/>
        <v>0</v>
      </c>
      <c r="EM30" s="11">
        <v>29</v>
      </c>
      <c r="EN30" s="8">
        <f t="shared" si="28"/>
        <v>0</v>
      </c>
      <c r="EO30" s="8">
        <f t="shared" si="5"/>
        <v>0</v>
      </c>
      <c r="EP30" s="8">
        <f t="shared" si="29"/>
        <v>0</v>
      </c>
      <c r="EQ30" s="8">
        <f t="shared" si="30"/>
        <v>0</v>
      </c>
      <c r="ER30" s="8">
        <f t="shared" si="31"/>
        <v>0</v>
      </c>
      <c r="ES30" s="8">
        <f t="shared" si="32"/>
        <v>0</v>
      </c>
      <c r="ET30" s="8">
        <f t="shared" si="33"/>
        <v>0</v>
      </c>
      <c r="EU30" s="8">
        <f t="shared" si="34"/>
        <v>0</v>
      </c>
      <c r="EW30" s="50"/>
      <c r="EX30" s="51"/>
      <c r="EY30" s="48"/>
      <c r="EZ30" s="48"/>
      <c r="FA30" s="48"/>
      <c r="FB30" s="48"/>
      <c r="FK30" s="10"/>
      <c r="FL30" s="10"/>
    </row>
    <row r="31" spans="1:168" ht="14.4" thickBot="1" x14ac:dyDescent="0.35"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6">
        <v>0</v>
      </c>
      <c r="AH31" s="23">
        <v>30</v>
      </c>
      <c r="AI31" s="42">
        <f t="shared" si="46"/>
        <v>0</v>
      </c>
      <c r="AJ31" s="42">
        <f t="shared" si="46"/>
        <v>0</v>
      </c>
      <c r="AK31" s="42">
        <f t="shared" si="46"/>
        <v>0</v>
      </c>
      <c r="AL31" s="42">
        <f t="shared" si="46"/>
        <v>0</v>
      </c>
      <c r="AM31" s="42">
        <f t="shared" si="46"/>
        <v>0</v>
      </c>
      <c r="AN31" s="42">
        <f t="shared" si="46"/>
        <v>0</v>
      </c>
      <c r="AO31" s="42">
        <f t="shared" si="46"/>
        <v>0</v>
      </c>
      <c r="AP31" s="42">
        <f t="shared" si="46"/>
        <v>0</v>
      </c>
      <c r="AQ31" s="42">
        <f t="shared" si="46"/>
        <v>0</v>
      </c>
      <c r="AR31" s="42">
        <f t="shared" si="46"/>
        <v>0</v>
      </c>
      <c r="AS31" s="42">
        <f t="shared" si="46"/>
        <v>0</v>
      </c>
      <c r="AT31" s="42">
        <f t="shared" si="46"/>
        <v>0</v>
      </c>
      <c r="AU31" s="42">
        <f t="shared" si="46"/>
        <v>0</v>
      </c>
      <c r="AV31" s="42">
        <f t="shared" si="46"/>
        <v>0</v>
      </c>
      <c r="AW31" s="42">
        <f t="shared" si="46"/>
        <v>0</v>
      </c>
      <c r="AX31" s="42">
        <f t="shared" si="46"/>
        <v>0</v>
      </c>
      <c r="AY31" s="42">
        <f t="shared" si="47"/>
        <v>0</v>
      </c>
      <c r="AZ31" s="42">
        <f t="shared" si="47"/>
        <v>0</v>
      </c>
      <c r="BA31" s="42">
        <f t="shared" si="47"/>
        <v>0</v>
      </c>
      <c r="BB31" s="42">
        <f t="shared" si="47"/>
        <v>0</v>
      </c>
      <c r="BC31" s="42">
        <f t="shared" si="47"/>
        <v>0</v>
      </c>
      <c r="BD31" s="42">
        <f t="shared" si="47"/>
        <v>0</v>
      </c>
      <c r="BE31" s="42">
        <f t="shared" si="47"/>
        <v>0</v>
      </c>
      <c r="BF31" s="42">
        <f t="shared" si="47"/>
        <v>0</v>
      </c>
      <c r="BG31" s="42">
        <f t="shared" si="47"/>
        <v>0</v>
      </c>
      <c r="BH31" s="42">
        <f t="shared" si="47"/>
        <v>0</v>
      </c>
      <c r="BI31" s="42">
        <f t="shared" si="47"/>
        <v>0</v>
      </c>
      <c r="BJ31" s="42">
        <f t="shared" si="47"/>
        <v>0</v>
      </c>
      <c r="BN31" s="26">
        <v>30</v>
      </c>
      <c r="BO31" s="46">
        <f t="shared" si="43"/>
        <v>0</v>
      </c>
      <c r="BP31" s="46">
        <f t="shared" si="44"/>
        <v>0</v>
      </c>
      <c r="BQ31" s="46">
        <f t="shared" si="45"/>
        <v>0</v>
      </c>
      <c r="BR31" s="46">
        <f t="shared" si="45"/>
        <v>0</v>
      </c>
      <c r="BS31" s="46">
        <f t="shared" si="45"/>
        <v>0</v>
      </c>
      <c r="BT31" s="46">
        <f t="shared" si="45"/>
        <v>0</v>
      </c>
      <c r="BU31" s="46">
        <f t="shared" si="45"/>
        <v>0</v>
      </c>
      <c r="BV31" s="46">
        <f t="shared" si="45"/>
        <v>0</v>
      </c>
      <c r="BW31" s="46">
        <f t="shared" si="45"/>
        <v>0</v>
      </c>
      <c r="BX31" s="46">
        <f t="shared" si="45"/>
        <v>0</v>
      </c>
      <c r="BY31" s="46">
        <f t="shared" si="45"/>
        <v>0</v>
      </c>
      <c r="BZ31" s="46">
        <f t="shared" si="45"/>
        <v>0</v>
      </c>
      <c r="CA31" s="46">
        <f t="shared" si="45"/>
        <v>0</v>
      </c>
      <c r="CB31" s="46">
        <f t="shared" si="45"/>
        <v>0</v>
      </c>
      <c r="CC31" s="46">
        <f t="shared" si="45"/>
        <v>0</v>
      </c>
      <c r="CD31" s="46">
        <f t="shared" si="45"/>
        <v>0</v>
      </c>
      <c r="CE31" s="46">
        <f t="shared" si="45"/>
        <v>0</v>
      </c>
      <c r="CF31" s="46">
        <f t="shared" si="45"/>
        <v>0</v>
      </c>
      <c r="CG31" s="46">
        <f t="shared" si="45"/>
        <v>0</v>
      </c>
      <c r="CH31" s="46">
        <f t="shared" si="45"/>
        <v>0</v>
      </c>
      <c r="CI31" s="46">
        <f t="shared" si="45"/>
        <v>0</v>
      </c>
      <c r="CJ31" s="46">
        <f t="shared" si="45"/>
        <v>0</v>
      </c>
      <c r="CK31" s="46">
        <f t="shared" si="45"/>
        <v>0</v>
      </c>
      <c r="CL31" s="46">
        <f t="shared" si="45"/>
        <v>0</v>
      </c>
      <c r="CM31" s="46">
        <f t="shared" si="45"/>
        <v>0</v>
      </c>
      <c r="CN31" s="46">
        <f t="shared" si="45"/>
        <v>0</v>
      </c>
      <c r="CO31" s="46">
        <f t="shared" si="45"/>
        <v>0</v>
      </c>
      <c r="CP31" s="46">
        <f t="shared" si="45"/>
        <v>0</v>
      </c>
      <c r="CU31" s="23">
        <v>30</v>
      </c>
      <c r="CV31" s="25">
        <f t="shared" si="7"/>
        <v>0</v>
      </c>
      <c r="CW31" s="25">
        <f t="shared" si="8"/>
        <v>0</v>
      </c>
      <c r="CX31" s="25">
        <f t="shared" si="9"/>
        <v>0</v>
      </c>
      <c r="CY31" s="25">
        <f t="shared" si="10"/>
        <v>0</v>
      </c>
      <c r="CZ31" s="25">
        <f t="shared" si="11"/>
        <v>0</v>
      </c>
      <c r="DA31" s="25">
        <f t="shared" si="12"/>
        <v>0</v>
      </c>
      <c r="DB31" s="25">
        <f t="shared" si="13"/>
        <v>0</v>
      </c>
      <c r="DC31" s="25">
        <f t="shared" si="14"/>
        <v>0</v>
      </c>
      <c r="DF31" s="18">
        <v>30</v>
      </c>
      <c r="DG31" s="21">
        <f t="shared" si="36"/>
        <v>0</v>
      </c>
      <c r="DH31" s="21">
        <f t="shared" si="15"/>
        <v>0</v>
      </c>
      <c r="DI31" s="21">
        <f t="shared" si="16"/>
        <v>0</v>
      </c>
      <c r="DJ31" s="21">
        <f t="shared" si="17"/>
        <v>0</v>
      </c>
      <c r="DK31" s="21">
        <f t="shared" si="18"/>
        <v>0</v>
      </c>
      <c r="DL31" s="21">
        <f t="shared" si="19"/>
        <v>0</v>
      </c>
      <c r="DM31" s="21">
        <f t="shared" si="20"/>
        <v>0</v>
      </c>
      <c r="DN31" s="21">
        <f t="shared" si="21"/>
        <v>0</v>
      </c>
      <c r="DO31" s="21">
        <f t="shared" si="22"/>
        <v>0</v>
      </c>
      <c r="DP31" s="21">
        <f t="shared" si="23"/>
        <v>0</v>
      </c>
      <c r="DQ31" s="21">
        <f t="shared" si="24"/>
        <v>0</v>
      </c>
      <c r="DR31" s="21">
        <f t="shared" si="25"/>
        <v>0</v>
      </c>
      <c r="DS31" s="21">
        <f t="shared" si="26"/>
        <v>0</v>
      </c>
      <c r="DT31" s="21">
        <f t="shared" si="27"/>
        <v>0</v>
      </c>
      <c r="DX31">
        <v>30</v>
      </c>
      <c r="DY31" s="9">
        <f t="shared" si="4"/>
        <v>0</v>
      </c>
      <c r="EM31" s="11">
        <v>30</v>
      </c>
      <c r="EN31" s="8">
        <f t="shared" si="28"/>
        <v>0</v>
      </c>
      <c r="EO31" s="8">
        <f t="shared" si="5"/>
        <v>0</v>
      </c>
      <c r="EP31" s="8">
        <f t="shared" si="29"/>
        <v>0</v>
      </c>
      <c r="EQ31" s="8">
        <f t="shared" si="30"/>
        <v>0</v>
      </c>
      <c r="ER31" s="8">
        <f t="shared" si="31"/>
        <v>0</v>
      </c>
      <c r="ES31" s="8">
        <f t="shared" si="32"/>
        <v>0</v>
      </c>
      <c r="ET31" s="8">
        <f t="shared" si="33"/>
        <v>0</v>
      </c>
      <c r="EU31" s="8">
        <f t="shared" si="34"/>
        <v>0</v>
      </c>
      <c r="EW31" s="48"/>
      <c r="EX31" s="48"/>
      <c r="EY31" s="48"/>
      <c r="EZ31" s="48"/>
      <c r="FA31" s="48"/>
      <c r="FB31" s="48"/>
      <c r="FK31" s="10"/>
      <c r="FL31" s="10"/>
    </row>
    <row r="32" spans="1:168" ht="14.4" thickBot="1" x14ac:dyDescent="0.35"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6">
        <v>0</v>
      </c>
      <c r="AH32" s="23">
        <v>31</v>
      </c>
      <c r="AI32" s="41">
        <f t="shared" si="46"/>
        <v>0</v>
      </c>
      <c r="AJ32" s="41">
        <f t="shared" si="46"/>
        <v>0</v>
      </c>
      <c r="AK32" s="41">
        <f t="shared" si="46"/>
        <v>0</v>
      </c>
      <c r="AL32" s="41">
        <f t="shared" si="46"/>
        <v>0</v>
      </c>
      <c r="AM32" s="41">
        <f t="shared" si="46"/>
        <v>0</v>
      </c>
      <c r="AN32" s="41">
        <f t="shared" si="46"/>
        <v>0</v>
      </c>
      <c r="AO32" s="41">
        <f t="shared" si="46"/>
        <v>0</v>
      </c>
      <c r="AP32" s="41">
        <f t="shared" si="46"/>
        <v>0</v>
      </c>
      <c r="AQ32" s="41">
        <f t="shared" si="46"/>
        <v>0</v>
      </c>
      <c r="AR32" s="41">
        <f t="shared" si="46"/>
        <v>0</v>
      </c>
      <c r="AS32" s="41">
        <f t="shared" si="46"/>
        <v>0</v>
      </c>
      <c r="AT32" s="41">
        <f t="shared" si="46"/>
        <v>0</v>
      </c>
      <c r="AU32" s="41">
        <f t="shared" si="46"/>
        <v>0</v>
      </c>
      <c r="AV32" s="41">
        <f t="shared" si="46"/>
        <v>0</v>
      </c>
      <c r="AW32" s="41">
        <f t="shared" si="46"/>
        <v>0</v>
      </c>
      <c r="AX32" s="41">
        <f t="shared" si="46"/>
        <v>0</v>
      </c>
      <c r="AY32" s="41">
        <f t="shared" si="47"/>
        <v>0</v>
      </c>
      <c r="AZ32" s="41">
        <f t="shared" si="47"/>
        <v>0</v>
      </c>
      <c r="BA32" s="41">
        <f t="shared" si="47"/>
        <v>0</v>
      </c>
      <c r="BB32" s="41">
        <f t="shared" si="47"/>
        <v>0</v>
      </c>
      <c r="BC32" s="41">
        <f t="shared" si="47"/>
        <v>0</v>
      </c>
      <c r="BD32" s="41">
        <f t="shared" si="47"/>
        <v>0</v>
      </c>
      <c r="BE32" s="41">
        <f t="shared" si="47"/>
        <v>0</v>
      </c>
      <c r="BF32" s="41">
        <f t="shared" si="47"/>
        <v>0</v>
      </c>
      <c r="BG32" s="41">
        <f t="shared" si="47"/>
        <v>0</v>
      </c>
      <c r="BH32" s="41">
        <f t="shared" si="47"/>
        <v>0</v>
      </c>
      <c r="BI32" s="41">
        <f t="shared" si="47"/>
        <v>0</v>
      </c>
      <c r="BJ32" s="41">
        <f t="shared" si="47"/>
        <v>0</v>
      </c>
      <c r="BN32" s="26">
        <v>31</v>
      </c>
      <c r="BO32" s="45">
        <f t="shared" si="43"/>
        <v>0</v>
      </c>
      <c r="BP32" s="45">
        <f t="shared" si="44"/>
        <v>0</v>
      </c>
      <c r="BQ32" s="45">
        <f t="shared" si="45"/>
        <v>0</v>
      </c>
      <c r="BR32" s="45">
        <f t="shared" si="45"/>
        <v>0</v>
      </c>
      <c r="BS32" s="45">
        <f t="shared" si="45"/>
        <v>0</v>
      </c>
      <c r="BT32" s="45">
        <f t="shared" si="45"/>
        <v>0</v>
      </c>
      <c r="BU32" s="45">
        <f t="shared" si="45"/>
        <v>0</v>
      </c>
      <c r="BV32" s="45">
        <f t="shared" si="45"/>
        <v>0</v>
      </c>
      <c r="BW32" s="45">
        <f t="shared" si="45"/>
        <v>0</v>
      </c>
      <c r="BX32" s="45">
        <f t="shared" si="45"/>
        <v>0</v>
      </c>
      <c r="BY32" s="45">
        <f t="shared" si="45"/>
        <v>0</v>
      </c>
      <c r="BZ32" s="45">
        <f t="shared" si="45"/>
        <v>0</v>
      </c>
      <c r="CA32" s="45">
        <f t="shared" si="45"/>
        <v>0</v>
      </c>
      <c r="CB32" s="45">
        <f t="shared" si="45"/>
        <v>0</v>
      </c>
      <c r="CC32" s="45">
        <f t="shared" si="45"/>
        <v>0</v>
      </c>
      <c r="CD32" s="45">
        <f t="shared" si="45"/>
        <v>0</v>
      </c>
      <c r="CE32" s="45">
        <f t="shared" si="45"/>
        <v>0</v>
      </c>
      <c r="CF32" s="45">
        <f t="shared" si="45"/>
        <v>0</v>
      </c>
      <c r="CG32" s="45">
        <f t="shared" si="45"/>
        <v>0</v>
      </c>
      <c r="CH32" s="45">
        <f t="shared" si="45"/>
        <v>0</v>
      </c>
      <c r="CI32" s="45">
        <f t="shared" si="45"/>
        <v>0</v>
      </c>
      <c r="CJ32" s="45">
        <f t="shared" si="45"/>
        <v>0</v>
      </c>
      <c r="CK32" s="45">
        <f t="shared" si="45"/>
        <v>0</v>
      </c>
      <c r="CL32" s="45">
        <f t="shared" si="45"/>
        <v>0</v>
      </c>
      <c r="CM32" s="45">
        <f t="shared" si="45"/>
        <v>0</v>
      </c>
      <c r="CN32" s="45">
        <f t="shared" si="45"/>
        <v>0</v>
      </c>
      <c r="CO32" s="45">
        <f t="shared" si="45"/>
        <v>0</v>
      </c>
      <c r="CP32" s="45">
        <f t="shared" si="45"/>
        <v>0</v>
      </c>
      <c r="CU32" s="23">
        <v>31</v>
      </c>
      <c r="CV32" s="24">
        <f t="shared" si="7"/>
        <v>0</v>
      </c>
      <c r="CW32" s="24">
        <f t="shared" si="8"/>
        <v>0</v>
      </c>
      <c r="CX32" s="24">
        <f t="shared" si="9"/>
        <v>0</v>
      </c>
      <c r="CY32" s="24">
        <f t="shared" si="10"/>
        <v>0</v>
      </c>
      <c r="CZ32" s="24">
        <f t="shared" si="11"/>
        <v>0</v>
      </c>
      <c r="DA32" s="24">
        <f t="shared" si="12"/>
        <v>0</v>
      </c>
      <c r="DB32" s="24">
        <f t="shared" si="13"/>
        <v>0</v>
      </c>
      <c r="DC32" s="24">
        <f t="shared" si="14"/>
        <v>0</v>
      </c>
      <c r="DF32" s="20">
        <v>31</v>
      </c>
      <c r="DG32" s="19">
        <f t="shared" si="36"/>
        <v>0</v>
      </c>
      <c r="DH32" s="19">
        <f t="shared" si="15"/>
        <v>0</v>
      </c>
      <c r="DI32" s="19">
        <f t="shared" si="16"/>
        <v>0</v>
      </c>
      <c r="DJ32" s="19">
        <f t="shared" si="17"/>
        <v>0</v>
      </c>
      <c r="DK32" s="19">
        <f t="shared" si="18"/>
        <v>0</v>
      </c>
      <c r="DL32" s="19">
        <f t="shared" si="19"/>
        <v>0</v>
      </c>
      <c r="DM32" s="19">
        <f t="shared" si="20"/>
        <v>0</v>
      </c>
      <c r="DN32" s="19">
        <f t="shared" si="21"/>
        <v>0</v>
      </c>
      <c r="DO32" s="19">
        <f t="shared" si="22"/>
        <v>0</v>
      </c>
      <c r="DP32" s="19">
        <f t="shared" si="23"/>
        <v>0</v>
      </c>
      <c r="DQ32" s="19">
        <f t="shared" si="24"/>
        <v>0</v>
      </c>
      <c r="DR32" s="19">
        <f t="shared" si="25"/>
        <v>0</v>
      </c>
      <c r="DS32" s="19">
        <f t="shared" si="26"/>
        <v>0</v>
      </c>
      <c r="DT32" s="19">
        <f t="shared" si="27"/>
        <v>0</v>
      </c>
      <c r="DX32">
        <v>31</v>
      </c>
      <c r="DY32" s="9">
        <f t="shared" si="4"/>
        <v>0</v>
      </c>
      <c r="EM32" s="7">
        <v>31</v>
      </c>
      <c r="EN32" s="8">
        <f t="shared" si="28"/>
        <v>0</v>
      </c>
      <c r="EO32" s="8">
        <f t="shared" si="5"/>
        <v>0</v>
      </c>
      <c r="EP32" s="8">
        <f t="shared" si="29"/>
        <v>0</v>
      </c>
      <c r="EQ32" s="8">
        <f t="shared" si="30"/>
        <v>0</v>
      </c>
      <c r="ER32" s="8">
        <f t="shared" si="31"/>
        <v>0</v>
      </c>
      <c r="ES32" s="8">
        <f t="shared" si="32"/>
        <v>0</v>
      </c>
      <c r="ET32" s="8">
        <f t="shared" si="33"/>
        <v>0</v>
      </c>
      <c r="EU32" s="8">
        <f t="shared" si="34"/>
        <v>0</v>
      </c>
      <c r="EW32" s="48"/>
      <c r="EX32" s="48"/>
      <c r="EY32" s="48"/>
      <c r="EZ32" s="48"/>
      <c r="FA32" s="48"/>
      <c r="FB32" s="48"/>
      <c r="FK32" s="10"/>
      <c r="FL32" s="10"/>
    </row>
    <row r="33" spans="3:168" ht="14.4" thickBot="1" x14ac:dyDescent="0.35"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6">
        <v>0</v>
      </c>
      <c r="AH33" s="23">
        <v>32</v>
      </c>
      <c r="AI33" s="42">
        <f t="shared" si="46"/>
        <v>0</v>
      </c>
      <c r="AJ33" s="42">
        <f t="shared" si="46"/>
        <v>0</v>
      </c>
      <c r="AK33" s="42">
        <f t="shared" si="46"/>
        <v>0</v>
      </c>
      <c r="AL33" s="42">
        <f t="shared" si="46"/>
        <v>0</v>
      </c>
      <c r="AM33" s="42">
        <f t="shared" si="46"/>
        <v>0</v>
      </c>
      <c r="AN33" s="42">
        <f t="shared" si="46"/>
        <v>0</v>
      </c>
      <c r="AO33" s="42">
        <f t="shared" si="46"/>
        <v>0</v>
      </c>
      <c r="AP33" s="42">
        <f t="shared" si="46"/>
        <v>0</v>
      </c>
      <c r="AQ33" s="42">
        <f t="shared" si="46"/>
        <v>0</v>
      </c>
      <c r="AR33" s="42">
        <f t="shared" si="46"/>
        <v>0</v>
      </c>
      <c r="AS33" s="42">
        <f t="shared" si="46"/>
        <v>0</v>
      </c>
      <c r="AT33" s="42">
        <f t="shared" si="46"/>
        <v>0</v>
      </c>
      <c r="AU33" s="42">
        <f t="shared" si="46"/>
        <v>0</v>
      </c>
      <c r="AV33" s="42">
        <f t="shared" si="46"/>
        <v>0</v>
      </c>
      <c r="AW33" s="42">
        <f t="shared" si="46"/>
        <v>0</v>
      </c>
      <c r="AX33" s="42">
        <f t="shared" si="46"/>
        <v>0</v>
      </c>
      <c r="AY33" s="42">
        <f t="shared" si="47"/>
        <v>0</v>
      </c>
      <c r="AZ33" s="42">
        <f t="shared" si="47"/>
        <v>0</v>
      </c>
      <c r="BA33" s="42">
        <f t="shared" si="47"/>
        <v>0</v>
      </c>
      <c r="BB33" s="42">
        <f t="shared" si="47"/>
        <v>0</v>
      </c>
      <c r="BC33" s="42">
        <f t="shared" si="47"/>
        <v>0</v>
      </c>
      <c r="BD33" s="42">
        <f t="shared" si="47"/>
        <v>0</v>
      </c>
      <c r="BE33" s="42">
        <f t="shared" si="47"/>
        <v>0</v>
      </c>
      <c r="BF33" s="42">
        <f t="shared" si="47"/>
        <v>0</v>
      </c>
      <c r="BG33" s="42">
        <f t="shared" si="47"/>
        <v>0</v>
      </c>
      <c r="BH33" s="42">
        <f t="shared" si="47"/>
        <v>0</v>
      </c>
      <c r="BI33" s="42">
        <f t="shared" si="47"/>
        <v>0</v>
      </c>
      <c r="BJ33" s="42">
        <f t="shared" si="47"/>
        <v>0</v>
      </c>
      <c r="BN33" s="26">
        <v>32</v>
      </c>
      <c r="BO33" s="46">
        <f t="shared" si="43"/>
        <v>0</v>
      </c>
      <c r="BP33" s="46">
        <f t="shared" si="44"/>
        <v>0</v>
      </c>
      <c r="BQ33" s="46">
        <f t="shared" si="45"/>
        <v>0</v>
      </c>
      <c r="BR33" s="46">
        <f t="shared" si="45"/>
        <v>0</v>
      </c>
      <c r="BS33" s="46">
        <f t="shared" si="45"/>
        <v>0</v>
      </c>
      <c r="BT33" s="46">
        <f t="shared" si="45"/>
        <v>0</v>
      </c>
      <c r="BU33" s="46">
        <f t="shared" si="45"/>
        <v>0</v>
      </c>
      <c r="BV33" s="46">
        <f t="shared" si="45"/>
        <v>0</v>
      </c>
      <c r="BW33" s="46">
        <f t="shared" si="45"/>
        <v>0</v>
      </c>
      <c r="BX33" s="46">
        <f t="shared" si="45"/>
        <v>0</v>
      </c>
      <c r="BY33" s="46">
        <f t="shared" si="45"/>
        <v>0</v>
      </c>
      <c r="BZ33" s="46">
        <f t="shared" si="45"/>
        <v>0</v>
      </c>
      <c r="CA33" s="46">
        <f t="shared" si="45"/>
        <v>0</v>
      </c>
      <c r="CB33" s="46">
        <f t="shared" si="45"/>
        <v>0</v>
      </c>
      <c r="CC33" s="46">
        <f t="shared" si="45"/>
        <v>0</v>
      </c>
      <c r="CD33" s="46">
        <f t="shared" si="45"/>
        <v>0</v>
      </c>
      <c r="CE33" s="46">
        <f t="shared" si="45"/>
        <v>0</v>
      </c>
      <c r="CF33" s="46">
        <f t="shared" si="45"/>
        <v>0</v>
      </c>
      <c r="CG33" s="46">
        <f t="shared" si="45"/>
        <v>0</v>
      </c>
      <c r="CH33" s="46">
        <f t="shared" si="45"/>
        <v>0</v>
      </c>
      <c r="CI33" s="46">
        <f t="shared" si="45"/>
        <v>0</v>
      </c>
      <c r="CJ33" s="46">
        <f t="shared" si="45"/>
        <v>0</v>
      </c>
      <c r="CK33" s="46">
        <f t="shared" si="45"/>
        <v>0</v>
      </c>
      <c r="CL33" s="46">
        <f t="shared" si="45"/>
        <v>0</v>
      </c>
      <c r="CM33" s="46">
        <f t="shared" si="45"/>
        <v>0</v>
      </c>
      <c r="CN33" s="46">
        <f t="shared" si="45"/>
        <v>0</v>
      </c>
      <c r="CO33" s="46">
        <f t="shared" si="45"/>
        <v>0</v>
      </c>
      <c r="CP33" s="46">
        <f t="shared" si="45"/>
        <v>0</v>
      </c>
      <c r="CU33" s="23">
        <v>32</v>
      </c>
      <c r="CV33" s="25">
        <f t="shared" si="7"/>
        <v>0</v>
      </c>
      <c r="CW33" s="25">
        <f t="shared" si="8"/>
        <v>0</v>
      </c>
      <c r="CX33" s="25">
        <f t="shared" si="9"/>
        <v>0</v>
      </c>
      <c r="CY33" s="25">
        <f t="shared" si="10"/>
        <v>0</v>
      </c>
      <c r="CZ33" s="25">
        <f t="shared" si="11"/>
        <v>0</v>
      </c>
      <c r="DA33" s="25">
        <f t="shared" si="12"/>
        <v>0</v>
      </c>
      <c r="DB33" s="25">
        <f t="shared" si="13"/>
        <v>0</v>
      </c>
      <c r="DC33" s="25">
        <f t="shared" si="14"/>
        <v>0</v>
      </c>
      <c r="DF33" s="18">
        <v>32</v>
      </c>
      <c r="DG33" s="21">
        <f t="shared" si="36"/>
        <v>0</v>
      </c>
      <c r="DH33" s="21">
        <f t="shared" si="15"/>
        <v>0</v>
      </c>
      <c r="DI33" s="21">
        <f t="shared" si="16"/>
        <v>0</v>
      </c>
      <c r="DJ33" s="21">
        <f t="shared" si="17"/>
        <v>0</v>
      </c>
      <c r="DK33" s="21">
        <f t="shared" si="18"/>
        <v>0</v>
      </c>
      <c r="DL33" s="21">
        <f t="shared" si="19"/>
        <v>0</v>
      </c>
      <c r="DM33" s="21">
        <f t="shared" si="20"/>
        <v>0</v>
      </c>
      <c r="DN33" s="21">
        <f t="shared" si="21"/>
        <v>0</v>
      </c>
      <c r="DO33" s="21">
        <f t="shared" si="22"/>
        <v>0</v>
      </c>
      <c r="DP33" s="21">
        <f t="shared" si="23"/>
        <v>0</v>
      </c>
      <c r="DQ33" s="21">
        <f t="shared" si="24"/>
        <v>0</v>
      </c>
      <c r="DR33" s="21">
        <f t="shared" si="25"/>
        <v>0</v>
      </c>
      <c r="DS33" s="21">
        <f t="shared" si="26"/>
        <v>0</v>
      </c>
      <c r="DT33" s="21">
        <f t="shared" si="27"/>
        <v>0</v>
      </c>
      <c r="DX33">
        <v>32</v>
      </c>
      <c r="DY33" s="9">
        <f t="shared" si="4"/>
        <v>0</v>
      </c>
      <c r="EM33" s="11">
        <v>32</v>
      </c>
      <c r="EN33" s="8">
        <f t="shared" si="28"/>
        <v>0</v>
      </c>
      <c r="EO33" s="8">
        <f t="shared" si="5"/>
        <v>0</v>
      </c>
      <c r="EP33" s="8">
        <f t="shared" si="29"/>
        <v>0</v>
      </c>
      <c r="EQ33" s="8">
        <f t="shared" si="30"/>
        <v>0</v>
      </c>
      <c r="ER33" s="8">
        <f t="shared" si="31"/>
        <v>0</v>
      </c>
      <c r="ES33" s="8">
        <f t="shared" si="32"/>
        <v>0</v>
      </c>
      <c r="ET33" s="8">
        <f t="shared" si="33"/>
        <v>0</v>
      </c>
      <c r="EU33" s="8">
        <f t="shared" si="34"/>
        <v>0</v>
      </c>
      <c r="EW33" s="48"/>
      <c r="EX33" s="48"/>
      <c r="EY33" s="48"/>
      <c r="EZ33" s="48"/>
      <c r="FA33" s="48"/>
      <c r="FB33" s="48"/>
      <c r="FK33" s="10"/>
      <c r="FL33" s="10"/>
    </row>
    <row r="34" spans="3:168" ht="14.4" thickBot="1" x14ac:dyDescent="0.35">
      <c r="C34" s="34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6">
        <v>0</v>
      </c>
      <c r="AH34" s="23">
        <v>33</v>
      </c>
      <c r="AI34" s="41">
        <f t="shared" si="46"/>
        <v>0</v>
      </c>
      <c r="AJ34" s="41">
        <f t="shared" si="46"/>
        <v>0</v>
      </c>
      <c r="AK34" s="41">
        <f t="shared" si="46"/>
        <v>0</v>
      </c>
      <c r="AL34" s="41">
        <f t="shared" si="46"/>
        <v>0</v>
      </c>
      <c r="AM34" s="41">
        <f t="shared" si="46"/>
        <v>0</v>
      </c>
      <c r="AN34" s="41">
        <f t="shared" si="46"/>
        <v>0</v>
      </c>
      <c r="AO34" s="41">
        <f t="shared" si="46"/>
        <v>0</v>
      </c>
      <c r="AP34" s="41">
        <f t="shared" si="46"/>
        <v>0</v>
      </c>
      <c r="AQ34" s="41">
        <f t="shared" si="46"/>
        <v>0</v>
      </c>
      <c r="AR34" s="41">
        <f t="shared" si="46"/>
        <v>0</v>
      </c>
      <c r="AS34" s="41">
        <f t="shared" si="46"/>
        <v>0</v>
      </c>
      <c r="AT34" s="41">
        <f t="shared" si="46"/>
        <v>0</v>
      </c>
      <c r="AU34" s="41">
        <f t="shared" si="46"/>
        <v>0</v>
      </c>
      <c r="AV34" s="41">
        <f t="shared" si="46"/>
        <v>0</v>
      </c>
      <c r="AW34" s="41">
        <f t="shared" si="46"/>
        <v>0</v>
      </c>
      <c r="AX34" s="41">
        <f t="shared" si="46"/>
        <v>0</v>
      </c>
      <c r="AY34" s="41">
        <f t="shared" si="47"/>
        <v>0</v>
      </c>
      <c r="AZ34" s="41">
        <f t="shared" si="47"/>
        <v>0</v>
      </c>
      <c r="BA34" s="41">
        <f t="shared" si="47"/>
        <v>0</v>
      </c>
      <c r="BB34" s="41">
        <f t="shared" si="47"/>
        <v>0</v>
      </c>
      <c r="BC34" s="41">
        <f t="shared" si="47"/>
        <v>0</v>
      </c>
      <c r="BD34" s="41">
        <f t="shared" si="47"/>
        <v>0</v>
      </c>
      <c r="BE34" s="41">
        <f t="shared" si="47"/>
        <v>0</v>
      </c>
      <c r="BF34" s="41">
        <f t="shared" si="47"/>
        <v>0</v>
      </c>
      <c r="BG34" s="41">
        <f t="shared" si="47"/>
        <v>0</v>
      </c>
      <c r="BH34" s="41">
        <f t="shared" si="47"/>
        <v>0</v>
      </c>
      <c r="BI34" s="41">
        <f t="shared" si="47"/>
        <v>0</v>
      </c>
      <c r="BJ34" s="41">
        <f t="shared" si="47"/>
        <v>0</v>
      </c>
      <c r="BN34" s="26">
        <v>33</v>
      </c>
      <c r="BO34" s="45">
        <f t="shared" si="43"/>
        <v>0</v>
      </c>
      <c r="BP34" s="45">
        <f t="shared" si="44"/>
        <v>0</v>
      </c>
      <c r="BQ34" s="45">
        <f t="shared" si="45"/>
        <v>0</v>
      </c>
      <c r="BR34" s="45">
        <f t="shared" si="45"/>
        <v>0</v>
      </c>
      <c r="BS34" s="45">
        <f t="shared" si="45"/>
        <v>0</v>
      </c>
      <c r="BT34" s="45">
        <f t="shared" si="45"/>
        <v>0</v>
      </c>
      <c r="BU34" s="45">
        <f t="shared" si="45"/>
        <v>0</v>
      </c>
      <c r="BV34" s="45">
        <f t="shared" si="45"/>
        <v>0</v>
      </c>
      <c r="BW34" s="45">
        <f t="shared" si="45"/>
        <v>0</v>
      </c>
      <c r="BX34" s="45">
        <f t="shared" si="45"/>
        <v>0</v>
      </c>
      <c r="BY34" s="45">
        <f t="shared" si="45"/>
        <v>0</v>
      </c>
      <c r="BZ34" s="45">
        <f t="shared" si="45"/>
        <v>0</v>
      </c>
      <c r="CA34" s="45">
        <f t="shared" si="45"/>
        <v>0</v>
      </c>
      <c r="CB34" s="45">
        <f t="shared" si="45"/>
        <v>0</v>
      </c>
      <c r="CC34" s="45">
        <f t="shared" si="45"/>
        <v>0</v>
      </c>
      <c r="CD34" s="45">
        <f t="shared" si="45"/>
        <v>0</v>
      </c>
      <c r="CE34" s="45">
        <f t="shared" si="45"/>
        <v>0</v>
      </c>
      <c r="CF34" s="45">
        <f t="shared" si="45"/>
        <v>0</v>
      </c>
      <c r="CG34" s="45">
        <f t="shared" si="45"/>
        <v>0</v>
      </c>
      <c r="CH34" s="45">
        <f t="shared" si="45"/>
        <v>0</v>
      </c>
      <c r="CI34" s="45">
        <f t="shared" si="45"/>
        <v>0</v>
      </c>
      <c r="CJ34" s="45">
        <f t="shared" si="45"/>
        <v>0</v>
      </c>
      <c r="CK34" s="45">
        <f t="shared" si="45"/>
        <v>0</v>
      </c>
      <c r="CL34" s="45">
        <f t="shared" si="45"/>
        <v>0</v>
      </c>
      <c r="CM34" s="45">
        <f t="shared" si="45"/>
        <v>0</v>
      </c>
      <c r="CN34" s="45">
        <f t="shared" si="45"/>
        <v>0</v>
      </c>
      <c r="CO34" s="45">
        <f t="shared" si="45"/>
        <v>0</v>
      </c>
      <c r="CP34" s="45">
        <f t="shared" si="45"/>
        <v>0</v>
      </c>
      <c r="CU34" s="23">
        <v>33</v>
      </c>
      <c r="CV34" s="24">
        <f t="shared" si="7"/>
        <v>0</v>
      </c>
      <c r="CW34" s="24">
        <f t="shared" si="8"/>
        <v>0</v>
      </c>
      <c r="CX34" s="24">
        <f t="shared" si="9"/>
        <v>0</v>
      </c>
      <c r="CY34" s="24">
        <f t="shared" si="10"/>
        <v>0</v>
      </c>
      <c r="CZ34" s="24">
        <f t="shared" si="11"/>
        <v>0</v>
      </c>
      <c r="DA34" s="24">
        <f t="shared" si="12"/>
        <v>0</v>
      </c>
      <c r="DB34" s="24">
        <f t="shared" si="13"/>
        <v>0</v>
      </c>
      <c r="DC34" s="24">
        <f t="shared" si="14"/>
        <v>0</v>
      </c>
      <c r="DF34" s="20">
        <v>33</v>
      </c>
      <c r="DG34" s="19">
        <f t="shared" si="36"/>
        <v>0</v>
      </c>
      <c r="DH34" s="19">
        <f t="shared" si="15"/>
        <v>0</v>
      </c>
      <c r="DI34" s="19">
        <f t="shared" si="16"/>
        <v>0</v>
      </c>
      <c r="DJ34" s="19">
        <f t="shared" si="17"/>
        <v>0</v>
      </c>
      <c r="DK34" s="19">
        <f t="shared" si="18"/>
        <v>0</v>
      </c>
      <c r="DL34" s="19">
        <f t="shared" si="19"/>
        <v>0</v>
      </c>
      <c r="DM34" s="19">
        <f t="shared" si="20"/>
        <v>0</v>
      </c>
      <c r="DN34" s="19">
        <f t="shared" si="21"/>
        <v>0</v>
      </c>
      <c r="DO34" s="19">
        <f t="shared" si="22"/>
        <v>0</v>
      </c>
      <c r="DP34" s="19">
        <f t="shared" si="23"/>
        <v>0</v>
      </c>
      <c r="DQ34" s="19">
        <f t="shared" si="24"/>
        <v>0</v>
      </c>
      <c r="DR34" s="19">
        <f t="shared" si="25"/>
        <v>0</v>
      </c>
      <c r="DS34" s="19">
        <f t="shared" si="26"/>
        <v>0</v>
      </c>
      <c r="DT34" s="19">
        <f t="shared" si="27"/>
        <v>0</v>
      </c>
      <c r="DX34">
        <v>33</v>
      </c>
      <c r="DY34" s="9">
        <f t="shared" si="4"/>
        <v>0</v>
      </c>
      <c r="EM34" s="11">
        <v>33</v>
      </c>
      <c r="EN34" s="8">
        <f t="shared" si="28"/>
        <v>0</v>
      </c>
      <c r="EO34" s="8">
        <f t="shared" si="5"/>
        <v>0</v>
      </c>
      <c r="EP34" s="8">
        <f t="shared" si="29"/>
        <v>0</v>
      </c>
      <c r="EQ34" s="8">
        <f t="shared" si="30"/>
        <v>0</v>
      </c>
      <c r="ER34" s="8">
        <f t="shared" si="31"/>
        <v>0</v>
      </c>
      <c r="ES34" s="8">
        <f t="shared" si="32"/>
        <v>0</v>
      </c>
      <c r="ET34" s="8">
        <f t="shared" si="33"/>
        <v>0</v>
      </c>
      <c r="EU34" s="8">
        <f t="shared" si="34"/>
        <v>0</v>
      </c>
      <c r="EW34" s="48"/>
      <c r="EX34" s="48"/>
      <c r="EY34" s="48"/>
      <c r="EZ34" s="48"/>
      <c r="FA34" s="48"/>
      <c r="FB34" s="48"/>
      <c r="FK34" s="10"/>
      <c r="FL34" s="10"/>
    </row>
    <row r="35" spans="3:168" ht="14.4" thickBot="1" x14ac:dyDescent="0.35">
      <c r="C35" s="34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6">
        <v>0</v>
      </c>
      <c r="AH35" s="23">
        <v>34</v>
      </c>
      <c r="AI35" s="42">
        <f t="shared" si="46"/>
        <v>0</v>
      </c>
      <c r="AJ35" s="42">
        <f t="shared" si="46"/>
        <v>0</v>
      </c>
      <c r="AK35" s="42">
        <f t="shared" si="46"/>
        <v>0</v>
      </c>
      <c r="AL35" s="42">
        <f t="shared" si="46"/>
        <v>0</v>
      </c>
      <c r="AM35" s="42">
        <f t="shared" si="46"/>
        <v>0</v>
      </c>
      <c r="AN35" s="42">
        <f t="shared" si="46"/>
        <v>0</v>
      </c>
      <c r="AO35" s="42">
        <f t="shared" si="46"/>
        <v>0</v>
      </c>
      <c r="AP35" s="42">
        <f t="shared" si="46"/>
        <v>0</v>
      </c>
      <c r="AQ35" s="42">
        <f t="shared" si="46"/>
        <v>0</v>
      </c>
      <c r="AR35" s="42">
        <f t="shared" si="46"/>
        <v>0</v>
      </c>
      <c r="AS35" s="42">
        <f t="shared" si="46"/>
        <v>0</v>
      </c>
      <c r="AT35" s="42">
        <f t="shared" si="46"/>
        <v>0</v>
      </c>
      <c r="AU35" s="42">
        <f t="shared" si="46"/>
        <v>0</v>
      </c>
      <c r="AV35" s="42">
        <f t="shared" si="46"/>
        <v>0</v>
      </c>
      <c r="AW35" s="42">
        <f t="shared" si="46"/>
        <v>0</v>
      </c>
      <c r="AX35" s="42">
        <f t="shared" si="46"/>
        <v>0</v>
      </c>
      <c r="AY35" s="42">
        <f t="shared" si="47"/>
        <v>0</v>
      </c>
      <c r="AZ35" s="42">
        <f t="shared" si="47"/>
        <v>0</v>
      </c>
      <c r="BA35" s="42">
        <f t="shared" si="47"/>
        <v>0</v>
      </c>
      <c r="BB35" s="42">
        <f t="shared" si="47"/>
        <v>0</v>
      </c>
      <c r="BC35" s="42">
        <f t="shared" si="47"/>
        <v>0</v>
      </c>
      <c r="BD35" s="42">
        <f t="shared" si="47"/>
        <v>0</v>
      </c>
      <c r="BE35" s="42">
        <f t="shared" si="47"/>
        <v>0</v>
      </c>
      <c r="BF35" s="42">
        <f t="shared" si="47"/>
        <v>0</v>
      </c>
      <c r="BG35" s="42">
        <f t="shared" si="47"/>
        <v>0</v>
      </c>
      <c r="BH35" s="42">
        <f t="shared" si="47"/>
        <v>0</v>
      </c>
      <c r="BI35" s="42">
        <f t="shared" si="47"/>
        <v>0</v>
      </c>
      <c r="BJ35" s="42">
        <f t="shared" si="47"/>
        <v>0</v>
      </c>
      <c r="BN35" s="26">
        <v>34</v>
      </c>
      <c r="BO35" s="46">
        <f t="shared" si="43"/>
        <v>0</v>
      </c>
      <c r="BP35" s="46">
        <f t="shared" si="44"/>
        <v>0</v>
      </c>
      <c r="BQ35" s="46">
        <f t="shared" si="45"/>
        <v>0</v>
      </c>
      <c r="BR35" s="46">
        <f t="shared" si="45"/>
        <v>0</v>
      </c>
      <c r="BS35" s="46">
        <f t="shared" si="45"/>
        <v>0</v>
      </c>
      <c r="BT35" s="46">
        <f t="shared" si="45"/>
        <v>0</v>
      </c>
      <c r="BU35" s="46">
        <f t="shared" si="45"/>
        <v>0</v>
      </c>
      <c r="BV35" s="46">
        <f t="shared" si="45"/>
        <v>0</v>
      </c>
      <c r="BW35" s="46">
        <f t="shared" si="45"/>
        <v>0</v>
      </c>
      <c r="BX35" s="46">
        <f t="shared" si="45"/>
        <v>0</v>
      </c>
      <c r="BY35" s="46">
        <f t="shared" si="45"/>
        <v>0</v>
      </c>
      <c r="BZ35" s="46">
        <f t="shared" si="45"/>
        <v>0</v>
      </c>
      <c r="CA35" s="46">
        <f t="shared" si="45"/>
        <v>0</v>
      </c>
      <c r="CB35" s="46">
        <f t="shared" si="45"/>
        <v>0</v>
      </c>
      <c r="CC35" s="46">
        <f t="shared" si="45"/>
        <v>0</v>
      </c>
      <c r="CD35" s="46">
        <f t="shared" si="45"/>
        <v>0</v>
      </c>
      <c r="CE35" s="46">
        <f t="shared" si="45"/>
        <v>0</v>
      </c>
      <c r="CF35" s="46">
        <f t="shared" si="45"/>
        <v>0</v>
      </c>
      <c r="CG35" s="46">
        <f t="shared" si="45"/>
        <v>0</v>
      </c>
      <c r="CH35" s="46">
        <f t="shared" si="45"/>
        <v>0</v>
      </c>
      <c r="CI35" s="46">
        <f t="shared" si="45"/>
        <v>0</v>
      </c>
      <c r="CJ35" s="46">
        <f t="shared" si="45"/>
        <v>0</v>
      </c>
      <c r="CK35" s="46">
        <f t="shared" si="45"/>
        <v>0</v>
      </c>
      <c r="CL35" s="46">
        <f t="shared" si="45"/>
        <v>0</v>
      </c>
      <c r="CM35" s="46">
        <f t="shared" si="45"/>
        <v>0</v>
      </c>
      <c r="CN35" s="46">
        <f t="shared" si="45"/>
        <v>0</v>
      </c>
      <c r="CO35" s="46">
        <f t="shared" si="45"/>
        <v>0</v>
      </c>
      <c r="CP35" s="46">
        <f t="shared" si="45"/>
        <v>0</v>
      </c>
      <c r="CU35" s="23">
        <v>34</v>
      </c>
      <c r="CV35" s="25">
        <f t="shared" si="7"/>
        <v>0</v>
      </c>
      <c r="CW35" s="25">
        <f t="shared" si="8"/>
        <v>0</v>
      </c>
      <c r="CX35" s="25">
        <f t="shared" si="9"/>
        <v>0</v>
      </c>
      <c r="CY35" s="25">
        <f t="shared" si="10"/>
        <v>0</v>
      </c>
      <c r="CZ35" s="25">
        <f t="shared" si="11"/>
        <v>0</v>
      </c>
      <c r="DA35" s="25">
        <f t="shared" si="12"/>
        <v>0</v>
      </c>
      <c r="DB35" s="25">
        <f t="shared" si="13"/>
        <v>0</v>
      </c>
      <c r="DC35" s="25">
        <f t="shared" si="14"/>
        <v>0</v>
      </c>
      <c r="DF35" s="18">
        <v>34</v>
      </c>
      <c r="DG35" s="21">
        <f t="shared" si="36"/>
        <v>0</v>
      </c>
      <c r="DH35" s="21">
        <f t="shared" si="15"/>
        <v>0</v>
      </c>
      <c r="DI35" s="21">
        <f t="shared" si="16"/>
        <v>0</v>
      </c>
      <c r="DJ35" s="21">
        <f t="shared" si="17"/>
        <v>0</v>
      </c>
      <c r="DK35" s="21">
        <f t="shared" si="18"/>
        <v>0</v>
      </c>
      <c r="DL35" s="21">
        <f t="shared" si="19"/>
        <v>0</v>
      </c>
      <c r="DM35" s="21">
        <f t="shared" si="20"/>
        <v>0</v>
      </c>
      <c r="DN35" s="21">
        <f t="shared" si="21"/>
        <v>0</v>
      </c>
      <c r="DO35" s="21">
        <f t="shared" si="22"/>
        <v>0</v>
      </c>
      <c r="DP35" s="21">
        <f t="shared" si="23"/>
        <v>0</v>
      </c>
      <c r="DQ35" s="21">
        <f t="shared" si="24"/>
        <v>0</v>
      </c>
      <c r="DR35" s="21">
        <f t="shared" si="25"/>
        <v>0</v>
      </c>
      <c r="DS35" s="21">
        <f t="shared" si="26"/>
        <v>0</v>
      </c>
      <c r="DT35" s="21">
        <f t="shared" si="27"/>
        <v>0</v>
      </c>
      <c r="DX35">
        <v>34</v>
      </c>
      <c r="DY35" s="9">
        <f t="shared" si="4"/>
        <v>0</v>
      </c>
      <c r="EM35" s="11">
        <v>34</v>
      </c>
      <c r="EN35" s="8">
        <f t="shared" si="28"/>
        <v>0</v>
      </c>
      <c r="EO35" s="8">
        <f t="shared" si="5"/>
        <v>0</v>
      </c>
      <c r="EP35" s="8">
        <f t="shared" si="29"/>
        <v>0</v>
      </c>
      <c r="EQ35" s="8">
        <f t="shared" si="30"/>
        <v>0</v>
      </c>
      <c r="ER35" s="8">
        <f t="shared" si="31"/>
        <v>0</v>
      </c>
      <c r="ES35" s="8">
        <f t="shared" si="32"/>
        <v>0</v>
      </c>
      <c r="ET35" s="8">
        <f t="shared" si="33"/>
        <v>0</v>
      </c>
      <c r="EU35" s="8">
        <f t="shared" si="34"/>
        <v>0</v>
      </c>
      <c r="EW35" s="48"/>
      <c r="EX35" s="48"/>
      <c r="EY35" s="48"/>
      <c r="EZ35" s="48"/>
      <c r="FA35" s="48"/>
      <c r="FB35" s="48"/>
      <c r="FK35" s="10"/>
      <c r="FL35" s="10"/>
    </row>
    <row r="36" spans="3:168" ht="14.4" thickBot="1" x14ac:dyDescent="0.35">
      <c r="C36" s="34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6">
        <v>0</v>
      </c>
      <c r="AH36" s="23">
        <v>35</v>
      </c>
      <c r="AI36" s="41">
        <f t="shared" si="46"/>
        <v>0</v>
      </c>
      <c r="AJ36" s="41">
        <f t="shared" si="46"/>
        <v>0</v>
      </c>
      <c r="AK36" s="41">
        <f t="shared" si="46"/>
        <v>0</v>
      </c>
      <c r="AL36" s="41">
        <f t="shared" si="46"/>
        <v>0</v>
      </c>
      <c r="AM36" s="41">
        <f t="shared" si="46"/>
        <v>0</v>
      </c>
      <c r="AN36" s="41">
        <f t="shared" si="46"/>
        <v>0</v>
      </c>
      <c r="AO36" s="41">
        <f t="shared" si="46"/>
        <v>0</v>
      </c>
      <c r="AP36" s="41">
        <f t="shared" si="46"/>
        <v>0</v>
      </c>
      <c r="AQ36" s="41">
        <f t="shared" si="46"/>
        <v>0</v>
      </c>
      <c r="AR36" s="41">
        <f t="shared" si="46"/>
        <v>0</v>
      </c>
      <c r="AS36" s="41">
        <f t="shared" si="46"/>
        <v>0</v>
      </c>
      <c r="AT36" s="41">
        <f t="shared" si="46"/>
        <v>0</v>
      </c>
      <c r="AU36" s="41">
        <f t="shared" si="46"/>
        <v>0</v>
      </c>
      <c r="AV36" s="41">
        <f t="shared" si="46"/>
        <v>0</v>
      </c>
      <c r="AW36" s="41">
        <f t="shared" si="46"/>
        <v>0</v>
      </c>
      <c r="AX36" s="41">
        <f t="shared" si="46"/>
        <v>0</v>
      </c>
      <c r="AY36" s="41">
        <f t="shared" si="47"/>
        <v>0</v>
      </c>
      <c r="AZ36" s="41">
        <f t="shared" si="47"/>
        <v>0</v>
      </c>
      <c r="BA36" s="41">
        <f t="shared" si="47"/>
        <v>0</v>
      </c>
      <c r="BB36" s="41">
        <f t="shared" si="47"/>
        <v>0</v>
      </c>
      <c r="BC36" s="41">
        <f t="shared" si="47"/>
        <v>0</v>
      </c>
      <c r="BD36" s="41">
        <f t="shared" si="47"/>
        <v>0</v>
      </c>
      <c r="BE36" s="41">
        <f t="shared" si="47"/>
        <v>0</v>
      </c>
      <c r="BF36" s="41">
        <f t="shared" si="47"/>
        <v>0</v>
      </c>
      <c r="BG36" s="41">
        <f t="shared" si="47"/>
        <v>0</v>
      </c>
      <c r="BH36" s="41">
        <f t="shared" si="47"/>
        <v>0</v>
      </c>
      <c r="BI36" s="41">
        <f t="shared" si="47"/>
        <v>0</v>
      </c>
      <c r="BJ36" s="41">
        <f t="shared" si="47"/>
        <v>0</v>
      </c>
      <c r="BN36" s="26">
        <v>35</v>
      </c>
      <c r="BO36" s="45">
        <f t="shared" si="43"/>
        <v>0</v>
      </c>
      <c r="BP36" s="45">
        <f t="shared" si="44"/>
        <v>0</v>
      </c>
      <c r="BQ36" s="45">
        <f t="shared" si="45"/>
        <v>0</v>
      </c>
      <c r="BR36" s="45">
        <f t="shared" si="45"/>
        <v>0</v>
      </c>
      <c r="BS36" s="45">
        <f t="shared" si="45"/>
        <v>0</v>
      </c>
      <c r="BT36" s="45">
        <f t="shared" si="45"/>
        <v>0</v>
      </c>
      <c r="BU36" s="45">
        <f t="shared" si="45"/>
        <v>0</v>
      </c>
      <c r="BV36" s="45">
        <f t="shared" si="45"/>
        <v>0</v>
      </c>
      <c r="BW36" s="45">
        <f t="shared" si="45"/>
        <v>0</v>
      </c>
      <c r="BX36" s="45">
        <f t="shared" si="45"/>
        <v>0</v>
      </c>
      <c r="BY36" s="45">
        <f t="shared" si="45"/>
        <v>0</v>
      </c>
      <c r="BZ36" s="45">
        <f t="shared" si="45"/>
        <v>0</v>
      </c>
      <c r="CA36" s="45">
        <f t="shared" si="45"/>
        <v>0</v>
      </c>
      <c r="CB36" s="45">
        <f t="shared" si="45"/>
        <v>0</v>
      </c>
      <c r="CC36" s="45">
        <f t="shared" si="45"/>
        <v>0</v>
      </c>
      <c r="CD36" s="45">
        <f t="shared" si="45"/>
        <v>0</v>
      </c>
      <c r="CE36" s="45">
        <f t="shared" si="45"/>
        <v>0</v>
      </c>
      <c r="CF36" s="45">
        <f t="shared" si="45"/>
        <v>0</v>
      </c>
      <c r="CG36" s="45">
        <f t="shared" si="45"/>
        <v>0</v>
      </c>
      <c r="CH36" s="45">
        <f t="shared" si="45"/>
        <v>0</v>
      </c>
      <c r="CI36" s="45">
        <f t="shared" si="45"/>
        <v>0</v>
      </c>
      <c r="CJ36" s="45">
        <f t="shared" si="45"/>
        <v>0</v>
      </c>
      <c r="CK36" s="45">
        <f t="shared" si="45"/>
        <v>0</v>
      </c>
      <c r="CL36" s="45">
        <f t="shared" si="45"/>
        <v>0</v>
      </c>
      <c r="CM36" s="45">
        <f t="shared" si="45"/>
        <v>0</v>
      </c>
      <c r="CN36" s="45">
        <f t="shared" si="45"/>
        <v>0</v>
      </c>
      <c r="CO36" s="45">
        <f t="shared" si="45"/>
        <v>0</v>
      </c>
      <c r="CP36" s="45">
        <f t="shared" si="45"/>
        <v>0</v>
      </c>
      <c r="CU36" s="23">
        <v>35</v>
      </c>
      <c r="CV36" s="24">
        <f t="shared" si="7"/>
        <v>0</v>
      </c>
      <c r="CW36" s="24">
        <f t="shared" si="8"/>
        <v>0</v>
      </c>
      <c r="CX36" s="24">
        <f t="shared" si="9"/>
        <v>0</v>
      </c>
      <c r="CY36" s="24">
        <f t="shared" si="10"/>
        <v>0</v>
      </c>
      <c r="CZ36" s="24">
        <f t="shared" si="11"/>
        <v>0</v>
      </c>
      <c r="DA36" s="24">
        <f t="shared" si="12"/>
        <v>0</v>
      </c>
      <c r="DB36" s="24">
        <f t="shared" si="13"/>
        <v>0</v>
      </c>
      <c r="DC36" s="24">
        <f t="shared" si="14"/>
        <v>0</v>
      </c>
      <c r="DF36" s="20">
        <v>35</v>
      </c>
      <c r="DG36" s="19">
        <f t="shared" si="36"/>
        <v>0</v>
      </c>
      <c r="DH36" s="19">
        <f t="shared" si="15"/>
        <v>0</v>
      </c>
      <c r="DI36" s="19">
        <f t="shared" si="16"/>
        <v>0</v>
      </c>
      <c r="DJ36" s="19">
        <f t="shared" si="17"/>
        <v>0</v>
      </c>
      <c r="DK36" s="19">
        <f t="shared" si="18"/>
        <v>0</v>
      </c>
      <c r="DL36" s="19">
        <f t="shared" si="19"/>
        <v>0</v>
      </c>
      <c r="DM36" s="19">
        <f t="shared" si="20"/>
        <v>0</v>
      </c>
      <c r="DN36" s="19">
        <f t="shared" si="21"/>
        <v>0</v>
      </c>
      <c r="DO36" s="19">
        <f t="shared" si="22"/>
        <v>0</v>
      </c>
      <c r="DP36" s="19">
        <f t="shared" si="23"/>
        <v>0</v>
      </c>
      <c r="DQ36" s="19">
        <f t="shared" si="24"/>
        <v>0</v>
      </c>
      <c r="DR36" s="19">
        <f t="shared" si="25"/>
        <v>0</v>
      </c>
      <c r="DS36" s="19">
        <f t="shared" si="26"/>
        <v>0</v>
      </c>
      <c r="DT36" s="19">
        <f t="shared" si="27"/>
        <v>0</v>
      </c>
      <c r="DX36">
        <v>35</v>
      </c>
      <c r="DY36" s="9">
        <f t="shared" si="4"/>
        <v>0</v>
      </c>
      <c r="EM36" s="11">
        <v>35</v>
      </c>
      <c r="EN36" s="8">
        <f t="shared" si="28"/>
        <v>0</v>
      </c>
      <c r="EO36" s="8">
        <f t="shared" si="5"/>
        <v>0</v>
      </c>
      <c r="EP36" s="8">
        <f t="shared" si="29"/>
        <v>0</v>
      </c>
      <c r="EQ36" s="8">
        <f t="shared" si="30"/>
        <v>0</v>
      </c>
      <c r="ER36" s="8">
        <f t="shared" si="31"/>
        <v>0</v>
      </c>
      <c r="ES36" s="8">
        <f t="shared" si="32"/>
        <v>0</v>
      </c>
      <c r="ET36" s="8">
        <f t="shared" si="33"/>
        <v>0</v>
      </c>
      <c r="EU36" s="8">
        <f t="shared" si="34"/>
        <v>0</v>
      </c>
      <c r="EW36" s="48"/>
      <c r="EX36" s="48"/>
      <c r="EY36" s="48"/>
      <c r="EZ36" s="48"/>
      <c r="FA36" s="48"/>
      <c r="FB36" s="48"/>
      <c r="FK36" s="10"/>
      <c r="FL36" s="10"/>
    </row>
    <row r="37" spans="3:168" x14ac:dyDescent="0.3">
      <c r="C37" s="37">
        <v>0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9">
        <v>0</v>
      </c>
      <c r="AH37" s="23">
        <v>36</v>
      </c>
      <c r="AI37" s="42">
        <f>IF(C37=0,0,(C37-#REF!)*100/#REF!)</f>
        <v>0</v>
      </c>
      <c r="AJ37" s="42">
        <f>IF(D37=0,0,(D37-#REF!)*100/#REF!)</f>
        <v>0</v>
      </c>
      <c r="AK37" s="42">
        <f>IF(E37=0,0,(E37-#REF!)*100/#REF!)</f>
        <v>0</v>
      </c>
      <c r="AL37" s="42">
        <f>IF(F37=0,0,(F37-#REF!)*100/#REF!)</f>
        <v>0</v>
      </c>
      <c r="AM37" s="42">
        <f>IF(G37=0,0,(G37-#REF!)*100/#REF!)</f>
        <v>0</v>
      </c>
      <c r="AN37" s="42">
        <f>IF(H37=0,0,(H37-#REF!)*100/#REF!)</f>
        <v>0</v>
      </c>
      <c r="AO37" s="42">
        <f>IF(I37=0,0,(I37-#REF!)*100/#REF!)</f>
        <v>0</v>
      </c>
      <c r="AP37" s="42">
        <f>IF(J37=0,0,(J37-#REF!)*100/#REF!)</f>
        <v>0</v>
      </c>
      <c r="AQ37" s="42">
        <f>IF(K37=0,0,(K37-#REF!)*100/#REF!)</f>
        <v>0</v>
      </c>
      <c r="AR37" s="42">
        <f>IF(L37=0,0,(L37-#REF!)*100/#REF!)</f>
        <v>0</v>
      </c>
      <c r="AS37" s="42">
        <f>IF(M37=0,0,(M37-#REF!)*100/#REF!)</f>
        <v>0</v>
      </c>
      <c r="AT37" s="42">
        <f>IF(N37=0,0,(N37-#REF!)*100/#REF!)</f>
        <v>0</v>
      </c>
      <c r="AU37" s="42">
        <f>IF(O37=0,0,(O37-#REF!)*100/#REF!)</f>
        <v>0</v>
      </c>
      <c r="AV37" s="42">
        <f>IF(P37=0,0,(P37-#REF!)*100/#REF!)</f>
        <v>0</v>
      </c>
      <c r="AW37" s="42">
        <f>IF(Q37=0,0,(Q37-#REF!)*100/#REF!)</f>
        <v>0</v>
      </c>
      <c r="AX37" s="42">
        <f>IF(R37=0,0,(R37-#REF!)*100/#REF!)</f>
        <v>0</v>
      </c>
      <c r="AY37" s="42">
        <f>IF(S37=0,0,(S37-#REF!)*100/#REF!)</f>
        <v>0</v>
      </c>
      <c r="AZ37" s="42">
        <f>IF(T37=0,0,(T37-#REF!)*100/#REF!)</f>
        <v>0</v>
      </c>
      <c r="BA37" s="42">
        <f>IF(U37=0,0,(U37-#REF!)*100/#REF!)</f>
        <v>0</v>
      </c>
      <c r="BB37" s="42">
        <f>IF(V37=0,0,(V37-#REF!)*100/#REF!)</f>
        <v>0</v>
      </c>
      <c r="BC37" s="42">
        <f>IF(W37=0,0,(W37-#REF!)*100/#REF!)</f>
        <v>0</v>
      </c>
      <c r="BD37" s="42">
        <f>IF(X37=0,0,(X37-#REF!)*100/#REF!)</f>
        <v>0</v>
      </c>
      <c r="BE37" s="42">
        <f>IF(Y37=0,0,(Y37-#REF!)*100/#REF!)</f>
        <v>0</v>
      </c>
      <c r="BF37" s="42">
        <f>IF(Z37=0,0,(Z37-#REF!)*100/#REF!)</f>
        <v>0</v>
      </c>
      <c r="BG37" s="42">
        <f>IF(AA37=0,0,(AA37-#REF!)*100/#REF!)</f>
        <v>0</v>
      </c>
      <c r="BH37" s="42">
        <f>IF(AB37=0,0,(AB37-#REF!)*100/#REF!)</f>
        <v>0</v>
      </c>
      <c r="BI37" s="42">
        <f>IF(AC37=0,0,(AC37-#REF!)*100/#REF!)</f>
        <v>0</v>
      </c>
      <c r="BJ37" s="42">
        <f>IF(AD37=0,0,(AD37-#REF!)*100/#REF!)</f>
        <v>0</v>
      </c>
      <c r="BN37" s="26">
        <v>36</v>
      </c>
      <c r="BO37" s="46">
        <f t="shared" si="43"/>
        <v>0</v>
      </c>
      <c r="BP37" s="46">
        <f t="shared" si="44"/>
        <v>0</v>
      </c>
      <c r="BQ37" s="46">
        <f t="shared" si="45"/>
        <v>0</v>
      </c>
      <c r="BR37" s="46">
        <f t="shared" si="45"/>
        <v>0</v>
      </c>
      <c r="BS37" s="46">
        <f t="shared" si="45"/>
        <v>0</v>
      </c>
      <c r="BT37" s="46">
        <f t="shared" si="45"/>
        <v>0</v>
      </c>
      <c r="BU37" s="46">
        <f t="shared" si="45"/>
        <v>0</v>
      </c>
      <c r="BV37" s="46">
        <f t="shared" si="45"/>
        <v>0</v>
      </c>
      <c r="BW37" s="46">
        <f t="shared" si="45"/>
        <v>0</v>
      </c>
      <c r="BX37" s="46">
        <f t="shared" si="45"/>
        <v>0</v>
      </c>
      <c r="BY37" s="46">
        <f t="shared" si="45"/>
        <v>0</v>
      </c>
      <c r="BZ37" s="46">
        <f t="shared" si="45"/>
        <v>0</v>
      </c>
      <c r="CA37" s="46">
        <f t="shared" si="45"/>
        <v>0</v>
      </c>
      <c r="CB37" s="46">
        <f t="shared" si="45"/>
        <v>0</v>
      </c>
      <c r="CC37" s="46">
        <f t="shared" si="45"/>
        <v>0</v>
      </c>
      <c r="CD37" s="46">
        <f t="shared" si="45"/>
        <v>0</v>
      </c>
      <c r="CE37" s="46">
        <f t="shared" si="45"/>
        <v>0</v>
      </c>
      <c r="CF37" s="46">
        <f t="shared" si="45"/>
        <v>0</v>
      </c>
      <c r="CG37" s="46">
        <f t="shared" si="45"/>
        <v>0</v>
      </c>
      <c r="CH37" s="46">
        <f t="shared" si="45"/>
        <v>0</v>
      </c>
      <c r="CI37" s="46">
        <f t="shared" si="45"/>
        <v>0</v>
      </c>
      <c r="CJ37" s="46">
        <f t="shared" si="45"/>
        <v>0</v>
      </c>
      <c r="CK37" s="46">
        <f t="shared" si="45"/>
        <v>0</v>
      </c>
      <c r="CL37" s="46">
        <f t="shared" si="45"/>
        <v>0</v>
      </c>
      <c r="CM37" s="46">
        <f t="shared" si="45"/>
        <v>0</v>
      </c>
      <c r="CN37" s="46">
        <f t="shared" si="45"/>
        <v>0</v>
      </c>
      <c r="CO37" s="46">
        <f t="shared" si="45"/>
        <v>0</v>
      </c>
      <c r="CP37" s="46">
        <f t="shared" si="45"/>
        <v>0</v>
      </c>
      <c r="CU37" s="23">
        <v>36</v>
      </c>
      <c r="CV37" s="25">
        <f t="shared" si="7"/>
        <v>0</v>
      </c>
      <c r="CW37" s="25">
        <f t="shared" si="8"/>
        <v>0</v>
      </c>
      <c r="CX37" s="25">
        <f t="shared" si="9"/>
        <v>0</v>
      </c>
      <c r="CY37" s="25">
        <f t="shared" si="10"/>
        <v>0</v>
      </c>
      <c r="CZ37" s="25">
        <f t="shared" si="11"/>
        <v>0</v>
      </c>
      <c r="DA37" s="25">
        <f t="shared" si="12"/>
        <v>0</v>
      </c>
      <c r="DB37" s="25">
        <f t="shared" si="13"/>
        <v>0</v>
      </c>
      <c r="DC37" s="25">
        <f t="shared" si="14"/>
        <v>0</v>
      </c>
      <c r="DF37" s="18">
        <v>36</v>
      </c>
      <c r="DG37" s="21">
        <f t="shared" si="36"/>
        <v>0</v>
      </c>
      <c r="DH37" s="21">
        <f t="shared" si="15"/>
        <v>0</v>
      </c>
      <c r="DI37" s="21">
        <f t="shared" si="16"/>
        <v>0</v>
      </c>
      <c r="DJ37" s="21">
        <f t="shared" si="17"/>
        <v>0</v>
      </c>
      <c r="DK37" s="21">
        <f t="shared" si="18"/>
        <v>0</v>
      </c>
      <c r="DL37" s="21">
        <f t="shared" si="19"/>
        <v>0</v>
      </c>
      <c r="DM37" s="21">
        <f t="shared" si="20"/>
        <v>0</v>
      </c>
      <c r="DN37" s="21">
        <f t="shared" si="21"/>
        <v>0</v>
      </c>
      <c r="DO37" s="21">
        <f t="shared" si="22"/>
        <v>0</v>
      </c>
      <c r="DP37" s="21">
        <f t="shared" si="23"/>
        <v>0</v>
      </c>
      <c r="DQ37" s="21">
        <f t="shared" si="24"/>
        <v>0</v>
      </c>
      <c r="DR37" s="21">
        <f t="shared" si="25"/>
        <v>0</v>
      </c>
      <c r="DS37" s="21">
        <f t="shared" si="26"/>
        <v>0</v>
      </c>
      <c r="DT37" s="21">
        <f t="shared" si="27"/>
        <v>0</v>
      </c>
      <c r="DX37">
        <v>36</v>
      </c>
      <c r="DY37" s="9">
        <f t="shared" si="4"/>
        <v>0</v>
      </c>
      <c r="EM37" s="7">
        <v>36</v>
      </c>
      <c r="EN37" s="8">
        <f t="shared" si="28"/>
        <v>0</v>
      </c>
      <c r="EO37" s="8">
        <f t="shared" si="5"/>
        <v>0</v>
      </c>
      <c r="EP37" s="8">
        <f t="shared" si="29"/>
        <v>0</v>
      </c>
      <c r="EQ37" s="8">
        <f t="shared" si="30"/>
        <v>0</v>
      </c>
      <c r="ER37" s="8">
        <f t="shared" si="31"/>
        <v>0</v>
      </c>
      <c r="ES37" s="8">
        <f t="shared" si="32"/>
        <v>0</v>
      </c>
      <c r="ET37" s="8">
        <f t="shared" si="33"/>
        <v>0</v>
      </c>
      <c r="EU37" s="8">
        <f t="shared" si="34"/>
        <v>0</v>
      </c>
      <c r="FK37" s="10"/>
      <c r="FL37" s="10"/>
    </row>
    <row r="38" spans="3:168" x14ac:dyDescent="0.3">
      <c r="CU38" s="26"/>
      <c r="CV38" s="26"/>
      <c r="CW38" s="26"/>
      <c r="CX38" s="26"/>
      <c r="CY38" s="26"/>
      <c r="CZ38" s="26"/>
      <c r="DA38" s="26"/>
      <c r="DB38" s="26"/>
      <c r="DC38" s="26"/>
      <c r="FK38" s="10"/>
      <c r="FL38" s="10"/>
    </row>
    <row r="39" spans="3:168" x14ac:dyDescent="0.3">
      <c r="FK39" s="10"/>
      <c r="FL39" s="10"/>
    </row>
    <row r="40" spans="3:168" x14ac:dyDescent="0.3">
      <c r="FK40" s="10"/>
      <c r="FL40" s="10"/>
    </row>
    <row r="41" spans="3:168" x14ac:dyDescent="0.3">
      <c r="FK41" s="10"/>
      <c r="FL41" s="10"/>
    </row>
    <row r="42" spans="3:168" x14ac:dyDescent="0.3">
      <c r="FK42" s="10"/>
      <c r="FL42" s="10"/>
    </row>
    <row r="43" spans="3:168" x14ac:dyDescent="0.3">
      <c r="FK43" s="10"/>
      <c r="FL43" s="10"/>
    </row>
    <row r="44" spans="3:168" x14ac:dyDescent="0.3">
      <c r="FK44" s="10"/>
      <c r="FL44" s="10"/>
    </row>
    <row r="45" spans="3:168" x14ac:dyDescent="0.3">
      <c r="FK45" s="10"/>
      <c r="FL45" s="10"/>
    </row>
    <row r="46" spans="3:168" x14ac:dyDescent="0.3">
      <c r="FK46" s="10"/>
      <c r="FL46" s="10"/>
    </row>
    <row r="47" spans="3:168" x14ac:dyDescent="0.3">
      <c r="FK47" s="10"/>
      <c r="FL47" s="10"/>
    </row>
    <row r="48" spans="3:168" x14ac:dyDescent="0.3">
      <c r="FK48" s="10"/>
      <c r="FL48" s="10"/>
    </row>
    <row r="49" spans="167:168" x14ac:dyDescent="0.3">
      <c r="FK49" s="10"/>
      <c r="FL49" s="10"/>
    </row>
    <row r="50" spans="167:168" x14ac:dyDescent="0.3">
      <c r="FK50" s="10"/>
      <c r="FL50" s="10"/>
    </row>
    <row r="51" spans="167:168" x14ac:dyDescent="0.3">
      <c r="FK51" s="10"/>
      <c r="FL51" s="10"/>
    </row>
    <row r="52" spans="167:168" x14ac:dyDescent="0.3">
      <c r="FK52" s="10"/>
      <c r="FL52" s="10"/>
    </row>
    <row r="53" spans="167:168" x14ac:dyDescent="0.3">
      <c r="FK53" s="10"/>
      <c r="FL53" s="10"/>
    </row>
    <row r="54" spans="167:168" x14ac:dyDescent="0.3">
      <c r="FK54" s="10"/>
      <c r="FL54" s="10"/>
    </row>
    <row r="55" spans="167:168" x14ac:dyDescent="0.3">
      <c r="FK55" s="10"/>
      <c r="FL55" s="10"/>
    </row>
    <row r="56" spans="167:168" x14ac:dyDescent="0.3">
      <c r="FK56" s="10"/>
      <c r="FL56" s="10"/>
    </row>
    <row r="57" spans="167:168" x14ac:dyDescent="0.3">
      <c r="FK57" s="10"/>
      <c r="FL57" s="10"/>
    </row>
    <row r="58" spans="167:168" x14ac:dyDescent="0.3">
      <c r="FK58" s="10"/>
      <c r="FL58" s="10"/>
    </row>
    <row r="59" spans="167:168" x14ac:dyDescent="0.3">
      <c r="FK59" s="10"/>
      <c r="FL59" s="10"/>
    </row>
    <row r="60" spans="167:168" x14ac:dyDescent="0.3">
      <c r="FK60" s="10"/>
      <c r="FL60" s="10"/>
    </row>
    <row r="61" spans="167:168" x14ac:dyDescent="0.3">
      <c r="FK61" s="10"/>
      <c r="FL61" s="10"/>
    </row>
    <row r="62" spans="167:168" x14ac:dyDescent="0.3">
      <c r="FK62" s="10"/>
      <c r="FL62" s="10"/>
    </row>
    <row r="63" spans="167:168" x14ac:dyDescent="0.3">
      <c r="FK63" s="10"/>
      <c r="FL63" s="10"/>
    </row>
    <row r="64" spans="167:168" x14ac:dyDescent="0.3">
      <c r="FK64" s="10"/>
      <c r="FL64" s="10"/>
    </row>
    <row r="65" spans="167:168" x14ac:dyDescent="0.3">
      <c r="FK65" s="10"/>
      <c r="FL65" s="10"/>
    </row>
    <row r="66" spans="167:168" x14ac:dyDescent="0.3">
      <c r="FK66" s="10"/>
      <c r="FL66" s="10"/>
    </row>
    <row r="67" spans="167:168" x14ac:dyDescent="0.3">
      <c r="FK67" s="10"/>
      <c r="FL67" s="10"/>
    </row>
    <row r="68" spans="167:168" x14ac:dyDescent="0.3">
      <c r="FK68" s="10"/>
      <c r="FL68" s="10"/>
    </row>
    <row r="69" spans="167:168" x14ac:dyDescent="0.3">
      <c r="FK69" s="10"/>
      <c r="FL69" s="10"/>
    </row>
    <row r="70" spans="167:168" x14ac:dyDescent="0.3">
      <c r="FK70" s="10"/>
      <c r="FL70" s="10"/>
    </row>
    <row r="71" spans="167:168" x14ac:dyDescent="0.3">
      <c r="FK71" s="10"/>
      <c r="FL71" s="10"/>
    </row>
    <row r="72" spans="167:168" x14ac:dyDescent="0.3">
      <c r="FK72" s="10"/>
      <c r="FL72" s="10"/>
    </row>
    <row r="73" spans="167:168" x14ac:dyDescent="0.3">
      <c r="FK73" s="10"/>
      <c r="FL73" s="10"/>
    </row>
    <row r="74" spans="167:168" x14ac:dyDescent="0.3">
      <c r="FK74" s="10"/>
      <c r="FL74" s="10"/>
    </row>
    <row r="75" spans="167:168" x14ac:dyDescent="0.3">
      <c r="FK75" s="10"/>
      <c r="FL75" s="10"/>
    </row>
    <row r="76" spans="167:168" x14ac:dyDescent="0.3">
      <c r="FK76" s="10"/>
      <c r="FL76" s="10"/>
    </row>
    <row r="77" spans="167:168" x14ac:dyDescent="0.3">
      <c r="FK77" s="10"/>
      <c r="FL77" s="10"/>
    </row>
    <row r="78" spans="167:168" x14ac:dyDescent="0.3">
      <c r="FK78" s="10"/>
      <c r="FL78" s="10"/>
    </row>
    <row r="79" spans="167:168" x14ac:dyDescent="0.3">
      <c r="FK79" s="10"/>
      <c r="FL79" s="10"/>
    </row>
    <row r="80" spans="167:168" x14ac:dyDescent="0.3">
      <c r="FK80" s="10"/>
      <c r="FL80" s="10"/>
    </row>
    <row r="81" spans="167:168" x14ac:dyDescent="0.3">
      <c r="FK81" s="10"/>
      <c r="FL81" s="10"/>
    </row>
    <row r="82" spans="167:168" x14ac:dyDescent="0.3">
      <c r="FK82" s="10"/>
      <c r="FL82" s="10"/>
    </row>
    <row r="83" spans="167:168" x14ac:dyDescent="0.3">
      <c r="FK83" s="10"/>
      <c r="FL83" s="10"/>
    </row>
    <row r="84" spans="167:168" x14ac:dyDescent="0.3">
      <c r="FK84" s="10"/>
      <c r="FL84" s="10"/>
    </row>
    <row r="85" spans="167:168" x14ac:dyDescent="0.3">
      <c r="FK85" s="10"/>
      <c r="FL85" s="10"/>
    </row>
    <row r="86" spans="167:168" x14ac:dyDescent="0.3">
      <c r="FK86" s="10"/>
      <c r="FL86" s="10"/>
    </row>
    <row r="87" spans="167:168" x14ac:dyDescent="0.3">
      <c r="FK87" s="10"/>
      <c r="FL87" s="10"/>
    </row>
    <row r="88" spans="167:168" x14ac:dyDescent="0.3">
      <c r="FK88" s="10"/>
      <c r="FL88" s="10"/>
    </row>
    <row r="89" spans="167:168" x14ac:dyDescent="0.3">
      <c r="FK89" s="10"/>
      <c r="FL89" s="10"/>
    </row>
    <row r="90" spans="167:168" x14ac:dyDescent="0.3">
      <c r="FK90" s="10"/>
      <c r="FL90" s="10"/>
    </row>
    <row r="91" spans="167:168" x14ac:dyDescent="0.3">
      <c r="FK91" s="10"/>
      <c r="FL91" s="10"/>
    </row>
    <row r="92" spans="167:168" x14ac:dyDescent="0.3">
      <c r="FK92" s="10"/>
      <c r="FL92" s="10"/>
    </row>
    <row r="93" spans="167:168" x14ac:dyDescent="0.3">
      <c r="FK93" s="10"/>
      <c r="FL93" s="10"/>
    </row>
    <row r="94" spans="167:168" x14ac:dyDescent="0.3">
      <c r="FK94" s="10"/>
      <c r="FL94" s="10"/>
    </row>
    <row r="95" spans="167:168" x14ac:dyDescent="0.3">
      <c r="FK95" s="10"/>
      <c r="FL95" s="10"/>
    </row>
    <row r="96" spans="167:168" x14ac:dyDescent="0.3">
      <c r="FK96" s="10"/>
      <c r="FL96" s="10"/>
    </row>
    <row r="97" spans="167:168" x14ac:dyDescent="0.3">
      <c r="FK97" s="10"/>
      <c r="FL97" s="10"/>
    </row>
    <row r="98" spans="167:168" x14ac:dyDescent="0.3">
      <c r="FK98" s="10"/>
      <c r="FL98" s="10"/>
    </row>
    <row r="99" spans="167:168" x14ac:dyDescent="0.3">
      <c r="FK99" s="10"/>
      <c r="FL99" s="10"/>
    </row>
    <row r="100" spans="167:168" x14ac:dyDescent="0.3">
      <c r="FK100" s="10"/>
      <c r="FL100" s="10"/>
    </row>
    <row r="101" spans="167:168" x14ac:dyDescent="0.3">
      <c r="FK101" s="10"/>
      <c r="FL101" s="10"/>
    </row>
    <row r="102" spans="167:168" x14ac:dyDescent="0.3">
      <c r="FK102" s="10"/>
      <c r="FL102" s="10"/>
    </row>
    <row r="103" spans="167:168" x14ac:dyDescent="0.3">
      <c r="FK103" s="10"/>
      <c r="FL103" s="10"/>
    </row>
    <row r="104" spans="167:168" x14ac:dyDescent="0.3">
      <c r="FK104" s="10"/>
      <c r="FL104" s="10"/>
    </row>
    <row r="105" spans="167:168" x14ac:dyDescent="0.3">
      <c r="FK105" s="10"/>
      <c r="FL105" s="10"/>
    </row>
    <row r="106" spans="167:168" x14ac:dyDescent="0.3">
      <c r="FK106" s="10"/>
      <c r="FL106" s="10"/>
    </row>
    <row r="107" spans="167:168" x14ac:dyDescent="0.3">
      <c r="FK107" s="10"/>
      <c r="FL107" s="10"/>
    </row>
    <row r="108" spans="167:168" x14ac:dyDescent="0.3">
      <c r="FK108" s="10"/>
      <c r="FL108" s="10"/>
    </row>
    <row r="109" spans="167:168" x14ac:dyDescent="0.3">
      <c r="FK109" s="10"/>
      <c r="FL109" s="10"/>
    </row>
    <row r="110" spans="167:168" x14ac:dyDescent="0.3">
      <c r="FK110" s="10"/>
      <c r="FL110" s="10"/>
    </row>
    <row r="111" spans="167:168" x14ac:dyDescent="0.3">
      <c r="FK111" s="10"/>
      <c r="FL111" s="10"/>
    </row>
    <row r="112" spans="167:168" x14ac:dyDescent="0.3">
      <c r="FK112" s="10"/>
      <c r="FL112" s="10"/>
    </row>
    <row r="113" spans="167:168" x14ac:dyDescent="0.3">
      <c r="FK113" s="10"/>
      <c r="FL113" s="10"/>
    </row>
    <row r="114" spans="167:168" x14ac:dyDescent="0.3">
      <c r="FK114" s="10"/>
      <c r="FL114" s="10"/>
    </row>
    <row r="115" spans="167:168" x14ac:dyDescent="0.3">
      <c r="FK115" s="10"/>
      <c r="FL115" s="10"/>
    </row>
    <row r="116" spans="167:168" x14ac:dyDescent="0.3">
      <c r="FK116" s="10"/>
      <c r="FL116" s="10"/>
    </row>
    <row r="117" spans="167:168" x14ac:dyDescent="0.3">
      <c r="FK117" s="10"/>
      <c r="FL117" s="10"/>
    </row>
    <row r="118" spans="167:168" x14ac:dyDescent="0.3">
      <c r="FK118" s="10"/>
      <c r="FL118" s="10"/>
    </row>
    <row r="119" spans="167:168" x14ac:dyDescent="0.3">
      <c r="FK119" s="10"/>
      <c r="FL119" s="10"/>
    </row>
  </sheetData>
  <conditionalFormatting sqref="EB2:EI2">
    <cfRule type="containsText" dxfId="79" priority="1" operator="containsText" text="Sell">
      <formula>NOT(ISERROR(SEARCH("Sell",EB2)))</formula>
    </cfRule>
    <cfRule type="containsText" dxfId="78" priority="2" operator="containsText" text="Buy">
      <formula>NOT(ISERROR(SEARCH("Buy",EB2)))</formula>
    </cfRule>
    <cfRule type="expression" dxfId="77" priority="3">
      <formula>"EC2=""Buy"""</formula>
    </cfRule>
  </conditionalFormatting>
  <conditionalFormatting sqref="EW2:EW9">
    <cfRule type="top10" dxfId="76" priority="11" bottom="1" rank="2"/>
    <cfRule type="top10" dxfId="75" priority="12" rank="2"/>
  </conditionalFormatting>
  <conditionalFormatting sqref="EW13:EW20">
    <cfRule type="top10" dxfId="74" priority="9" bottom="1" rank="2"/>
    <cfRule type="top10" dxfId="73" priority="10" rank="2"/>
  </conditionalFormatting>
  <conditionalFormatting sqref="EW23:EW30">
    <cfRule type="top10" dxfId="72" priority="7" bottom="1" rank="2"/>
    <cfRule type="top10" dxfId="71" priority="8" rank="2"/>
  </conditionalFormatting>
  <dataValidations count="1">
    <dataValidation type="list" allowBlank="1" showInputMessage="1" showErrorMessage="1" sqref="EB2:EI2" xr:uid="{0959CFDB-F9F5-4FDB-B4E7-74457E06451A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B4C5-87AE-428D-B391-B199961A1DB4}">
  <dimension ref="A1:FN119"/>
  <sheetViews>
    <sheetView tabSelected="1" topLeftCell="DQ1" zoomScale="55" zoomScaleNormal="55" workbookViewId="0">
      <selection activeCell="EU17" sqref="EU17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38.5546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27" t="s">
        <v>1</v>
      </c>
      <c r="D1" s="28" t="s">
        <v>2</v>
      </c>
      <c r="E1" s="28" t="s">
        <v>3</v>
      </c>
      <c r="F1" s="28" t="s">
        <v>4</v>
      </c>
      <c r="G1" s="28" t="s">
        <v>5</v>
      </c>
      <c r="H1" s="28" t="s">
        <v>6</v>
      </c>
      <c r="I1" s="28" t="s">
        <v>7</v>
      </c>
      <c r="J1" s="28" t="s">
        <v>8</v>
      </c>
      <c r="K1" s="28" t="s">
        <v>9</v>
      </c>
      <c r="L1" s="28" t="s">
        <v>10</v>
      </c>
      <c r="M1" s="28" t="s">
        <v>11</v>
      </c>
      <c r="N1" s="28" t="s">
        <v>12</v>
      </c>
      <c r="O1" s="28" t="s">
        <v>13</v>
      </c>
      <c r="P1" s="28" t="s">
        <v>14</v>
      </c>
      <c r="Q1" s="28" t="s">
        <v>15</v>
      </c>
      <c r="R1" s="28" t="s">
        <v>16</v>
      </c>
      <c r="S1" s="28" t="s">
        <v>17</v>
      </c>
      <c r="T1" s="28" t="s">
        <v>18</v>
      </c>
      <c r="U1" s="28" t="s">
        <v>19</v>
      </c>
      <c r="V1" s="28" t="s">
        <v>20</v>
      </c>
      <c r="W1" s="28" t="s">
        <v>21</v>
      </c>
      <c r="X1" s="28" t="s">
        <v>22</v>
      </c>
      <c r="Y1" s="28" t="s">
        <v>23</v>
      </c>
      <c r="Z1" s="28" t="s">
        <v>24</v>
      </c>
      <c r="AA1" s="28" t="s">
        <v>25</v>
      </c>
      <c r="AB1" s="28" t="s">
        <v>26</v>
      </c>
      <c r="AC1" s="28" t="s">
        <v>27</v>
      </c>
      <c r="AD1" s="29" t="s">
        <v>28</v>
      </c>
      <c r="AH1" s="17" t="s">
        <v>29</v>
      </c>
      <c r="AI1" s="40" t="s">
        <v>1</v>
      </c>
      <c r="AJ1" s="40" t="s">
        <v>2</v>
      </c>
      <c r="AK1" s="40" t="s">
        <v>3</v>
      </c>
      <c r="AL1" s="40" t="s">
        <v>4</v>
      </c>
      <c r="AM1" s="40" t="s">
        <v>5</v>
      </c>
      <c r="AN1" s="40" t="s">
        <v>6</v>
      </c>
      <c r="AO1" s="40" t="s">
        <v>7</v>
      </c>
      <c r="AP1" s="40" t="s">
        <v>8</v>
      </c>
      <c r="AQ1" s="40" t="s">
        <v>9</v>
      </c>
      <c r="AR1" s="40" t="s">
        <v>10</v>
      </c>
      <c r="AS1" s="40" t="s">
        <v>11</v>
      </c>
      <c r="AT1" s="40" t="s">
        <v>12</v>
      </c>
      <c r="AU1" s="40" t="s">
        <v>13</v>
      </c>
      <c r="AV1" s="40" t="s">
        <v>14</v>
      </c>
      <c r="AW1" s="40" t="s">
        <v>15</v>
      </c>
      <c r="AX1" s="40" t="s">
        <v>16</v>
      </c>
      <c r="AY1" s="40" t="s">
        <v>17</v>
      </c>
      <c r="AZ1" s="40" t="s">
        <v>18</v>
      </c>
      <c r="BA1" s="40" t="s">
        <v>19</v>
      </c>
      <c r="BB1" s="40" t="s">
        <v>20</v>
      </c>
      <c r="BC1" s="40" t="s">
        <v>21</v>
      </c>
      <c r="BD1" s="40" t="s">
        <v>22</v>
      </c>
      <c r="BE1" s="40" t="s">
        <v>23</v>
      </c>
      <c r="BF1" s="40" t="s">
        <v>24</v>
      </c>
      <c r="BG1" s="40" t="s">
        <v>25</v>
      </c>
      <c r="BH1" s="40" t="s">
        <v>26</v>
      </c>
      <c r="BI1" s="40" t="s">
        <v>27</v>
      </c>
      <c r="BJ1" s="40" t="s">
        <v>28</v>
      </c>
      <c r="BN1" s="43" t="s">
        <v>29</v>
      </c>
      <c r="BO1" s="44" t="s">
        <v>1</v>
      </c>
      <c r="BP1" s="44" t="s">
        <v>2</v>
      </c>
      <c r="BQ1" s="44" t="s">
        <v>3</v>
      </c>
      <c r="BR1" s="44" t="s">
        <v>4</v>
      </c>
      <c r="BS1" s="44" t="s">
        <v>5</v>
      </c>
      <c r="BT1" s="44" t="s">
        <v>6</v>
      </c>
      <c r="BU1" s="44" t="s">
        <v>7</v>
      </c>
      <c r="BV1" s="44" t="s">
        <v>8</v>
      </c>
      <c r="BW1" s="44" t="s">
        <v>9</v>
      </c>
      <c r="BX1" s="44" t="s">
        <v>10</v>
      </c>
      <c r="BY1" s="44" t="s">
        <v>11</v>
      </c>
      <c r="BZ1" s="44" t="s">
        <v>12</v>
      </c>
      <c r="CA1" s="44" t="s">
        <v>13</v>
      </c>
      <c r="CB1" s="44" t="s">
        <v>14</v>
      </c>
      <c r="CC1" s="44" t="s">
        <v>15</v>
      </c>
      <c r="CD1" s="44" t="s">
        <v>16</v>
      </c>
      <c r="CE1" s="44" t="s">
        <v>17</v>
      </c>
      <c r="CF1" s="44" t="s">
        <v>18</v>
      </c>
      <c r="CG1" s="44" t="s">
        <v>19</v>
      </c>
      <c r="CH1" s="44" t="s">
        <v>20</v>
      </c>
      <c r="CI1" s="44" t="s">
        <v>21</v>
      </c>
      <c r="CJ1" s="44" t="s">
        <v>22</v>
      </c>
      <c r="CK1" s="44" t="s">
        <v>23</v>
      </c>
      <c r="CL1" s="44" t="s">
        <v>24</v>
      </c>
      <c r="CM1" s="44" t="s">
        <v>25</v>
      </c>
      <c r="CN1" s="44" t="s">
        <v>26</v>
      </c>
      <c r="CO1" s="44" t="s">
        <v>27</v>
      </c>
      <c r="CP1" s="44" t="s">
        <v>28</v>
      </c>
      <c r="CU1" s="22" t="s">
        <v>29</v>
      </c>
      <c r="CV1" s="22" t="s">
        <v>30</v>
      </c>
      <c r="CW1" s="22" t="s">
        <v>31</v>
      </c>
      <c r="CX1" s="22" t="s">
        <v>32</v>
      </c>
      <c r="CY1" s="22" t="s">
        <v>33</v>
      </c>
      <c r="CZ1" s="22" t="s">
        <v>34</v>
      </c>
      <c r="DA1" s="22" t="s">
        <v>35</v>
      </c>
      <c r="DB1" s="22" t="s">
        <v>36</v>
      </c>
      <c r="DC1" s="22" t="s">
        <v>37</v>
      </c>
      <c r="DF1" s="17" t="s">
        <v>29</v>
      </c>
      <c r="DG1" s="17" t="s">
        <v>26</v>
      </c>
      <c r="DH1" s="17" t="s">
        <v>7</v>
      </c>
      <c r="DI1" s="17" t="s">
        <v>27</v>
      </c>
      <c r="DJ1" s="17" t="s">
        <v>9</v>
      </c>
      <c r="DK1" s="17" t="s">
        <v>38</v>
      </c>
      <c r="DL1" s="17" t="s">
        <v>8</v>
      </c>
      <c r="DM1" s="17" t="s">
        <v>39</v>
      </c>
      <c r="DN1" s="17" t="s">
        <v>11</v>
      </c>
      <c r="DO1" s="17" t="s">
        <v>40</v>
      </c>
      <c r="DP1" s="17" t="s">
        <v>12</v>
      </c>
      <c r="DQ1" s="17" t="s">
        <v>28</v>
      </c>
      <c r="DR1" s="17" t="s">
        <v>10</v>
      </c>
      <c r="DS1" s="17" t="s">
        <v>41</v>
      </c>
      <c r="DT1" s="17" t="s">
        <v>42</v>
      </c>
      <c r="DX1" s="4" t="s">
        <v>29</v>
      </c>
      <c r="DY1" s="4" t="s">
        <v>43</v>
      </c>
      <c r="DZ1" s="4"/>
      <c r="EA1" s="4" t="s">
        <v>44</v>
      </c>
      <c r="EB1" s="4" t="s">
        <v>30</v>
      </c>
      <c r="EC1" s="4" t="s">
        <v>31</v>
      </c>
      <c r="ED1" s="4" t="s">
        <v>32</v>
      </c>
      <c r="EE1" s="4" t="s">
        <v>33</v>
      </c>
      <c r="EF1" s="4" t="s">
        <v>45</v>
      </c>
      <c r="EG1" s="4" t="s">
        <v>35</v>
      </c>
      <c r="EH1" s="4" t="s">
        <v>36</v>
      </c>
      <c r="EI1" s="4" t="s">
        <v>37</v>
      </c>
      <c r="EJ1" s="2" t="s">
        <v>46</v>
      </c>
      <c r="EM1" s="3" t="s">
        <v>29</v>
      </c>
      <c r="EN1" s="3" t="s">
        <v>30</v>
      </c>
      <c r="EO1" s="3" t="s">
        <v>31</v>
      </c>
      <c r="EP1" s="3" t="s">
        <v>32</v>
      </c>
      <c r="EQ1" s="3" t="s">
        <v>33</v>
      </c>
      <c r="ER1" s="3" t="s">
        <v>34</v>
      </c>
      <c r="ES1" s="3" t="s">
        <v>35</v>
      </c>
      <c r="ET1" s="3" t="s">
        <v>36</v>
      </c>
      <c r="EU1" s="3" t="s">
        <v>37</v>
      </c>
      <c r="EW1" s="5" t="s">
        <v>51</v>
      </c>
      <c r="FB1" s="3" t="s">
        <v>29</v>
      </c>
      <c r="FC1" s="3" t="s">
        <v>30</v>
      </c>
      <c r="FD1" s="3" t="s">
        <v>31</v>
      </c>
      <c r="FE1" s="3" t="s">
        <v>32</v>
      </c>
      <c r="FF1" s="3" t="s">
        <v>33</v>
      </c>
      <c r="FG1" s="3" t="s">
        <v>34</v>
      </c>
      <c r="FH1" s="3" t="s">
        <v>35</v>
      </c>
      <c r="FI1" s="3" t="s">
        <v>36</v>
      </c>
      <c r="FJ1" s="3" t="s">
        <v>37</v>
      </c>
    </row>
    <row r="2" spans="1:170" ht="18.600000000000001" thickBot="1" x14ac:dyDescent="0.4">
      <c r="A2" s="6">
        <v>45524.84433078704</v>
      </c>
      <c r="B2" s="6" t="s">
        <v>49</v>
      </c>
      <c r="C2" s="30">
        <v>0.67379</v>
      </c>
      <c r="D2" s="31">
        <v>1.0969199999999999</v>
      </c>
      <c r="E2" s="32">
        <v>98.444000000000003</v>
      </c>
      <c r="F2" s="31">
        <v>0.57857000000000003</v>
      </c>
      <c r="G2" s="31">
        <v>0.91786000000000001</v>
      </c>
      <c r="H2" s="31">
        <v>1.1100300000000001</v>
      </c>
      <c r="I2" s="31">
        <v>1.5120800000000001</v>
      </c>
      <c r="J2" s="31">
        <v>0.85255999999999998</v>
      </c>
      <c r="K2" s="31">
        <v>0.95315000000000005</v>
      </c>
      <c r="L2" s="32">
        <v>162.17500000000001</v>
      </c>
      <c r="M2" s="31">
        <v>1.6474</v>
      </c>
      <c r="N2" s="31">
        <v>1.80708</v>
      </c>
      <c r="O2" s="31">
        <v>1.3019700000000001</v>
      </c>
      <c r="P2" s="31">
        <v>1.9322600000000001</v>
      </c>
      <c r="Q2" s="31">
        <v>2.1195400000000002</v>
      </c>
      <c r="R2" s="31">
        <v>1.7735399999999999</v>
      </c>
      <c r="S2" s="31">
        <v>1.1179600000000001</v>
      </c>
      <c r="T2" s="32">
        <v>190.221</v>
      </c>
      <c r="U2" s="32">
        <v>89.742999999999995</v>
      </c>
      <c r="V2" s="31">
        <v>0.52744000000000002</v>
      </c>
      <c r="W2" s="31">
        <v>0.61424000000000001</v>
      </c>
      <c r="X2" s="31">
        <v>0.83672000000000002</v>
      </c>
      <c r="Y2" s="32">
        <v>107.254</v>
      </c>
      <c r="Z2" s="31">
        <v>0.63034999999999997</v>
      </c>
      <c r="AA2" s="32">
        <v>170.13800000000001</v>
      </c>
      <c r="AB2" s="31">
        <v>1.36226</v>
      </c>
      <c r="AC2" s="31">
        <v>0.85872000000000004</v>
      </c>
      <c r="AD2" s="33">
        <v>146.10400000000001</v>
      </c>
      <c r="AH2" s="23">
        <v>1</v>
      </c>
      <c r="AI2" s="41">
        <f>IF(C2=0,0,(C2-C3)*100/C3)</f>
        <v>-5.4883113800875377E-2</v>
      </c>
      <c r="AJ2" s="41">
        <f t="shared" ref="AJ2:AY3" si="0">IF(D2=0,0,(D2-D3)*100/D3)</f>
        <v>-2.0052135552446268E-2</v>
      </c>
      <c r="AK2" s="41">
        <f t="shared" si="0"/>
        <v>-9.9449980718880254E-2</v>
      </c>
      <c r="AL2" s="41">
        <f t="shared" si="0"/>
        <v>-0.10359652606314794</v>
      </c>
      <c r="AM2" s="41">
        <f t="shared" si="0"/>
        <v>-4.0294915217318261E-2</v>
      </c>
      <c r="AN2" s="41">
        <f>IF(H2=0,0,(H2-H3)*100/H3)</f>
        <v>1.7119584805029061E-2</v>
      </c>
      <c r="AO2" s="41">
        <f t="shared" si="0"/>
        <v>3.1092676020944062E-2</v>
      </c>
      <c r="AP2" s="41">
        <f t="shared" si="0"/>
        <v>7.5124424828619349E-2</v>
      </c>
      <c r="AQ2" s="41">
        <f t="shared" si="0"/>
        <v>-3.2513162586780928E-2</v>
      </c>
      <c r="AR2" s="41">
        <f t="shared" si="0"/>
        <v>-2.835637802750092E-2</v>
      </c>
      <c r="AS2" s="41">
        <f t="shared" si="0"/>
        <v>7.1071478468980237E-2</v>
      </c>
      <c r="AT2" s="41">
        <f t="shared" si="0"/>
        <v>5.0936794082475083E-2</v>
      </c>
      <c r="AU2" s="41">
        <f t="shared" si="0"/>
        <v>-5.7571849668388325E-2</v>
      </c>
      <c r="AV2" s="41">
        <f t="shared" si="0"/>
        <v>-3.1050757638459978E-3</v>
      </c>
      <c r="AW2" s="41">
        <f t="shared" si="0"/>
        <v>-2.3584460670540316E-2</v>
      </c>
      <c r="AX2" s="41">
        <f t="shared" si="0"/>
        <v>-4.2833793608752405E-2</v>
      </c>
      <c r="AY2" s="41">
        <f t="shared" si="0"/>
        <v>-0.10722327459879445</v>
      </c>
      <c r="AZ2" s="41">
        <f t="shared" ref="AY2:BJ17" si="1">IF(T2=0,0,(T2-T3)*100/T3)</f>
        <v>-0.10188272982695082</v>
      </c>
      <c r="BA2" s="41">
        <f t="shared" si="1"/>
        <v>-7.6827150046767267E-2</v>
      </c>
      <c r="BB2" s="41">
        <f t="shared" si="1"/>
        <v>-7.9566551737198496E-2</v>
      </c>
      <c r="BC2" s="41">
        <f t="shared" si="1"/>
        <v>-3.0922969256062281E-2</v>
      </c>
      <c r="BD2" s="41">
        <f t="shared" si="1"/>
        <v>-1.6729202017067249E-2</v>
      </c>
      <c r="BE2" s="41">
        <f t="shared" si="1"/>
        <v>-5.8704585480388177E-2</v>
      </c>
      <c r="BF2" s="41">
        <f t="shared" si="1"/>
        <v>-6.1832133684244138E-2</v>
      </c>
      <c r="BG2" s="41">
        <f t="shared" si="1"/>
        <v>1.1755301641096238E-3</v>
      </c>
      <c r="BH2" s="41">
        <f t="shared" si="1"/>
        <v>1.3949356494169502E-2</v>
      </c>
      <c r="BI2" s="41">
        <f t="shared" si="1"/>
        <v>-4.7722696215928957E-2</v>
      </c>
      <c r="BJ2" s="41">
        <f t="shared" si="1"/>
        <v>-4.5836725479047727E-2</v>
      </c>
      <c r="BN2" s="26">
        <v>1</v>
      </c>
      <c r="BO2" s="45">
        <f>AI2+SUM(AI3:AI37)</f>
        <v>0.71730912260641277</v>
      </c>
      <c r="BP2" s="45">
        <f t="shared" ref="BP2:BP28" si="2">AJ2+SUM(AJ3:AJ37)</f>
        <v>-0.48435255753367396</v>
      </c>
      <c r="BQ2" s="45">
        <f t="shared" ref="BQ2:CP11" si="3">AK2+SUM(AK3:AK37)</f>
        <v>0.55145131248566148</v>
      </c>
      <c r="BR2" s="45">
        <f t="shared" si="3"/>
        <v>-4.7161317774334313E-2</v>
      </c>
      <c r="BS2" s="45">
        <f t="shared" si="3"/>
        <v>0.2721204132710025</v>
      </c>
      <c r="BT2" s="45">
        <f t="shared" si="3"/>
        <v>0.57236109420115144</v>
      </c>
      <c r="BU2" s="45">
        <f t="shared" si="3"/>
        <v>0.12748263649123842</v>
      </c>
      <c r="BV2" s="45">
        <f t="shared" si="3"/>
        <v>3.5385628333623013E-2</v>
      </c>
      <c r="BW2" s="45">
        <f t="shared" si="3"/>
        <v>-0.19020355713305048</v>
      </c>
      <c r="BX2" s="45">
        <f t="shared" si="3"/>
        <v>0.40625392203891875</v>
      </c>
      <c r="BY2" s="45">
        <f t="shared" si="3"/>
        <v>-0.14397666845401672</v>
      </c>
      <c r="BZ2" s="45">
        <f t="shared" si="3"/>
        <v>-0.62834784173047631</v>
      </c>
      <c r="CA2" s="45">
        <f t="shared" si="3"/>
        <v>0.54039569407981003</v>
      </c>
      <c r="CB2" s="45">
        <f t="shared" si="3"/>
        <v>-0.17659157310760826</v>
      </c>
      <c r="CC2" s="45">
        <f t="shared" si="3"/>
        <v>-0.66117697796433295</v>
      </c>
      <c r="CD2" s="45">
        <f t="shared" si="3"/>
        <v>9.5105141656639428E-2</v>
      </c>
      <c r="CE2" s="45">
        <f t="shared" si="3"/>
        <v>-0.22444450554263107</v>
      </c>
      <c r="CF2" s="45">
        <f t="shared" si="3"/>
        <v>0.37365270082395563</v>
      </c>
      <c r="CG2" s="45">
        <f t="shared" si="3"/>
        <v>1.0346585344084367</v>
      </c>
      <c r="CH2" s="45">
        <f t="shared" si="3"/>
        <v>0.43796270854926966</v>
      </c>
      <c r="CI2" s="45">
        <f t="shared" si="3"/>
        <v>1.2015596102495656</v>
      </c>
      <c r="CJ2" s="45">
        <f t="shared" si="3"/>
        <v>0.75630527709720696</v>
      </c>
      <c r="CK2" s="45">
        <f t="shared" si="3"/>
        <v>0.279476767041133</v>
      </c>
      <c r="CL2" s="45">
        <f t="shared" si="3"/>
        <v>-0.31747769829853945</v>
      </c>
      <c r="CM2" s="45">
        <f t="shared" si="3"/>
        <v>0.59163781700226037</v>
      </c>
      <c r="CN2" s="45">
        <f t="shared" si="3"/>
        <v>-0.4442510535072321</v>
      </c>
      <c r="CO2" s="45">
        <f t="shared" si="3"/>
        <v>-0.75889320471311938</v>
      </c>
      <c r="CP2" s="45">
        <f t="shared" si="3"/>
        <v>-0.1657578511730585</v>
      </c>
      <c r="CU2" s="23">
        <v>1</v>
      </c>
      <c r="CV2" s="24">
        <f>BT2+BU2+BV2+BW2+BX2+BY2+BZ2</f>
        <v>0.17895521374738821</v>
      </c>
      <c r="CW2" s="24">
        <f>CN2+CO2+CP2-CI2-CA2-BT2-BO2</f>
        <v>-4.40052763053035</v>
      </c>
      <c r="CX2" s="24">
        <f>CK2+CL2-CN2-CJ2-CD2-BU2-BS2</f>
        <v>-0.84476334626626159</v>
      </c>
      <c r="CY2" s="24">
        <f>CM2-CO2-CH2-CE2-BW2-BR2</f>
        <v>1.3743776936161261</v>
      </c>
      <c r="CZ2" s="24">
        <f>CA2+CB2+CC2+CD2+CE2+CF2-BV2</f>
        <v>-8.8445148387790218E-2</v>
      </c>
      <c r="DA2" s="24">
        <f>BO2+BP2+BQ2+BR2+BS2-BY2-CB2</f>
        <v>1.3299352146166934</v>
      </c>
      <c r="DB2" s="24">
        <f>CG2+CH2+CI2+CJ2-CC2-BZ2-BP2</f>
        <v>5.2043635075329613</v>
      </c>
      <c r="DC2" s="24">
        <f>-BQ2-BX2-CF2-CG2-CK2-CM2-CP2</f>
        <v>-3.0713732026273077</v>
      </c>
      <c r="DF2" s="18">
        <v>1</v>
      </c>
      <c r="DG2" s="19">
        <f>CN2</f>
        <v>-0.4442510535072321</v>
      </c>
      <c r="DH2" s="19">
        <f>BU2</f>
        <v>0.12748263649123842</v>
      </c>
      <c r="DI2" s="19">
        <f>CO2</f>
        <v>-0.75889320471311938</v>
      </c>
      <c r="DJ2" s="19">
        <f>BW2</f>
        <v>-0.19020355713305048</v>
      </c>
      <c r="DK2" s="19">
        <f>-(CA2)</f>
        <v>-0.54039569407981003</v>
      </c>
      <c r="DL2" s="19">
        <f>BV2</f>
        <v>3.5385628333623013E-2</v>
      </c>
      <c r="DM2" s="19">
        <f>-(BO2)</f>
        <v>-0.71730912260641277</v>
      </c>
      <c r="DN2" s="19">
        <f>BY2</f>
        <v>-0.14397666845401672</v>
      </c>
      <c r="DO2" s="19">
        <f>-(CI2)</f>
        <v>-1.2015596102495656</v>
      </c>
      <c r="DP2" s="19">
        <f>BZ2</f>
        <v>-0.62834784173047631</v>
      </c>
      <c r="DQ2" s="19">
        <f>CP2</f>
        <v>-0.1657578511730585</v>
      </c>
      <c r="DR2" s="19">
        <f>BX2</f>
        <v>0.40625392203891875</v>
      </c>
      <c r="DS2" s="19">
        <f>-(BT2)</f>
        <v>-0.57236109420115144</v>
      </c>
      <c r="DT2" s="19">
        <f>BT2</f>
        <v>0.57236109420115144</v>
      </c>
      <c r="DX2">
        <v>1</v>
      </c>
      <c r="DY2" s="9">
        <f t="shared" ref="DY2:DY37" si="4"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8.2757367101602686</v>
      </c>
      <c r="EC2" t="s">
        <v>52</v>
      </c>
      <c r="ED2" t="s">
        <v>52</v>
      </c>
      <c r="EE2" t="s">
        <v>52</v>
      </c>
      <c r="EH2" t="s">
        <v>47</v>
      </c>
      <c r="EI2" t="s">
        <v>48</v>
      </c>
      <c r="EJ2" t="s">
        <v>47</v>
      </c>
      <c r="EM2" s="7">
        <v>1</v>
      </c>
      <c r="EN2" s="8">
        <f>BT2+BU2+BV2+BW2+BX2+BY2+BZ2</f>
        <v>0.17895521374738821</v>
      </c>
      <c r="EO2" s="8">
        <f t="shared" ref="EO2:EO37" si="5">CN2+CO2+CP2-CI2-CA2-BT2-BO2</f>
        <v>-4.40052763053035</v>
      </c>
      <c r="EP2" s="8">
        <f>CK2+CL2-CN2-CJ2-CD2-BU2-BS2</f>
        <v>-0.84476334626626159</v>
      </c>
      <c r="EQ2" s="8">
        <f>CM2-CO2-CH2-CE2-BW2-BR2</f>
        <v>1.3743776936161261</v>
      </c>
      <c r="ER2" s="8">
        <f>CA2+CB2+CC2+CD2+CE2+CF2-BV2</f>
        <v>-8.8445148387790218E-2</v>
      </c>
      <c r="ES2" s="8">
        <f>BO2+BP2+BQ2+BR2+BS2-BY2-CB2</f>
        <v>1.3299352146166934</v>
      </c>
      <c r="ET2" s="8">
        <f>CG2+CH2+CI2+CJ2-CC2-BZ2-BP2</f>
        <v>5.2043635075329613</v>
      </c>
      <c r="EU2" s="8">
        <f>-BQ2-BX2-CF2-CG2-CK2-CM2-CP2</f>
        <v>-3.0713732026273077</v>
      </c>
      <c r="EW2" s="15">
        <f>LARGE($EN$2:$EU$2,1)</f>
        <v>5.2043635075329613</v>
      </c>
      <c r="EX2" s="14" t="str">
        <f>INDEX(EN1:EU1,MATCH(EW2,EN2:EU2,0))</f>
        <v>NZD</v>
      </c>
      <c r="FK2" s="10"/>
      <c r="FL2" s="10"/>
    </row>
    <row r="3" spans="1:170" ht="18.600000000000001" thickBot="1" x14ac:dyDescent="0.4">
      <c r="A3" s="12" t="s">
        <v>50</v>
      </c>
      <c r="B3" s="13">
        <v>1</v>
      </c>
      <c r="C3" s="30">
        <v>0.67415999999999998</v>
      </c>
      <c r="D3" s="31">
        <v>1.09714</v>
      </c>
      <c r="E3" s="32">
        <v>98.542000000000002</v>
      </c>
      <c r="F3" s="31">
        <v>0.57916999999999996</v>
      </c>
      <c r="G3" s="31">
        <v>0.91822999999999999</v>
      </c>
      <c r="H3" s="31">
        <v>1.1098399999999999</v>
      </c>
      <c r="I3" s="31">
        <v>1.5116099999999999</v>
      </c>
      <c r="J3" s="31">
        <v>0.85192000000000001</v>
      </c>
      <c r="K3" s="31">
        <v>0.95345999999999997</v>
      </c>
      <c r="L3" s="32">
        <v>162.221</v>
      </c>
      <c r="M3" s="31">
        <v>1.6462300000000001</v>
      </c>
      <c r="N3" s="31">
        <v>1.80616</v>
      </c>
      <c r="O3" s="31">
        <v>1.3027200000000001</v>
      </c>
      <c r="P3" s="31">
        <v>1.93232</v>
      </c>
      <c r="Q3" s="31">
        <v>2.1200399999999999</v>
      </c>
      <c r="R3" s="31">
        <v>1.7743</v>
      </c>
      <c r="S3" s="31">
        <v>1.1191599999999999</v>
      </c>
      <c r="T3" s="32">
        <v>190.41499999999999</v>
      </c>
      <c r="U3" s="32">
        <v>89.811999999999998</v>
      </c>
      <c r="V3" s="31">
        <v>0.52786</v>
      </c>
      <c r="W3" s="31">
        <v>0.61443000000000003</v>
      </c>
      <c r="X3" s="31">
        <v>0.83686000000000005</v>
      </c>
      <c r="Y3" s="32">
        <v>107.31699999999999</v>
      </c>
      <c r="Z3" s="31">
        <v>0.63073999999999997</v>
      </c>
      <c r="AA3" s="32">
        <v>170.136</v>
      </c>
      <c r="AB3" s="31">
        <v>1.3620699999999999</v>
      </c>
      <c r="AC3" s="31">
        <v>0.85912999999999995</v>
      </c>
      <c r="AD3" s="33">
        <v>146.17099999999999</v>
      </c>
      <c r="AH3" s="23">
        <v>2</v>
      </c>
      <c r="AI3" s="42">
        <f>IF(C3=0,0,(C3-C4)*100/C4)</f>
        <v>0.1158335560901724</v>
      </c>
      <c r="AJ3" s="42">
        <f t="shared" si="0"/>
        <v>7.3882863736281723E-2</v>
      </c>
      <c r="AK3" s="42">
        <f t="shared" si="0"/>
        <v>-2.5363458358265419E-2</v>
      </c>
      <c r="AL3" s="42">
        <f t="shared" si="0"/>
        <v>6.5654209644246772E-2</v>
      </c>
      <c r="AM3" s="42">
        <f t="shared" si="0"/>
        <v>0.16034731009206021</v>
      </c>
      <c r="AN3" s="42">
        <f>IF(H3=0,0,(H3-H4)*100/H4)</f>
        <v>0.15702553921124923</v>
      </c>
      <c r="AO3" s="42">
        <f t="shared" si="0"/>
        <v>0.20217956196637835</v>
      </c>
      <c r="AP3" s="42">
        <f t="shared" si="0"/>
        <v>7.0434108891202791E-3</v>
      </c>
      <c r="AQ3" s="42">
        <f t="shared" si="0"/>
        <v>0.10709336021166907</v>
      </c>
      <c r="AR3" s="42">
        <f t="shared" si="0"/>
        <v>1.6646731691687261E-2</v>
      </c>
      <c r="AS3" s="42">
        <f t="shared" si="0"/>
        <v>4.1931523998206023E-2</v>
      </c>
      <c r="AT3" s="42">
        <f t="shared" si="0"/>
        <v>0.11640411072802405</v>
      </c>
      <c r="AU3" s="42">
        <f t="shared" si="0"/>
        <v>0.14837137431869937</v>
      </c>
      <c r="AV3" s="42">
        <f t="shared" si="0"/>
        <v>3.5203246981839985E-2</v>
      </c>
      <c r="AW3" s="42">
        <f t="shared" si="0"/>
        <v>0.11002450760489968</v>
      </c>
      <c r="AX3" s="42">
        <f t="shared" si="0"/>
        <v>0.19482169579580164</v>
      </c>
      <c r="AY3" s="42">
        <f t="shared" si="1"/>
        <v>0.10196597556393613</v>
      </c>
      <c r="AZ3" s="42">
        <f t="shared" si="1"/>
        <v>9.9792012437264748E-3</v>
      </c>
      <c r="BA3" s="42">
        <f t="shared" si="1"/>
        <v>-9.5663974726911086E-2</v>
      </c>
      <c r="BB3" s="42">
        <f t="shared" si="1"/>
        <v>-5.6830021405926412E-3</v>
      </c>
      <c r="BC3" s="42">
        <f t="shared" si="1"/>
        <v>4.3962485345836987E-2</v>
      </c>
      <c r="BD3" s="42">
        <f t="shared" si="1"/>
        <v>8.8504042481949236E-2</v>
      </c>
      <c r="BE3" s="42">
        <f t="shared" si="1"/>
        <v>-0.18508873097958653</v>
      </c>
      <c r="BF3" s="42">
        <f t="shared" si="1"/>
        <v>-9.5035955269750838E-2</v>
      </c>
      <c r="BG3" s="42">
        <f t="shared" si="1"/>
        <v>-8.8673827127150315E-2</v>
      </c>
      <c r="BH3" s="42">
        <f t="shared" si="1"/>
        <v>4.4070012559948725E-2</v>
      </c>
      <c r="BI3" s="42">
        <f t="shared" si="1"/>
        <v>-5.0025594490209116E-2</v>
      </c>
      <c r="BJ3" s="42">
        <f t="shared" si="1"/>
        <v>-0.14005028146691567</v>
      </c>
      <c r="BN3" s="26">
        <v>2</v>
      </c>
      <c r="BO3" s="46">
        <f>AI3+SUM(AI4:AI38)</f>
        <v>0.77219223640728818</v>
      </c>
      <c r="BP3" s="46">
        <f t="shared" si="2"/>
        <v>-0.46430042198122745</v>
      </c>
      <c r="BQ3" s="46">
        <f t="shared" si="3"/>
        <v>0.65090129320454171</v>
      </c>
      <c r="BR3" s="46">
        <f t="shared" si="3"/>
        <v>5.6435208288813613E-2</v>
      </c>
      <c r="BS3" s="46">
        <f t="shared" si="3"/>
        <v>0.31241532848832071</v>
      </c>
      <c r="BT3" s="46">
        <f t="shared" si="3"/>
        <v>0.55524150939612227</v>
      </c>
      <c r="BU3" s="46">
        <f t="shared" si="3"/>
        <v>9.6389960470294356E-2</v>
      </c>
      <c r="BV3" s="46">
        <f t="shared" si="3"/>
        <v>-3.9738796494996335E-2</v>
      </c>
      <c r="BW3" s="46">
        <f t="shared" si="3"/>
        <v>-0.15769039454626951</v>
      </c>
      <c r="BX3" s="46">
        <f t="shared" si="3"/>
        <v>0.43461030006641954</v>
      </c>
      <c r="BY3" s="46">
        <f t="shared" si="3"/>
        <v>-0.21504814692299698</v>
      </c>
      <c r="BZ3" s="46">
        <f t="shared" si="3"/>
        <v>-0.6792846358129514</v>
      </c>
      <c r="CA3" s="46">
        <f t="shared" si="3"/>
        <v>0.59796754374819827</v>
      </c>
      <c r="CB3" s="46">
        <f t="shared" si="3"/>
        <v>-0.17348649734376223</v>
      </c>
      <c r="CC3" s="46">
        <f t="shared" si="3"/>
        <v>-0.63759251729379263</v>
      </c>
      <c r="CD3" s="46">
        <f t="shared" si="3"/>
        <v>0.13793893526539189</v>
      </c>
      <c r="CE3" s="46">
        <f t="shared" si="3"/>
        <v>-0.11722123094383666</v>
      </c>
      <c r="CF3" s="46">
        <f t="shared" si="3"/>
        <v>0.47553543065090659</v>
      </c>
      <c r="CG3" s="46">
        <f t="shared" si="3"/>
        <v>1.1114856844552041</v>
      </c>
      <c r="CH3" s="46">
        <f t="shared" si="3"/>
        <v>0.51752926028646806</v>
      </c>
      <c r="CI3" s="46">
        <f t="shared" si="3"/>
        <v>1.2324825795056278</v>
      </c>
      <c r="CJ3" s="46">
        <f t="shared" si="3"/>
        <v>0.77303447911427425</v>
      </c>
      <c r="CK3" s="46">
        <f t="shared" si="3"/>
        <v>0.33818135252152104</v>
      </c>
      <c r="CL3" s="46">
        <f t="shared" si="3"/>
        <v>-0.25564556461429533</v>
      </c>
      <c r="CM3" s="46">
        <f t="shared" si="3"/>
        <v>0.59046228683815072</v>
      </c>
      <c r="CN3" s="46">
        <f t="shared" si="3"/>
        <v>-0.45820041000140171</v>
      </c>
      <c r="CO3" s="46">
        <f t="shared" si="3"/>
        <v>-0.71117050849719043</v>
      </c>
      <c r="CP3" s="46">
        <f t="shared" si="3"/>
        <v>-0.11992112569401064</v>
      </c>
      <c r="CU3" s="23">
        <v>2</v>
      </c>
      <c r="CV3" s="25">
        <f t="shared" ref="CV3:CV37" si="6">BT3+BU3+BV3+BW3+BX3+BY3+BZ3</f>
        <v>-5.5202038443781243E-3</v>
      </c>
      <c r="CW3" s="25">
        <f t="shared" ref="CW3:CW37" si="7">CN3+CO3+CP3-CI3-CA3-BT3-BO3</f>
        <v>-4.447175913249839</v>
      </c>
      <c r="CX3" s="25">
        <f t="shared" ref="CX3:CX37" si="8">CK3+CL3-CN3-CJ3-CD3-BU3-BS3</f>
        <v>-0.77904250542965392</v>
      </c>
      <c r="CY3" s="25">
        <f t="shared" ref="CY3:CY37" si="9">CM3-CO3-CH3-CE3-BW3-BR3</f>
        <v>1.0025799522501657</v>
      </c>
      <c r="CZ3" s="25">
        <f t="shared" ref="CZ3:CZ37" si="10">CA3+CB3+CC3+CD3+CE3+CF3-BV3</f>
        <v>0.3228804605781016</v>
      </c>
      <c r="DA3" s="25">
        <f t="shared" ref="DA3:DA37" si="11">BO3+BP3+BQ3+BR3+BS3-BY3-CB3</f>
        <v>1.7161782886744958</v>
      </c>
      <c r="DB3" s="25">
        <f t="shared" ref="DB3:DB37" si="12">CG3+CH3+CI3+CJ3-CC3-BZ3-BP3</f>
        <v>5.4157095784495457</v>
      </c>
      <c r="DC3" s="25">
        <f t="shared" ref="DC3:DC37" si="13">-BQ3-BX3-CF3-CG3-CK3-CM3-CP3</f>
        <v>-3.4812552220427331</v>
      </c>
      <c r="DF3" s="20">
        <v>2</v>
      </c>
      <c r="DG3" s="21">
        <f>CN3</f>
        <v>-0.45820041000140171</v>
      </c>
      <c r="DH3" s="21">
        <f t="shared" ref="DH3:DH37" si="14">BU3</f>
        <v>9.6389960470294356E-2</v>
      </c>
      <c r="DI3" s="21">
        <f t="shared" ref="DI3:DI37" si="15">CO3</f>
        <v>-0.71117050849719043</v>
      </c>
      <c r="DJ3" s="21">
        <f t="shared" ref="DJ3:DJ37" si="16">BW3</f>
        <v>-0.15769039454626951</v>
      </c>
      <c r="DK3" s="21">
        <f t="shared" ref="DK3:DK37" si="17">-(CA3)</f>
        <v>-0.59796754374819827</v>
      </c>
      <c r="DL3" s="21">
        <f t="shared" ref="DL3:DL37" si="18">BV3</f>
        <v>-3.9738796494996335E-2</v>
      </c>
      <c r="DM3" s="21">
        <f t="shared" ref="DM3:DM37" si="19">-(BO3)</f>
        <v>-0.77219223640728818</v>
      </c>
      <c r="DN3" s="21">
        <f t="shared" ref="DN3:DN37" si="20">BY3</f>
        <v>-0.21504814692299698</v>
      </c>
      <c r="DO3" s="21">
        <f t="shared" ref="DO3:DO37" si="21">-(CI3)</f>
        <v>-1.2324825795056278</v>
      </c>
      <c r="DP3" s="21">
        <f t="shared" ref="DP3:DP37" si="22">BZ3</f>
        <v>-0.6792846358129514</v>
      </c>
      <c r="DQ3" s="21">
        <f t="shared" ref="DQ3:DQ37" si="23">CP3</f>
        <v>-0.11992112569401064</v>
      </c>
      <c r="DR3" s="21">
        <f t="shared" ref="DR3:DR37" si="24">BX3</f>
        <v>0.43461030006641954</v>
      </c>
      <c r="DS3" s="21">
        <f t="shared" ref="DS3:DS37" si="25">-(BT3)</f>
        <v>-0.55524150939612227</v>
      </c>
      <c r="DT3" s="21">
        <f t="shared" ref="DT3:DT37" si="26">BT3</f>
        <v>0.55524150939612227</v>
      </c>
      <c r="DX3">
        <v>2</v>
      </c>
      <c r="DY3" s="9">
        <f t="shared" si="4"/>
        <v>8.8969648004922792</v>
      </c>
      <c r="EJ3" t="s">
        <v>48</v>
      </c>
      <c r="EM3" s="11">
        <v>2</v>
      </c>
      <c r="EN3" s="8">
        <f t="shared" ref="EN3:EN37" si="27">BT3+BU3+BV3+BW3+BX3+BY3+BZ3</f>
        <v>-5.5202038443781243E-3</v>
      </c>
      <c r="EO3" s="8">
        <f t="shared" si="5"/>
        <v>-4.447175913249839</v>
      </c>
      <c r="EP3" s="8">
        <f t="shared" ref="EP3:EP37" si="28">CK3+CL3-CN3-CJ3-CD3-BU3-BS3</f>
        <v>-0.77904250542965392</v>
      </c>
      <c r="EQ3" s="8">
        <f t="shared" ref="EQ3:EQ37" si="29">CM3-CO3-CH3-CE3-BW3-BR3</f>
        <v>1.0025799522501657</v>
      </c>
      <c r="ER3" s="8">
        <f t="shared" ref="ER3:ER37" si="30">CA3+CB3+CC3+CD3+CE3+CF3-BV3</f>
        <v>0.3228804605781016</v>
      </c>
      <c r="ES3" s="8">
        <f t="shared" ref="ES3:ES37" si="31">BO3+BP3+BQ3+BR3+BS3-BY3-CB3</f>
        <v>1.7161782886744958</v>
      </c>
      <c r="ET3" s="8">
        <f t="shared" ref="ET3:ET37" si="32">CG3+CH3+CI3+CJ3-CC3-BZ3-BP3</f>
        <v>5.4157095784495457</v>
      </c>
      <c r="EU3" s="8">
        <f t="shared" ref="EU3:EU37" si="33">-BQ3-BX3-CF3-CG3-CK3-CM3-CP3</f>
        <v>-3.4812552220427331</v>
      </c>
      <c r="EW3" s="15">
        <f>LARGE($EN$2:$EU$2,2)</f>
        <v>1.3743776936161261</v>
      </c>
      <c r="EX3" s="14" t="str">
        <f>INDEX(EN1:EU1,MATCH(EW3,EN2:EU2,0))</f>
        <v>CHF</v>
      </c>
      <c r="FK3" s="10"/>
      <c r="FL3" s="10"/>
    </row>
    <row r="4" spans="1:170" ht="18.600000000000001" thickBot="1" x14ac:dyDescent="0.4">
      <c r="A4" s="12" t="s">
        <v>50</v>
      </c>
      <c r="B4" s="13">
        <v>2</v>
      </c>
      <c r="C4" s="30">
        <v>0.67337999999999998</v>
      </c>
      <c r="D4" s="31">
        <v>1.09633</v>
      </c>
      <c r="E4" s="32">
        <v>98.566999999999993</v>
      </c>
      <c r="F4" s="31">
        <v>0.57879000000000003</v>
      </c>
      <c r="G4" s="31">
        <v>0.91676000000000002</v>
      </c>
      <c r="H4" s="31">
        <v>1.1081000000000001</v>
      </c>
      <c r="I4" s="31">
        <v>1.5085599999999999</v>
      </c>
      <c r="J4" s="31">
        <v>0.85185999999999995</v>
      </c>
      <c r="K4" s="31">
        <v>0.95243999999999995</v>
      </c>
      <c r="L4" s="32">
        <v>162.19399999999999</v>
      </c>
      <c r="M4" s="31">
        <v>1.64554</v>
      </c>
      <c r="N4" s="31">
        <v>1.80406</v>
      </c>
      <c r="O4" s="31">
        <v>1.3007899999999999</v>
      </c>
      <c r="P4" s="31">
        <v>1.93164</v>
      </c>
      <c r="Q4" s="31">
        <v>2.1177100000000002</v>
      </c>
      <c r="R4" s="31">
        <v>1.77085</v>
      </c>
      <c r="S4" s="31">
        <v>1.11802</v>
      </c>
      <c r="T4" s="32">
        <v>190.39599999999999</v>
      </c>
      <c r="U4" s="32">
        <v>89.897999999999996</v>
      </c>
      <c r="V4" s="31">
        <v>0.52788999999999997</v>
      </c>
      <c r="W4" s="31">
        <v>0.61416000000000004</v>
      </c>
      <c r="X4" s="31">
        <v>0.83611999999999997</v>
      </c>
      <c r="Y4" s="32">
        <v>107.51600000000001</v>
      </c>
      <c r="Z4" s="31">
        <v>0.63134000000000001</v>
      </c>
      <c r="AA4" s="32">
        <v>170.28700000000001</v>
      </c>
      <c r="AB4" s="31">
        <v>1.36147</v>
      </c>
      <c r="AC4" s="31">
        <v>0.85955999999999999</v>
      </c>
      <c r="AD4" s="33">
        <v>146.376</v>
      </c>
      <c r="AH4" s="23">
        <v>3</v>
      </c>
      <c r="AI4" s="41">
        <f t="shared" ref="AI4:AX19" si="34">IF(C4=0,0,(C4-C5)*100/C5)</f>
        <v>2.5252150146314448E-2</v>
      </c>
      <c r="AJ4" s="41">
        <f t="shared" si="34"/>
        <v>1.0034482129504524E-2</v>
      </c>
      <c r="AK4" s="41">
        <f t="shared" si="34"/>
        <v>-2.4342992768103488E-2</v>
      </c>
      <c r="AL4" s="41">
        <f t="shared" si="34"/>
        <v>2.246569660942082E-2</v>
      </c>
      <c r="AM4" s="41">
        <f t="shared" si="34"/>
        <v>5.5661664392907005E-2</v>
      </c>
      <c r="AN4" s="41">
        <f>IF(H4=0,0,(H4-H5)*100/H5)</f>
        <v>-9.9259165681443457E-3</v>
      </c>
      <c r="AO4" s="41">
        <f t="shared" si="34"/>
        <v>2.0553621747045277E-2</v>
      </c>
      <c r="AP4" s="41">
        <f t="shared" si="34"/>
        <v>-4.10696893958147E-2</v>
      </c>
      <c r="AQ4" s="41">
        <f t="shared" si="34"/>
        <v>-9.4485213064191675E-3</v>
      </c>
      <c r="AR4" s="41">
        <f t="shared" si="34"/>
        <v>-6.0384985088613848E-2</v>
      </c>
      <c r="AS4" s="41">
        <f t="shared" si="34"/>
        <v>-3.5234369304790958E-2</v>
      </c>
      <c r="AT4" s="41">
        <f t="shared" si="34"/>
        <v>-2.5491543457534689E-2</v>
      </c>
      <c r="AU4" s="41">
        <f t="shared" si="34"/>
        <v>3.0760002768396862E-2</v>
      </c>
      <c r="AV4" s="41">
        <f t="shared" si="34"/>
        <v>2.5885410465008372E-3</v>
      </c>
      <c r="AW4" s="41">
        <f t="shared" si="34"/>
        <v>1.2278920399554704E-2</v>
      </c>
      <c r="AX4" s="41">
        <f t="shared" si="34"/>
        <v>5.8198008837061763E-2</v>
      </c>
      <c r="AY4" s="41">
        <f t="shared" si="1"/>
        <v>2.5945442996083447E-2</v>
      </c>
      <c r="AZ4" s="41">
        <f t="shared" si="1"/>
        <v>-2.205442191159411E-2</v>
      </c>
      <c r="BA4" s="41">
        <f t="shared" si="1"/>
        <v>-3.4471638737232607E-2</v>
      </c>
      <c r="BB4" s="41">
        <f t="shared" si="1"/>
        <v>1.326209692698543E-2</v>
      </c>
      <c r="BC4" s="41">
        <f t="shared" si="1"/>
        <v>1.4656309541263129E-2</v>
      </c>
      <c r="BD4" s="41">
        <f t="shared" si="1"/>
        <v>4.5468686433572152E-2</v>
      </c>
      <c r="BE4" s="41">
        <f t="shared" si="1"/>
        <v>-8.0852764328121982E-2</v>
      </c>
      <c r="BF4" s="41">
        <f t="shared" si="1"/>
        <v>-3.3251524028173933E-2</v>
      </c>
      <c r="BG4" s="41">
        <f t="shared" si="1"/>
        <v>-5.2824031412692679E-2</v>
      </c>
      <c r="BH4" s="41">
        <f t="shared" si="1"/>
        <v>3.0858528342078903E-2</v>
      </c>
      <c r="BI4" s="41">
        <f t="shared" si="1"/>
        <v>1.1633994531969622E-3</v>
      </c>
      <c r="BJ4" s="41">
        <f t="shared" si="1"/>
        <v>-4.9164208456245716E-2</v>
      </c>
      <c r="BN4" s="26">
        <v>3</v>
      </c>
      <c r="BO4" s="45">
        <f t="shared" ref="BO3:BO28" si="35">AI4+SUM(AI5:AI39)</f>
        <v>0.65635868031711575</v>
      </c>
      <c r="BP4" s="45">
        <f t="shared" si="2"/>
        <v>-0.53818328571750929</v>
      </c>
      <c r="BQ4" s="45">
        <f t="shared" si="3"/>
        <v>0.67626475156280719</v>
      </c>
      <c r="BR4" s="45">
        <f t="shared" si="3"/>
        <v>-9.2190013554332359E-3</v>
      </c>
      <c r="BS4" s="45">
        <f t="shared" si="3"/>
        <v>0.15206801839626047</v>
      </c>
      <c r="BT4" s="45">
        <f t="shared" si="3"/>
        <v>0.39821597018487309</v>
      </c>
      <c r="BU4" s="45">
        <f t="shared" si="3"/>
        <v>-0.10578960149608393</v>
      </c>
      <c r="BV4" s="45">
        <f t="shared" si="3"/>
        <v>-4.6782207384116599E-2</v>
      </c>
      <c r="BW4" s="45">
        <f t="shared" si="3"/>
        <v>-0.26478375475793858</v>
      </c>
      <c r="BX4" s="45">
        <f t="shared" si="3"/>
        <v>0.41796356837473242</v>
      </c>
      <c r="BY4" s="45">
        <f t="shared" si="3"/>
        <v>-0.256979670921203</v>
      </c>
      <c r="BZ4" s="45">
        <f t="shared" si="3"/>
        <v>-0.79568874654097543</v>
      </c>
      <c r="CA4" s="45">
        <f t="shared" si="3"/>
        <v>0.44959616942949898</v>
      </c>
      <c r="CB4" s="45">
        <f t="shared" si="3"/>
        <v>-0.20868974432560225</v>
      </c>
      <c r="CC4" s="45">
        <f t="shared" si="3"/>
        <v>-0.74761702489869231</v>
      </c>
      <c r="CD4" s="45">
        <f t="shared" si="3"/>
        <v>-5.6882760530409748E-2</v>
      </c>
      <c r="CE4" s="45">
        <f t="shared" si="3"/>
        <v>-0.21918720650777276</v>
      </c>
      <c r="CF4" s="45">
        <f t="shared" si="3"/>
        <v>0.46555622940717989</v>
      </c>
      <c r="CG4" s="45">
        <f t="shared" si="3"/>
        <v>1.2071496591821149</v>
      </c>
      <c r="CH4" s="45">
        <f t="shared" si="3"/>
        <v>0.52321226242706076</v>
      </c>
      <c r="CI4" s="45">
        <f t="shared" si="3"/>
        <v>1.1885200941597909</v>
      </c>
      <c r="CJ4" s="45">
        <f t="shared" si="3"/>
        <v>0.68453043663232516</v>
      </c>
      <c r="CK4" s="45">
        <f t="shared" si="3"/>
        <v>0.5232700835011076</v>
      </c>
      <c r="CL4" s="45">
        <f t="shared" si="3"/>
        <v>-0.16060960934454455</v>
      </c>
      <c r="CM4" s="45">
        <f t="shared" si="3"/>
        <v>0.67913611396530105</v>
      </c>
      <c r="CN4" s="45">
        <f t="shared" si="3"/>
        <v>-0.50227042256135046</v>
      </c>
      <c r="CO4" s="45">
        <f t="shared" si="3"/>
        <v>-0.66114491400698128</v>
      </c>
      <c r="CP4" s="45">
        <f t="shared" si="3"/>
        <v>2.0129155772905007E-2</v>
      </c>
      <c r="CU4" s="23">
        <v>3</v>
      </c>
      <c r="CV4" s="24">
        <f t="shared" si="6"/>
        <v>-0.65384444254071206</v>
      </c>
      <c r="CW4" s="24">
        <f t="shared" si="7"/>
        <v>-3.8359770948867054</v>
      </c>
      <c r="CX4" s="24">
        <f t="shared" si="8"/>
        <v>0.19100480371582154</v>
      </c>
      <c r="CY4" s="24">
        <f t="shared" si="9"/>
        <v>1.310258728166366</v>
      </c>
      <c r="CZ4" s="24">
        <f t="shared" si="10"/>
        <v>-0.27044213004168166</v>
      </c>
      <c r="DA4" s="24">
        <f t="shared" si="11"/>
        <v>1.402958578450046</v>
      </c>
      <c r="DB4" s="24">
        <f t="shared" si="12"/>
        <v>5.6849015095584692</v>
      </c>
      <c r="DC4" s="24">
        <f t="shared" si="13"/>
        <v>-3.989469561766148</v>
      </c>
      <c r="DF4" s="18">
        <v>3</v>
      </c>
      <c r="DG4" s="19">
        <f t="shared" ref="DG4:DG37" si="36">CN4</f>
        <v>-0.50227042256135046</v>
      </c>
      <c r="DH4" s="19">
        <f t="shared" si="14"/>
        <v>-0.10578960149608393</v>
      </c>
      <c r="DI4" s="19">
        <f t="shared" si="15"/>
        <v>-0.66114491400698128</v>
      </c>
      <c r="DJ4" s="19">
        <f t="shared" si="16"/>
        <v>-0.26478375475793858</v>
      </c>
      <c r="DK4" s="19">
        <f t="shared" si="17"/>
        <v>-0.44959616942949898</v>
      </c>
      <c r="DL4" s="19">
        <f t="shared" si="18"/>
        <v>-4.6782207384116599E-2</v>
      </c>
      <c r="DM4" s="19">
        <f t="shared" si="19"/>
        <v>-0.65635868031711575</v>
      </c>
      <c r="DN4" s="19">
        <f t="shared" si="20"/>
        <v>-0.256979670921203</v>
      </c>
      <c r="DO4" s="19">
        <f t="shared" si="21"/>
        <v>-1.1885200941597909</v>
      </c>
      <c r="DP4" s="19">
        <f t="shared" si="22"/>
        <v>-0.79568874654097543</v>
      </c>
      <c r="DQ4" s="19">
        <f t="shared" si="23"/>
        <v>2.0129155772905007E-2</v>
      </c>
      <c r="DR4" s="19">
        <f t="shared" si="24"/>
        <v>0.41796356837473242</v>
      </c>
      <c r="DS4" s="19">
        <f t="shared" si="25"/>
        <v>-0.39821597018487309</v>
      </c>
      <c r="DT4" s="19">
        <f t="shared" si="26"/>
        <v>0.39821597018487309</v>
      </c>
      <c r="DX4">
        <v>3</v>
      </c>
      <c r="DY4" s="9">
        <f t="shared" si="4"/>
        <v>9.674371071324618</v>
      </c>
      <c r="EJ4" t="str">
        <f>"-"</f>
        <v>-</v>
      </c>
      <c r="EM4" s="11">
        <v>3</v>
      </c>
      <c r="EN4" s="8">
        <f t="shared" si="27"/>
        <v>-0.65384444254071206</v>
      </c>
      <c r="EO4" s="8">
        <f t="shared" si="5"/>
        <v>-3.8359770948867054</v>
      </c>
      <c r="EP4" s="8">
        <f t="shared" si="28"/>
        <v>0.19100480371582154</v>
      </c>
      <c r="EQ4" s="8">
        <f t="shared" si="29"/>
        <v>1.310258728166366</v>
      </c>
      <c r="ER4" s="8">
        <f t="shared" si="30"/>
        <v>-0.27044213004168166</v>
      </c>
      <c r="ES4" s="8">
        <f t="shared" si="31"/>
        <v>1.402958578450046</v>
      </c>
      <c r="ET4" s="8">
        <f t="shared" si="32"/>
        <v>5.6849015095584692</v>
      </c>
      <c r="EU4" s="8">
        <f t="shared" si="33"/>
        <v>-3.989469561766148</v>
      </c>
      <c r="EW4" s="15">
        <f>LARGE($EN$2:$EU$2,3)</f>
        <v>1.3299352146166934</v>
      </c>
      <c r="EX4" s="14" t="str">
        <f>INDEX(EN1:EU1,MATCH(EW4,EN2:EU2,0))</f>
        <v>AUD</v>
      </c>
      <c r="FK4" s="10"/>
      <c r="FL4" s="10"/>
    </row>
    <row r="5" spans="1:170" ht="18.600000000000001" thickBot="1" x14ac:dyDescent="0.4">
      <c r="A5" s="12" t="s">
        <v>50</v>
      </c>
      <c r="B5" s="13">
        <v>3</v>
      </c>
      <c r="C5" s="30">
        <v>0.67320999999999998</v>
      </c>
      <c r="D5" s="31">
        <v>1.09622</v>
      </c>
      <c r="E5" s="32">
        <v>98.590999999999994</v>
      </c>
      <c r="F5" s="31">
        <v>0.57865999999999995</v>
      </c>
      <c r="G5" s="31">
        <v>0.91625000000000001</v>
      </c>
      <c r="H5" s="31">
        <v>1.1082099999999999</v>
      </c>
      <c r="I5" s="31">
        <v>1.5082500000000001</v>
      </c>
      <c r="J5" s="31">
        <v>0.85221000000000002</v>
      </c>
      <c r="K5" s="31">
        <v>0.95252999999999999</v>
      </c>
      <c r="L5" s="32">
        <v>162.292</v>
      </c>
      <c r="M5" s="31">
        <v>1.64612</v>
      </c>
      <c r="N5" s="31">
        <v>1.8045199999999999</v>
      </c>
      <c r="O5" s="31">
        <v>1.3003899999999999</v>
      </c>
      <c r="P5" s="31">
        <v>1.9315899999999999</v>
      </c>
      <c r="Q5" s="31">
        <v>2.1174499999999998</v>
      </c>
      <c r="R5" s="31">
        <v>1.7698199999999999</v>
      </c>
      <c r="S5" s="31">
        <v>1.1177299999999999</v>
      </c>
      <c r="T5" s="32">
        <v>190.43799999999999</v>
      </c>
      <c r="U5" s="32">
        <v>89.929000000000002</v>
      </c>
      <c r="V5" s="31">
        <v>0.52781999999999996</v>
      </c>
      <c r="W5" s="31">
        <v>0.61407</v>
      </c>
      <c r="X5" s="31">
        <v>0.83574000000000004</v>
      </c>
      <c r="Y5" s="32">
        <v>107.60299999999999</v>
      </c>
      <c r="Z5" s="31">
        <v>0.63154999999999994</v>
      </c>
      <c r="AA5" s="32">
        <v>170.37700000000001</v>
      </c>
      <c r="AB5" s="31">
        <v>1.3610500000000001</v>
      </c>
      <c r="AC5" s="31">
        <v>0.85955000000000004</v>
      </c>
      <c r="AD5" s="33">
        <v>146.44800000000001</v>
      </c>
      <c r="AH5" s="23">
        <v>4</v>
      </c>
      <c r="AI5" s="42">
        <f t="shared" si="34"/>
        <v>3.5662808148954332E-2</v>
      </c>
      <c r="AJ5" s="42">
        <f t="shared" si="34"/>
        <v>-6.4726099204141421E-2</v>
      </c>
      <c r="AK5" s="42">
        <f t="shared" si="34"/>
        <v>1.826057845454707E-2</v>
      </c>
      <c r="AL5" s="42">
        <f t="shared" si="34"/>
        <v>-1.7278319165128897E-2</v>
      </c>
      <c r="AM5" s="42">
        <f t="shared" si="34"/>
        <v>3.2743227609061676E-3</v>
      </c>
      <c r="AN5" s="42">
        <f t="shared" si="34"/>
        <v>5.688076707776489E-2</v>
      </c>
      <c r="AO5" s="42">
        <f t="shared" si="34"/>
        <v>2.1884450103464608E-2</v>
      </c>
      <c r="AP5" s="42">
        <f t="shared" si="34"/>
        <v>6.3404839902777468E-2</v>
      </c>
      <c r="AQ5" s="42">
        <f t="shared" si="34"/>
        <v>1.0498467223737549E-3</v>
      </c>
      <c r="AR5" s="42">
        <f t="shared" si="34"/>
        <v>3.57508290493933E-2</v>
      </c>
      <c r="AS5" s="42">
        <f t="shared" si="34"/>
        <v>1.8835710075891656E-2</v>
      </c>
      <c r="AT5" s="42">
        <f t="shared" si="34"/>
        <v>-4.5974464785227709E-2</v>
      </c>
      <c r="AU5" s="42">
        <f t="shared" si="34"/>
        <v>-4.6137875350971604E-3</v>
      </c>
      <c r="AV5" s="42">
        <f t="shared" si="34"/>
        <v>-4.2951325281259167E-2</v>
      </c>
      <c r="AW5" s="42">
        <f t="shared" si="34"/>
        <v>-0.10803211714645887</v>
      </c>
      <c r="AX5" s="42">
        <f t="shared" si="34"/>
        <v>-3.9536407383149862E-2</v>
      </c>
      <c r="AY5" s="42">
        <f t="shared" si="1"/>
        <v>-6.2587734592253863E-2</v>
      </c>
      <c r="AZ5" s="42">
        <f t="shared" si="1"/>
        <v>-2.5198702266834214E-2</v>
      </c>
      <c r="BA5" s="42">
        <f t="shared" si="1"/>
        <v>7.5672427415672913E-2</v>
      </c>
      <c r="BB5" s="42">
        <f t="shared" si="1"/>
        <v>3.9802126570749691E-2</v>
      </c>
      <c r="BC5" s="42">
        <f t="shared" si="1"/>
        <v>9.6172654365257126E-2</v>
      </c>
      <c r="BD5" s="42">
        <f t="shared" si="1"/>
        <v>6.2259045520949685E-2</v>
      </c>
      <c r="BE5" s="42">
        <f t="shared" si="1"/>
        <v>1.4871685240773636E-2</v>
      </c>
      <c r="BF5" s="42">
        <f t="shared" si="1"/>
        <v>-2.2162769712996723E-2</v>
      </c>
      <c r="BG5" s="42">
        <f t="shared" si="1"/>
        <v>3.6403135366827245E-2</v>
      </c>
      <c r="BH5" s="42">
        <f t="shared" si="1"/>
        <v>-3.3786016995828526E-2</v>
      </c>
      <c r="BI5" s="42">
        <f t="shared" si="1"/>
        <v>-5.5812006557902041E-2</v>
      </c>
      <c r="BJ5" s="42">
        <f t="shared" si="1"/>
        <v>-1.9798330113257618E-2</v>
      </c>
      <c r="BN5" s="26">
        <v>4</v>
      </c>
      <c r="BO5" s="46">
        <f t="shared" si="35"/>
        <v>0.63110653017080121</v>
      </c>
      <c r="BP5" s="46">
        <f t="shared" si="2"/>
        <v>-0.54821776784701393</v>
      </c>
      <c r="BQ5" s="46">
        <f t="shared" si="3"/>
        <v>0.70060774433091066</v>
      </c>
      <c r="BR5" s="46">
        <f t="shared" si="3"/>
        <v>-3.1684697964854056E-2</v>
      </c>
      <c r="BS5" s="46">
        <f t="shared" si="3"/>
        <v>9.6406354003353456E-2</v>
      </c>
      <c r="BT5" s="46">
        <f t="shared" si="3"/>
        <v>0.40814188675301744</v>
      </c>
      <c r="BU5" s="46">
        <f t="shared" si="3"/>
        <v>-0.12634322324312922</v>
      </c>
      <c r="BV5" s="46">
        <f t="shared" si="3"/>
        <v>-5.7125179883019267E-3</v>
      </c>
      <c r="BW5" s="46">
        <f t="shared" si="3"/>
        <v>-0.25533523345151954</v>
      </c>
      <c r="BX5" s="46">
        <f t="shared" si="3"/>
        <v>0.47834855346334626</v>
      </c>
      <c r="BY5" s="46">
        <f t="shared" si="3"/>
        <v>-0.22174530161641201</v>
      </c>
      <c r="BZ5" s="46">
        <f t="shared" si="3"/>
        <v>-0.77019720308344086</v>
      </c>
      <c r="CA5" s="46">
        <f t="shared" si="3"/>
        <v>0.41883616666110207</v>
      </c>
      <c r="CB5" s="46">
        <f t="shared" si="3"/>
        <v>-0.21127828537210308</v>
      </c>
      <c r="CC5" s="46">
        <f t="shared" si="3"/>
        <v>-0.759895945298247</v>
      </c>
      <c r="CD5" s="46">
        <f t="shared" si="3"/>
        <v>-0.11508076936747152</v>
      </c>
      <c r="CE5" s="46">
        <f t="shared" si="3"/>
        <v>-0.24513264950385621</v>
      </c>
      <c r="CF5" s="46">
        <f t="shared" si="3"/>
        <v>0.48761065131877407</v>
      </c>
      <c r="CG5" s="46">
        <f t="shared" si="3"/>
        <v>1.2416212979193477</v>
      </c>
      <c r="CH5" s="46">
        <f t="shared" si="3"/>
        <v>0.50995016550007533</v>
      </c>
      <c r="CI5" s="46">
        <f t="shared" si="3"/>
        <v>1.1738637846185278</v>
      </c>
      <c r="CJ5" s="46">
        <f t="shared" si="3"/>
        <v>0.639061750198753</v>
      </c>
      <c r="CK5" s="46">
        <f t="shared" si="3"/>
        <v>0.60412284782922954</v>
      </c>
      <c r="CL5" s="46">
        <f t="shared" si="3"/>
        <v>-0.12735808531637063</v>
      </c>
      <c r="CM5" s="46">
        <f t="shared" si="3"/>
        <v>0.7319601453779937</v>
      </c>
      <c r="CN5" s="46">
        <f t="shared" si="3"/>
        <v>-0.53312895090342938</v>
      </c>
      <c r="CO5" s="46">
        <f t="shared" si="3"/>
        <v>-0.66230831346017827</v>
      </c>
      <c r="CP5" s="46">
        <f t="shared" si="3"/>
        <v>6.9293364229150708E-2</v>
      </c>
      <c r="CU5" s="23">
        <v>4</v>
      </c>
      <c r="CV5" s="25">
        <f t="shared" si="6"/>
        <v>-0.49284303916643979</v>
      </c>
      <c r="CW5" s="25">
        <f t="shared" si="7"/>
        <v>-3.7580922683379052</v>
      </c>
      <c r="CX5" s="25">
        <f t="shared" si="8"/>
        <v>0.51584960182478246</v>
      </c>
      <c r="CY5" s="25">
        <f t="shared" si="9"/>
        <v>1.4164708742583263</v>
      </c>
      <c r="CZ5" s="25">
        <f t="shared" si="10"/>
        <v>-0.41922831357349966</v>
      </c>
      <c r="DA5" s="25">
        <f t="shared" si="11"/>
        <v>1.2812417496817123</v>
      </c>
      <c r="DB5" s="25">
        <f t="shared" si="12"/>
        <v>5.642807914465406</v>
      </c>
      <c r="DC5" s="25">
        <f t="shared" si="13"/>
        <v>-4.3135646044687528</v>
      </c>
      <c r="DF5" s="20">
        <v>4</v>
      </c>
      <c r="DG5" s="21">
        <f t="shared" si="36"/>
        <v>-0.53312895090342938</v>
      </c>
      <c r="DH5" s="21">
        <f t="shared" si="14"/>
        <v>-0.12634322324312922</v>
      </c>
      <c r="DI5" s="21">
        <f t="shared" si="15"/>
        <v>-0.66230831346017827</v>
      </c>
      <c r="DJ5" s="21">
        <f t="shared" si="16"/>
        <v>-0.25533523345151954</v>
      </c>
      <c r="DK5" s="21">
        <f t="shared" si="17"/>
        <v>-0.41883616666110207</v>
      </c>
      <c r="DL5" s="21">
        <f t="shared" si="18"/>
        <v>-5.7125179883019267E-3</v>
      </c>
      <c r="DM5" s="21">
        <f t="shared" si="19"/>
        <v>-0.63110653017080121</v>
      </c>
      <c r="DN5" s="21">
        <f t="shared" si="20"/>
        <v>-0.22174530161641201</v>
      </c>
      <c r="DO5" s="21">
        <f t="shared" si="21"/>
        <v>-1.1738637846185278</v>
      </c>
      <c r="DP5" s="21">
        <f t="shared" si="22"/>
        <v>-0.77019720308344086</v>
      </c>
      <c r="DQ5" s="21">
        <f t="shared" si="23"/>
        <v>6.9293364229150708E-2</v>
      </c>
      <c r="DR5" s="21">
        <f t="shared" si="24"/>
        <v>0.47834855346334626</v>
      </c>
      <c r="DS5" s="21">
        <f t="shared" si="25"/>
        <v>-0.40814188675301744</v>
      </c>
      <c r="DT5" s="21">
        <f t="shared" si="26"/>
        <v>0.40814188675301744</v>
      </c>
      <c r="DX5">
        <v>4</v>
      </c>
      <c r="DY5" s="9">
        <f t="shared" si="4"/>
        <v>9.9563725189341596</v>
      </c>
      <c r="EM5" s="11">
        <v>4</v>
      </c>
      <c r="EN5" s="8">
        <f t="shared" si="27"/>
        <v>-0.49284303916643979</v>
      </c>
      <c r="EO5" s="8">
        <f t="shared" si="5"/>
        <v>-3.7580922683379052</v>
      </c>
      <c r="EP5" s="8">
        <f t="shared" si="28"/>
        <v>0.51584960182478246</v>
      </c>
      <c r="EQ5" s="8">
        <f t="shared" si="29"/>
        <v>1.4164708742583263</v>
      </c>
      <c r="ER5" s="8">
        <f t="shared" si="30"/>
        <v>-0.41922831357349966</v>
      </c>
      <c r="ES5" s="8">
        <f t="shared" si="31"/>
        <v>1.2812417496817123</v>
      </c>
      <c r="ET5" s="8">
        <f t="shared" si="32"/>
        <v>5.642807914465406</v>
      </c>
      <c r="EU5" s="8">
        <f t="shared" si="33"/>
        <v>-4.3135646044687528</v>
      </c>
      <c r="EW5" s="15">
        <f>LARGE($EN$2:$EU$2,4)</f>
        <v>0.17895521374738821</v>
      </c>
      <c r="EX5" s="14" t="str">
        <f>INDEX(EN1:EU1,MATCH(EW5,EN2:EU2,0))</f>
        <v>EUR</v>
      </c>
      <c r="FK5" s="10"/>
      <c r="FL5" s="10"/>
    </row>
    <row r="6" spans="1:170" ht="18.600000000000001" thickBot="1" x14ac:dyDescent="0.4">
      <c r="A6" s="12" t="s">
        <v>50</v>
      </c>
      <c r="B6" s="13">
        <v>4</v>
      </c>
      <c r="C6" s="30">
        <v>0.67296999999999996</v>
      </c>
      <c r="D6" s="31">
        <v>1.09693</v>
      </c>
      <c r="E6" s="32">
        <v>98.572999999999993</v>
      </c>
      <c r="F6" s="31">
        <v>0.57876000000000005</v>
      </c>
      <c r="G6" s="31">
        <v>0.91622000000000003</v>
      </c>
      <c r="H6" s="31">
        <v>1.10758</v>
      </c>
      <c r="I6" s="31">
        <v>1.5079199999999999</v>
      </c>
      <c r="J6" s="31">
        <v>0.85167000000000004</v>
      </c>
      <c r="K6" s="31">
        <v>0.95252000000000003</v>
      </c>
      <c r="L6" s="32">
        <v>162.23400000000001</v>
      </c>
      <c r="M6" s="31">
        <v>1.64581</v>
      </c>
      <c r="N6" s="31">
        <v>1.80535</v>
      </c>
      <c r="O6" s="31">
        <v>1.3004500000000001</v>
      </c>
      <c r="P6" s="31">
        <v>1.93242</v>
      </c>
      <c r="Q6" s="31">
        <v>2.1197400000000002</v>
      </c>
      <c r="R6" s="31">
        <v>1.7705200000000001</v>
      </c>
      <c r="S6" s="31">
        <v>1.11843</v>
      </c>
      <c r="T6" s="32">
        <v>190.48599999999999</v>
      </c>
      <c r="U6" s="32">
        <v>89.861000000000004</v>
      </c>
      <c r="V6" s="31">
        <v>0.52761000000000002</v>
      </c>
      <c r="W6" s="31">
        <v>0.61348000000000003</v>
      </c>
      <c r="X6" s="31">
        <v>0.83521999999999996</v>
      </c>
      <c r="Y6" s="32">
        <v>107.587</v>
      </c>
      <c r="Z6" s="31">
        <v>0.63168999999999997</v>
      </c>
      <c r="AA6" s="32">
        <v>170.315</v>
      </c>
      <c r="AB6" s="31">
        <v>1.36151</v>
      </c>
      <c r="AC6" s="31">
        <v>0.86002999999999996</v>
      </c>
      <c r="AD6" s="33">
        <v>146.477</v>
      </c>
      <c r="AH6" s="23">
        <v>5</v>
      </c>
      <c r="AI6" s="41">
        <f t="shared" si="34"/>
        <v>2.2294224309619734E-2</v>
      </c>
      <c r="AJ6" s="41">
        <f t="shared" si="34"/>
        <v>4.2865220801485727E-2</v>
      </c>
      <c r="AK6" s="41">
        <f t="shared" si="34"/>
        <v>-9.1294556815649328E-3</v>
      </c>
      <c r="AL6" s="41">
        <f t="shared" si="34"/>
        <v>1.38245662542476E-2</v>
      </c>
      <c r="AM6" s="41">
        <f t="shared" si="34"/>
        <v>1.0915600576342508E-2</v>
      </c>
      <c r="AN6" s="41">
        <f t="shared" si="34"/>
        <v>-3.6101734688347799E-2</v>
      </c>
      <c r="AO6" s="41">
        <f t="shared" si="34"/>
        <v>-4.7725103404394287E-2</v>
      </c>
      <c r="AP6" s="41">
        <f t="shared" si="34"/>
        <v>-6.4537326042564055E-2</v>
      </c>
      <c r="AQ6" s="41">
        <f t="shared" si="34"/>
        <v>-3.9878266344835343E-2</v>
      </c>
      <c r="AR6" s="41">
        <f t="shared" si="34"/>
        <v>-6.2217020359133325E-2</v>
      </c>
      <c r="AS6" s="41">
        <f t="shared" si="34"/>
        <v>-5.5868296563494436E-2</v>
      </c>
      <c r="AT6" s="41">
        <f t="shared" si="34"/>
        <v>-1.4953312435617266E-2</v>
      </c>
      <c r="AU6" s="41">
        <f t="shared" si="34"/>
        <v>2.7690390665272249E-2</v>
      </c>
      <c r="AV6" s="41">
        <f t="shared" si="34"/>
        <v>8.7980333807738901E-3</v>
      </c>
      <c r="AW6" s="41">
        <f t="shared" si="34"/>
        <v>5.0031151471684396E-2</v>
      </c>
      <c r="AX6" s="41">
        <f t="shared" si="34"/>
        <v>1.6947046129870243E-2</v>
      </c>
      <c r="AY6" s="41">
        <f t="shared" si="1"/>
        <v>2.3252278276105327E-2</v>
      </c>
      <c r="AZ6" s="41">
        <f t="shared" si="1"/>
        <v>-1.5748940883800768E-3</v>
      </c>
      <c r="BA6" s="41">
        <f t="shared" si="1"/>
        <v>-5.0052276822460905E-2</v>
      </c>
      <c r="BB6" s="41">
        <f t="shared" si="1"/>
        <v>-2.6527711984846797E-2</v>
      </c>
      <c r="BC6" s="41">
        <f t="shared" si="1"/>
        <v>-1.9556714471970174E-2</v>
      </c>
      <c r="BD6" s="41">
        <f t="shared" si="1"/>
        <v>-3.3512866546984793E-2</v>
      </c>
      <c r="BE6" s="41">
        <f t="shared" si="1"/>
        <v>-1.6727847218996034E-2</v>
      </c>
      <c r="BF6" s="41">
        <f t="shared" si="1"/>
        <v>7.9159014628577187E-3</v>
      </c>
      <c r="BG6" s="41">
        <f t="shared" si="1"/>
        <v>-2.4067247411301521E-2</v>
      </c>
      <c r="BH6" s="41">
        <f t="shared" si="1"/>
        <v>-1.3218867730545791E-2</v>
      </c>
      <c r="BI6" s="41">
        <f t="shared" si="1"/>
        <v>-8.1385885362184052E-3</v>
      </c>
      <c r="BJ6" s="41">
        <f t="shared" si="1"/>
        <v>-3.0712111491781095E-2</v>
      </c>
      <c r="BN6" s="26">
        <v>5</v>
      </c>
      <c r="BO6" s="45">
        <f t="shared" si="35"/>
        <v>0.59544372202184692</v>
      </c>
      <c r="BP6" s="45">
        <f t="shared" si="2"/>
        <v>-0.48349166864287235</v>
      </c>
      <c r="BQ6" s="45">
        <f t="shared" si="3"/>
        <v>0.68234716587636346</v>
      </c>
      <c r="BR6" s="45">
        <f t="shared" si="3"/>
        <v>-1.4406378799725112E-2</v>
      </c>
      <c r="BS6" s="45">
        <f t="shared" si="3"/>
        <v>9.3132031242447302E-2</v>
      </c>
      <c r="BT6" s="45">
        <f t="shared" si="3"/>
        <v>0.35126111967525248</v>
      </c>
      <c r="BU6" s="45">
        <f t="shared" si="3"/>
        <v>-0.14822767334659384</v>
      </c>
      <c r="BV6" s="45">
        <f t="shared" si="3"/>
        <v>-6.9117357891079367E-2</v>
      </c>
      <c r="BW6" s="45">
        <f t="shared" si="3"/>
        <v>-0.25638508017389328</v>
      </c>
      <c r="BX6" s="45">
        <f t="shared" si="3"/>
        <v>0.44259772441395284</v>
      </c>
      <c r="BY6" s="45">
        <f t="shared" si="3"/>
        <v>-0.24058101169230364</v>
      </c>
      <c r="BZ6" s="45">
        <f t="shared" si="3"/>
        <v>-0.72422273829821304</v>
      </c>
      <c r="CA6" s="45">
        <f t="shared" si="3"/>
        <v>0.42344995419619924</v>
      </c>
      <c r="CB6" s="45">
        <f t="shared" si="3"/>
        <v>-0.16832696009084391</v>
      </c>
      <c r="CC6" s="45">
        <f t="shared" si="3"/>
        <v>-0.65186382815178823</v>
      </c>
      <c r="CD6" s="45">
        <f t="shared" si="3"/>
        <v>-7.5544361984321642E-2</v>
      </c>
      <c r="CE6" s="45">
        <f t="shared" si="3"/>
        <v>-0.18254491491160235</v>
      </c>
      <c r="CF6" s="45">
        <f t="shared" si="3"/>
        <v>0.51280935358560842</v>
      </c>
      <c r="CG6" s="45">
        <f t="shared" si="3"/>
        <v>1.1659488705036749</v>
      </c>
      <c r="CH6" s="45">
        <f t="shared" si="3"/>
        <v>0.47014803892932555</v>
      </c>
      <c r="CI6" s="45">
        <f t="shared" si="3"/>
        <v>1.0776911302532708</v>
      </c>
      <c r="CJ6" s="45">
        <f t="shared" si="3"/>
        <v>0.57680270467780326</v>
      </c>
      <c r="CK6" s="45">
        <f t="shared" si="3"/>
        <v>0.589251162588456</v>
      </c>
      <c r="CL6" s="45">
        <f t="shared" si="3"/>
        <v>-0.1051953156033739</v>
      </c>
      <c r="CM6" s="45">
        <f t="shared" si="3"/>
        <v>0.69555701001116643</v>
      </c>
      <c r="CN6" s="45">
        <f t="shared" si="3"/>
        <v>-0.49934293390760082</v>
      </c>
      <c r="CO6" s="45">
        <f t="shared" si="3"/>
        <v>-0.60649630690227618</v>
      </c>
      <c r="CP6" s="45">
        <f t="shared" si="3"/>
        <v>8.9091694342408323E-2</v>
      </c>
      <c r="CU6" s="23">
        <v>5</v>
      </c>
      <c r="CV6" s="24">
        <f t="shared" si="6"/>
        <v>-0.6446750173128778</v>
      </c>
      <c r="CW6" s="24">
        <f t="shared" si="7"/>
        <v>-3.4645934726140375</v>
      </c>
      <c r="CX6" s="24">
        <f t="shared" si="8"/>
        <v>0.53723608030334791</v>
      </c>
      <c r="CY6" s="24">
        <f t="shared" si="9"/>
        <v>1.2852416518693377</v>
      </c>
      <c r="CZ6" s="24">
        <f t="shared" si="10"/>
        <v>-7.2903399465669094E-2</v>
      </c>
      <c r="DA6" s="24">
        <f t="shared" si="11"/>
        <v>1.2819328434812078</v>
      </c>
      <c r="DB6" s="24">
        <f t="shared" si="12"/>
        <v>5.1501689794569483</v>
      </c>
      <c r="DC6" s="24">
        <f t="shared" si="13"/>
        <v>-4.1776029813216304</v>
      </c>
      <c r="DF6" s="18">
        <v>5</v>
      </c>
      <c r="DG6" s="19">
        <f t="shared" si="36"/>
        <v>-0.49934293390760082</v>
      </c>
      <c r="DH6" s="19">
        <f t="shared" si="14"/>
        <v>-0.14822767334659384</v>
      </c>
      <c r="DI6" s="19">
        <f t="shared" si="15"/>
        <v>-0.60649630690227618</v>
      </c>
      <c r="DJ6" s="19">
        <f t="shared" si="16"/>
        <v>-0.25638508017389328</v>
      </c>
      <c r="DK6" s="19">
        <f t="shared" si="17"/>
        <v>-0.42344995419619924</v>
      </c>
      <c r="DL6" s="19">
        <f t="shared" si="18"/>
        <v>-6.9117357891079367E-2</v>
      </c>
      <c r="DM6" s="19">
        <f t="shared" si="19"/>
        <v>-0.59544372202184692</v>
      </c>
      <c r="DN6" s="19">
        <f t="shared" si="20"/>
        <v>-0.24058101169230364</v>
      </c>
      <c r="DO6" s="19">
        <f t="shared" si="21"/>
        <v>-1.0776911302532708</v>
      </c>
      <c r="DP6" s="19">
        <f t="shared" si="22"/>
        <v>-0.72422273829821304</v>
      </c>
      <c r="DQ6" s="19">
        <f t="shared" si="23"/>
        <v>8.9091694342408323E-2</v>
      </c>
      <c r="DR6" s="19">
        <f t="shared" si="24"/>
        <v>0.44259772441395284</v>
      </c>
      <c r="DS6" s="19">
        <f t="shared" si="25"/>
        <v>-0.35126111967525248</v>
      </c>
      <c r="DT6" s="19">
        <f t="shared" si="26"/>
        <v>0.35126111967525248</v>
      </c>
      <c r="DX6">
        <v>5</v>
      </c>
      <c r="DY6" s="9">
        <f t="shared" si="4"/>
        <v>9.3277719607785787</v>
      </c>
      <c r="EM6" s="11">
        <v>5</v>
      </c>
      <c r="EN6" s="8">
        <f t="shared" si="27"/>
        <v>-0.6446750173128778</v>
      </c>
      <c r="EO6" s="8">
        <f t="shared" si="5"/>
        <v>-3.4645934726140375</v>
      </c>
      <c r="EP6" s="8">
        <f t="shared" si="28"/>
        <v>0.53723608030334791</v>
      </c>
      <c r="EQ6" s="8">
        <f t="shared" si="29"/>
        <v>1.2852416518693377</v>
      </c>
      <c r="ER6" s="8">
        <f t="shared" si="30"/>
        <v>-7.2903399465669094E-2</v>
      </c>
      <c r="ES6" s="8">
        <f t="shared" si="31"/>
        <v>1.2819328434812078</v>
      </c>
      <c r="ET6" s="8">
        <f t="shared" si="32"/>
        <v>5.1501689794569483</v>
      </c>
      <c r="EU6" s="8">
        <f t="shared" si="33"/>
        <v>-4.1776029813216304</v>
      </c>
      <c r="EW6" s="15">
        <f>LARGE($EN$2:$EU$2,5)</f>
        <v>-8.8445148387790218E-2</v>
      </c>
      <c r="EX6" s="14" t="str">
        <f>INDEX(EN1:EU1,MATCH(EW6,EN2:EU2,0))</f>
        <v>GBP</v>
      </c>
      <c r="FK6" s="10"/>
    </row>
    <row r="7" spans="1:170" ht="18.600000000000001" thickBot="1" x14ac:dyDescent="0.4">
      <c r="A7" s="12" t="s">
        <v>50</v>
      </c>
      <c r="B7" s="13">
        <v>5</v>
      </c>
      <c r="C7" s="30">
        <v>0.67281999999999997</v>
      </c>
      <c r="D7" s="31">
        <v>1.09646</v>
      </c>
      <c r="E7" s="32">
        <v>98.581999999999994</v>
      </c>
      <c r="F7" s="31">
        <v>0.57867999999999997</v>
      </c>
      <c r="G7" s="31">
        <v>0.91612000000000005</v>
      </c>
      <c r="H7" s="31">
        <v>1.10798</v>
      </c>
      <c r="I7" s="31">
        <v>1.50864</v>
      </c>
      <c r="J7" s="31">
        <v>0.85221999999999998</v>
      </c>
      <c r="K7" s="31">
        <v>0.95289999999999997</v>
      </c>
      <c r="L7" s="32">
        <v>162.33500000000001</v>
      </c>
      <c r="M7" s="31">
        <v>1.64673</v>
      </c>
      <c r="N7" s="31">
        <v>1.80562</v>
      </c>
      <c r="O7" s="31">
        <v>1.30009</v>
      </c>
      <c r="P7" s="31">
        <v>1.93225</v>
      </c>
      <c r="Q7" s="31">
        <v>2.1186799999999999</v>
      </c>
      <c r="R7" s="31">
        <v>1.7702199999999999</v>
      </c>
      <c r="S7" s="31">
        <v>1.1181700000000001</v>
      </c>
      <c r="T7" s="32">
        <v>190.489</v>
      </c>
      <c r="U7" s="32">
        <v>89.906000000000006</v>
      </c>
      <c r="V7" s="31">
        <v>0.52775000000000005</v>
      </c>
      <c r="W7" s="31">
        <v>0.61360000000000003</v>
      </c>
      <c r="X7" s="31">
        <v>0.83550000000000002</v>
      </c>
      <c r="Y7" s="32">
        <v>107.605</v>
      </c>
      <c r="Z7" s="31">
        <v>0.63163999999999998</v>
      </c>
      <c r="AA7" s="32">
        <v>170.35599999999999</v>
      </c>
      <c r="AB7" s="31">
        <v>1.3616900000000001</v>
      </c>
      <c r="AC7" s="31">
        <v>0.86009999999999998</v>
      </c>
      <c r="AD7" s="33">
        <v>146.52199999999999</v>
      </c>
      <c r="AH7" s="23">
        <v>6</v>
      </c>
      <c r="AI7" s="42">
        <f t="shared" si="34"/>
        <v>2.9734471172426925E-2</v>
      </c>
      <c r="AJ7" s="42">
        <f t="shared" si="34"/>
        <v>-4.831402291724806E-2</v>
      </c>
      <c r="AK7" s="42">
        <f t="shared" si="34"/>
        <v>4.0577005011165554E-3</v>
      </c>
      <c r="AL7" s="42">
        <f t="shared" si="34"/>
        <v>0.12804097311138923</v>
      </c>
      <c r="AM7" s="42">
        <f t="shared" si="34"/>
        <v>8.7332430898301398E-3</v>
      </c>
      <c r="AN7" s="42">
        <f t="shared" si="34"/>
        <v>-6.4039542162370761E-2</v>
      </c>
      <c r="AO7" s="42">
        <f t="shared" si="34"/>
        <v>-8.3449235048681292E-2</v>
      </c>
      <c r="AP7" s="42">
        <f t="shared" si="34"/>
        <v>-4.6914217353576849E-2</v>
      </c>
      <c r="AQ7" s="42">
        <f t="shared" si="34"/>
        <v>3.0442678535813446E-2</v>
      </c>
      <c r="AR7" s="42">
        <f t="shared" si="34"/>
        <v>-9.2931083293318839E-2</v>
      </c>
      <c r="AS7" s="42">
        <f t="shared" si="34"/>
        <v>-9.4643539668383944E-2</v>
      </c>
      <c r="AT7" s="42">
        <f t="shared" si="34"/>
        <v>-0.14102656276788422</v>
      </c>
      <c r="AU7" s="42">
        <f t="shared" si="34"/>
        <v>-1.5381184197369661E-2</v>
      </c>
      <c r="AV7" s="42">
        <f t="shared" si="34"/>
        <v>-4.603908666729039E-2</v>
      </c>
      <c r="AW7" s="42">
        <f t="shared" si="34"/>
        <v>-9.2424928323523184E-2</v>
      </c>
      <c r="AX7" s="42">
        <f t="shared" si="34"/>
        <v>-3.4447123665173926E-2</v>
      </c>
      <c r="AY7" s="42">
        <f t="shared" si="1"/>
        <v>8.2345043633925433E-2</v>
      </c>
      <c r="AZ7" s="42">
        <f t="shared" si="1"/>
        <v>-4.0930486390614827E-2</v>
      </c>
      <c r="BA7" s="42">
        <f t="shared" si="1"/>
        <v>5.119074115291173E-2</v>
      </c>
      <c r="BB7" s="42">
        <f t="shared" si="1"/>
        <v>0.17462938708882028</v>
      </c>
      <c r="BC7" s="42">
        <f t="shared" si="1"/>
        <v>7.6655847862619919E-2</v>
      </c>
      <c r="BD7" s="42">
        <f t="shared" si="1"/>
        <v>5.8681931952909598E-2</v>
      </c>
      <c r="BE7" s="42">
        <f t="shared" si="1"/>
        <v>-5.5756381782533634E-3</v>
      </c>
      <c r="BF7" s="42">
        <f t="shared" si="1"/>
        <v>0.11729275637976905</v>
      </c>
      <c r="BG7" s="42">
        <f t="shared" si="1"/>
        <v>-0.12311949626537995</v>
      </c>
      <c r="BH7" s="42">
        <f t="shared" si="1"/>
        <v>-1.9824370759786811E-2</v>
      </c>
      <c r="BI7" s="42">
        <f t="shared" si="1"/>
        <v>9.8923479778878956E-2</v>
      </c>
      <c r="BJ7" s="42">
        <f t="shared" si="1"/>
        <v>-2.52458054435457E-2</v>
      </c>
      <c r="BN7" s="26">
        <v>6</v>
      </c>
      <c r="BO7" s="46">
        <f t="shared" si="35"/>
        <v>0.57314949771222723</v>
      </c>
      <c r="BP7" s="46">
        <f t="shared" si="2"/>
        <v>-0.52635688944435821</v>
      </c>
      <c r="BQ7" s="46">
        <f t="shared" si="3"/>
        <v>0.69147662155792833</v>
      </c>
      <c r="BR7" s="46">
        <f t="shared" si="3"/>
        <v>-2.8230945053972778E-2</v>
      </c>
      <c r="BS7" s="46">
        <f t="shared" si="3"/>
        <v>8.2216430666104789E-2</v>
      </c>
      <c r="BT7" s="46">
        <f t="shared" si="3"/>
        <v>0.38736285436360041</v>
      </c>
      <c r="BU7" s="46">
        <f t="shared" si="3"/>
        <v>-0.10050256994219955</v>
      </c>
      <c r="BV7" s="46">
        <f t="shared" si="3"/>
        <v>-4.5800318485153535E-3</v>
      </c>
      <c r="BW7" s="46">
        <f t="shared" si="3"/>
        <v>-0.21650681382905784</v>
      </c>
      <c r="BX7" s="46">
        <f t="shared" si="3"/>
        <v>0.50481474477308619</v>
      </c>
      <c r="BY7" s="46">
        <f t="shared" si="3"/>
        <v>-0.18471271512880927</v>
      </c>
      <c r="BZ7" s="46">
        <f t="shared" si="3"/>
        <v>-0.709269425862596</v>
      </c>
      <c r="CA7" s="46">
        <f t="shared" si="3"/>
        <v>0.39575956353092701</v>
      </c>
      <c r="CB7" s="46">
        <f t="shared" si="3"/>
        <v>-0.17712499347161781</v>
      </c>
      <c r="CC7" s="46">
        <f t="shared" si="3"/>
        <v>-0.70189497962347258</v>
      </c>
      <c r="CD7" s="46">
        <f t="shared" si="3"/>
        <v>-9.2491408114191903E-2</v>
      </c>
      <c r="CE7" s="46">
        <f t="shared" si="3"/>
        <v>-0.20579719318770773</v>
      </c>
      <c r="CF7" s="46">
        <f t="shared" si="3"/>
        <v>0.51438424767398849</v>
      </c>
      <c r="CG7" s="46">
        <f t="shared" si="3"/>
        <v>1.2160011473261356</v>
      </c>
      <c r="CH7" s="46">
        <f t="shared" si="3"/>
        <v>0.49667575091417238</v>
      </c>
      <c r="CI7" s="46">
        <f t="shared" si="3"/>
        <v>1.0972478447252407</v>
      </c>
      <c r="CJ7" s="46">
        <f t="shared" si="3"/>
        <v>0.61031557122478797</v>
      </c>
      <c r="CK7" s="46">
        <f t="shared" si="3"/>
        <v>0.60597900980745201</v>
      </c>
      <c r="CL7" s="46">
        <f t="shared" si="3"/>
        <v>-0.11311121706623159</v>
      </c>
      <c r="CM7" s="46">
        <f t="shared" si="3"/>
        <v>0.71962425742246794</v>
      </c>
      <c r="CN7" s="46">
        <f t="shared" si="3"/>
        <v>-0.486124066177055</v>
      </c>
      <c r="CO7" s="46">
        <f t="shared" si="3"/>
        <v>-0.59835771836605778</v>
      </c>
      <c r="CP7" s="46">
        <f t="shared" si="3"/>
        <v>0.11980380583418944</v>
      </c>
      <c r="CU7" s="23">
        <v>6</v>
      </c>
      <c r="CV7" s="25">
        <f t="shared" si="6"/>
        <v>-0.3233939574744914</v>
      </c>
      <c r="CW7" s="25">
        <f t="shared" si="7"/>
        <v>-3.4181977390409184</v>
      </c>
      <c r="CX7" s="25">
        <f t="shared" si="8"/>
        <v>0.47945383508377398</v>
      </c>
      <c r="CY7" s="25">
        <f t="shared" si="9"/>
        <v>1.2718411769450915</v>
      </c>
      <c r="CZ7" s="25">
        <f t="shared" si="10"/>
        <v>-0.26258473134355914</v>
      </c>
      <c r="DA7" s="25">
        <f t="shared" si="11"/>
        <v>1.1540924240383563</v>
      </c>
      <c r="DB7" s="25">
        <f t="shared" si="12"/>
        <v>5.3577616091207627</v>
      </c>
      <c r="DC7" s="25">
        <f t="shared" si="13"/>
        <v>-4.3720838343952479</v>
      </c>
      <c r="DF7" s="20">
        <v>6</v>
      </c>
      <c r="DG7" s="21">
        <f t="shared" si="36"/>
        <v>-0.486124066177055</v>
      </c>
      <c r="DH7" s="21">
        <f t="shared" si="14"/>
        <v>-0.10050256994219955</v>
      </c>
      <c r="DI7" s="21">
        <f t="shared" si="15"/>
        <v>-0.59835771836605778</v>
      </c>
      <c r="DJ7" s="21">
        <f t="shared" si="16"/>
        <v>-0.21650681382905784</v>
      </c>
      <c r="DK7" s="21">
        <f t="shared" si="17"/>
        <v>-0.39575956353092701</v>
      </c>
      <c r="DL7" s="21">
        <f t="shared" si="18"/>
        <v>-4.5800318485153535E-3</v>
      </c>
      <c r="DM7" s="21">
        <f t="shared" si="19"/>
        <v>-0.57314949771222723</v>
      </c>
      <c r="DN7" s="21">
        <f t="shared" si="20"/>
        <v>-0.18471271512880927</v>
      </c>
      <c r="DO7" s="21">
        <f t="shared" si="21"/>
        <v>-1.0972478447252407</v>
      </c>
      <c r="DP7" s="21">
        <f t="shared" si="22"/>
        <v>-0.709269425862596</v>
      </c>
      <c r="DQ7" s="21">
        <f t="shared" si="23"/>
        <v>0.11980380583418944</v>
      </c>
      <c r="DR7" s="21">
        <f t="shared" si="24"/>
        <v>0.50481474477308619</v>
      </c>
      <c r="DS7" s="21">
        <f t="shared" si="25"/>
        <v>-0.38736285436360041</v>
      </c>
      <c r="DT7" s="21">
        <f t="shared" si="26"/>
        <v>0.38736285436360041</v>
      </c>
      <c r="DX7">
        <v>6</v>
      </c>
      <c r="DY7" s="9">
        <f t="shared" si="4"/>
        <v>9.7298454435160107</v>
      </c>
      <c r="EM7" s="7">
        <v>6</v>
      </c>
      <c r="EN7" s="8">
        <f t="shared" si="27"/>
        <v>-0.3233939574744914</v>
      </c>
      <c r="EO7" s="8">
        <f t="shared" si="5"/>
        <v>-3.4181977390409184</v>
      </c>
      <c r="EP7" s="8">
        <f t="shared" si="28"/>
        <v>0.47945383508377398</v>
      </c>
      <c r="EQ7" s="8">
        <f t="shared" si="29"/>
        <v>1.2718411769450915</v>
      </c>
      <c r="ER7" s="8">
        <f t="shared" si="30"/>
        <v>-0.26258473134355914</v>
      </c>
      <c r="ES7" s="8">
        <f t="shared" si="31"/>
        <v>1.1540924240383563</v>
      </c>
      <c r="ET7" s="8">
        <f t="shared" si="32"/>
        <v>5.3577616091207627</v>
      </c>
      <c r="EU7" s="8">
        <f t="shared" si="33"/>
        <v>-4.3720838343952479</v>
      </c>
      <c r="EW7" s="15">
        <f>LARGE($EN$2:$EU$2,6)</f>
        <v>-0.84476334626626159</v>
      </c>
      <c r="EX7" s="14" t="str">
        <f>INDEX(EN1:EU1,MATCH(EW7,EN2:EU2,0))</f>
        <v>CAD</v>
      </c>
      <c r="FK7" s="10"/>
      <c r="FL7" s="10"/>
    </row>
    <row r="8" spans="1:170" ht="18.600000000000001" thickBot="1" x14ac:dyDescent="0.4">
      <c r="A8" s="12" t="s">
        <v>50</v>
      </c>
      <c r="B8" s="13">
        <v>6</v>
      </c>
      <c r="C8" s="30">
        <v>0.67262</v>
      </c>
      <c r="D8" s="31">
        <v>1.0969899999999999</v>
      </c>
      <c r="E8" s="32">
        <v>98.578000000000003</v>
      </c>
      <c r="F8" s="31">
        <v>0.57794000000000001</v>
      </c>
      <c r="G8" s="31">
        <v>0.91603999999999997</v>
      </c>
      <c r="H8" s="31">
        <v>1.10869</v>
      </c>
      <c r="I8" s="31">
        <v>1.5099</v>
      </c>
      <c r="J8" s="31">
        <v>0.85262000000000004</v>
      </c>
      <c r="K8" s="31">
        <v>0.95260999999999996</v>
      </c>
      <c r="L8" s="32">
        <v>162.48599999999999</v>
      </c>
      <c r="M8" s="31">
        <v>1.64829</v>
      </c>
      <c r="N8" s="31">
        <v>1.8081700000000001</v>
      </c>
      <c r="O8" s="31">
        <v>1.3002899999999999</v>
      </c>
      <c r="P8" s="31">
        <v>1.9331400000000001</v>
      </c>
      <c r="Q8" s="31">
        <v>2.1206399999999999</v>
      </c>
      <c r="R8" s="31">
        <v>1.7708299999999999</v>
      </c>
      <c r="S8" s="31">
        <v>1.1172500000000001</v>
      </c>
      <c r="T8" s="32">
        <v>190.56700000000001</v>
      </c>
      <c r="U8" s="32">
        <v>89.86</v>
      </c>
      <c r="V8" s="31">
        <v>0.52683000000000002</v>
      </c>
      <c r="W8" s="31">
        <v>0.61312999999999995</v>
      </c>
      <c r="X8" s="31">
        <v>0.83501000000000003</v>
      </c>
      <c r="Y8" s="32">
        <v>107.611</v>
      </c>
      <c r="Z8" s="31">
        <v>0.63090000000000002</v>
      </c>
      <c r="AA8" s="32">
        <v>170.566</v>
      </c>
      <c r="AB8" s="31">
        <v>1.3619600000000001</v>
      </c>
      <c r="AC8" s="31">
        <v>0.85924999999999996</v>
      </c>
      <c r="AD8" s="33">
        <v>146.559</v>
      </c>
      <c r="AH8" s="23">
        <v>7</v>
      </c>
      <c r="AI8" s="41">
        <f t="shared" si="34"/>
        <v>-4.6067198668514178E-2</v>
      </c>
      <c r="AJ8" s="41">
        <f t="shared" si="34"/>
        <v>-0.10108369001003245</v>
      </c>
      <c r="AK8" s="41">
        <f t="shared" si="34"/>
        <v>-0.37896779279051668</v>
      </c>
      <c r="AL8" s="41">
        <f t="shared" si="34"/>
        <v>-0.31048401007348531</v>
      </c>
      <c r="AM8" s="41">
        <f t="shared" si="34"/>
        <v>-9.9242052456521873E-2</v>
      </c>
      <c r="AN8" s="41">
        <f t="shared" si="34"/>
        <v>5.1438472367609955E-2</v>
      </c>
      <c r="AO8" s="41">
        <f t="shared" si="34"/>
        <v>-1.9868470723791495E-3</v>
      </c>
      <c r="AP8" s="41">
        <f t="shared" si="34"/>
        <v>-1.2899745523195323E-2</v>
      </c>
      <c r="AQ8" s="41">
        <f t="shared" si="34"/>
        <v>-0.21473613642553332</v>
      </c>
      <c r="AR8" s="41">
        <f t="shared" si="34"/>
        <v>-0.28107816182246564</v>
      </c>
      <c r="AS8" s="41">
        <f t="shared" si="34"/>
        <v>9.7164615076307373E-2</v>
      </c>
      <c r="AT8" s="41">
        <f t="shared" si="34"/>
        <v>-3.8711675441321113E-3</v>
      </c>
      <c r="AU8" s="41">
        <f t="shared" si="34"/>
        <v>6.1562613025103068E-2</v>
      </c>
      <c r="AV8" s="41">
        <f t="shared" si="34"/>
        <v>0.10667605692152438</v>
      </c>
      <c r="AW8" s="41">
        <f t="shared" si="34"/>
        <v>5.6589893045054032E-3</v>
      </c>
      <c r="AX8" s="41">
        <f t="shared" si="34"/>
        <v>7.3417292596127792E-3</v>
      </c>
      <c r="AY8" s="41">
        <f t="shared" si="1"/>
        <v>-0.20454829662181817</v>
      </c>
      <c r="AZ8" s="41">
        <f t="shared" si="1"/>
        <v>-0.27160545513538692</v>
      </c>
      <c r="BA8" s="41">
        <f t="shared" si="1"/>
        <v>-0.27633199791363267</v>
      </c>
      <c r="BB8" s="41">
        <f t="shared" si="1"/>
        <v>-0.20836095694504761</v>
      </c>
      <c r="BC8" s="41">
        <f t="shared" si="1"/>
        <v>5.548393413730756E-2</v>
      </c>
      <c r="BD8" s="41">
        <f t="shared" si="1"/>
        <v>3.5929004287497293E-3</v>
      </c>
      <c r="BE8" s="41">
        <f t="shared" si="1"/>
        <v>-0.27985506843475066</v>
      </c>
      <c r="BF8" s="41">
        <f t="shared" si="1"/>
        <v>-0.2119448310768075</v>
      </c>
      <c r="BG8" s="41">
        <f t="shared" si="1"/>
        <v>-6.7377153871848117E-2</v>
      </c>
      <c r="BH8" s="41">
        <f t="shared" si="1"/>
        <v>-5.2837056388868403E-2</v>
      </c>
      <c r="BI8" s="41">
        <f t="shared" si="1"/>
        <v>-0.26464545633931025</v>
      </c>
      <c r="BJ8" s="41">
        <f t="shared" si="1"/>
        <v>-0.33322225924692389</v>
      </c>
      <c r="BN8" s="26">
        <v>7</v>
      </c>
      <c r="BO8" s="45">
        <f t="shared" si="35"/>
        <v>0.54341502653980034</v>
      </c>
      <c r="BP8" s="45">
        <f t="shared" si="2"/>
        <v>-0.47804286652711026</v>
      </c>
      <c r="BQ8" s="45">
        <f t="shared" si="3"/>
        <v>0.68741892105681179</v>
      </c>
      <c r="BR8" s="45">
        <f t="shared" si="3"/>
        <v>-0.1562719181653619</v>
      </c>
      <c r="BS8" s="45">
        <f t="shared" si="3"/>
        <v>7.3483187576274672E-2</v>
      </c>
      <c r="BT8" s="45">
        <f t="shared" si="3"/>
        <v>0.45140239652597108</v>
      </c>
      <c r="BU8" s="45">
        <f t="shared" si="3"/>
        <v>-1.7053334893518277E-2</v>
      </c>
      <c r="BV8" s="45">
        <f t="shared" si="3"/>
        <v>4.2334185505061482E-2</v>
      </c>
      <c r="BW8" s="45">
        <f t="shared" si="3"/>
        <v>-0.24694949236487135</v>
      </c>
      <c r="BX8" s="45">
        <f t="shared" si="3"/>
        <v>0.59774582806640519</v>
      </c>
      <c r="BY8" s="45">
        <f t="shared" si="3"/>
        <v>-9.0069175460425296E-2</v>
      </c>
      <c r="BZ8" s="45">
        <f t="shared" si="3"/>
        <v>-0.56824286309471161</v>
      </c>
      <c r="CA8" s="45">
        <f t="shared" si="3"/>
        <v>0.41114074772829667</v>
      </c>
      <c r="CB8" s="45">
        <f t="shared" si="3"/>
        <v>-0.13108590680432741</v>
      </c>
      <c r="CC8" s="45">
        <f t="shared" si="3"/>
        <v>-0.60947005129994947</v>
      </c>
      <c r="CD8" s="45">
        <f t="shared" si="3"/>
        <v>-5.8044284449017977E-2</v>
      </c>
      <c r="CE8" s="45">
        <f t="shared" si="3"/>
        <v>-0.28814223682163315</v>
      </c>
      <c r="CF8" s="45">
        <f t="shared" si="3"/>
        <v>0.55531473406460319</v>
      </c>
      <c r="CG8" s="45">
        <f t="shared" si="3"/>
        <v>1.1648104061732236</v>
      </c>
      <c r="CH8" s="45">
        <f t="shared" si="3"/>
        <v>0.32204636382535212</v>
      </c>
      <c r="CI8" s="45">
        <f t="shared" si="3"/>
        <v>1.0205919968626209</v>
      </c>
      <c r="CJ8" s="45">
        <f t="shared" si="3"/>
        <v>0.55163363927187836</v>
      </c>
      <c r="CK8" s="45">
        <f t="shared" si="3"/>
        <v>0.61155464798570525</v>
      </c>
      <c r="CL8" s="45">
        <f t="shared" si="3"/>
        <v>-0.23040397344600069</v>
      </c>
      <c r="CM8" s="45">
        <f t="shared" si="3"/>
        <v>0.84274375368784793</v>
      </c>
      <c r="CN8" s="45">
        <f t="shared" si="3"/>
        <v>-0.46629969541726812</v>
      </c>
      <c r="CO8" s="45">
        <f t="shared" si="3"/>
        <v>-0.69728119814493672</v>
      </c>
      <c r="CP8" s="45">
        <f t="shared" si="3"/>
        <v>0.14504961127773508</v>
      </c>
      <c r="CU8" s="23">
        <v>7</v>
      </c>
      <c r="CV8" s="24">
        <f t="shared" si="6"/>
        <v>0.16916754428391123</v>
      </c>
      <c r="CW8" s="24">
        <f>CN8+CO8+CP8-CI8-CA8-BT8-BO8</f>
        <v>-3.4450814499411582</v>
      </c>
      <c r="CX8" s="24">
        <f t="shared" si="8"/>
        <v>0.29743116245135592</v>
      </c>
      <c r="CY8" s="24">
        <f t="shared" si="9"/>
        <v>1.9093422353592988</v>
      </c>
      <c r="CZ8" s="24">
        <f t="shared" si="10"/>
        <v>-0.1626211830870897</v>
      </c>
      <c r="DA8" s="24">
        <f t="shared" si="11"/>
        <v>0.89115743274516734</v>
      </c>
      <c r="DB8" s="24">
        <f t="shared" si="12"/>
        <v>4.7148381870548466</v>
      </c>
      <c r="DC8" s="24">
        <f t="shared" si="13"/>
        <v>-4.6046379023123318</v>
      </c>
      <c r="DF8" s="18">
        <v>7</v>
      </c>
      <c r="DG8" s="19">
        <f t="shared" si="36"/>
        <v>-0.46629969541726812</v>
      </c>
      <c r="DH8" s="19">
        <f t="shared" si="14"/>
        <v>-1.7053334893518277E-2</v>
      </c>
      <c r="DI8" s="19">
        <f t="shared" si="15"/>
        <v>-0.69728119814493672</v>
      </c>
      <c r="DJ8" s="19">
        <f t="shared" si="16"/>
        <v>-0.24694949236487135</v>
      </c>
      <c r="DK8" s="19">
        <f t="shared" si="17"/>
        <v>-0.41114074772829667</v>
      </c>
      <c r="DL8" s="19">
        <f t="shared" si="18"/>
        <v>4.2334185505061482E-2</v>
      </c>
      <c r="DM8" s="19">
        <f t="shared" si="19"/>
        <v>-0.54341502653980034</v>
      </c>
      <c r="DN8" s="19">
        <f t="shared" si="20"/>
        <v>-9.0069175460425296E-2</v>
      </c>
      <c r="DO8" s="19">
        <f t="shared" si="21"/>
        <v>-1.0205919968626209</v>
      </c>
      <c r="DP8" s="19">
        <f t="shared" si="22"/>
        <v>-0.56824286309471161</v>
      </c>
      <c r="DQ8" s="19">
        <f t="shared" si="23"/>
        <v>0.14504961127773508</v>
      </c>
      <c r="DR8" s="19">
        <f t="shared" si="24"/>
        <v>0.59774582806640519</v>
      </c>
      <c r="DS8" s="19">
        <f t="shared" si="25"/>
        <v>-0.45140239652597108</v>
      </c>
      <c r="DT8" s="19">
        <f t="shared" si="26"/>
        <v>0.45140239652597108</v>
      </c>
      <c r="DX8">
        <v>7</v>
      </c>
      <c r="DY8" s="9">
        <f t="shared" si="4"/>
        <v>9.3194760893671784</v>
      </c>
      <c r="EM8" s="11">
        <v>7</v>
      </c>
      <c r="EN8" s="8">
        <f t="shared" si="27"/>
        <v>0.16916754428391123</v>
      </c>
      <c r="EO8" s="8">
        <f t="shared" si="5"/>
        <v>-3.4450814499411582</v>
      </c>
      <c r="EP8" s="8">
        <f t="shared" si="28"/>
        <v>0.29743116245135592</v>
      </c>
      <c r="EQ8" s="8">
        <f t="shared" si="29"/>
        <v>1.9093422353592988</v>
      </c>
      <c r="ER8" s="8">
        <f t="shared" si="30"/>
        <v>-0.1626211830870897</v>
      </c>
      <c r="ES8" s="8">
        <f t="shared" si="31"/>
        <v>0.89115743274516734</v>
      </c>
      <c r="ET8" s="8">
        <f t="shared" si="32"/>
        <v>4.7148381870548466</v>
      </c>
      <c r="EU8" s="8">
        <f t="shared" si="33"/>
        <v>-4.6046379023123318</v>
      </c>
      <c r="EW8" s="15">
        <f>LARGE($EN$2:$EU$2,7)</f>
        <v>-3.0713732026273077</v>
      </c>
      <c r="EX8" s="14" t="str">
        <f>INDEX(EN1:EU1,MATCH(EW8,EN2:EU2,0))</f>
        <v>JPY</v>
      </c>
      <c r="FK8" s="10"/>
      <c r="FL8" s="10"/>
    </row>
    <row r="9" spans="1:170" ht="18.600000000000001" thickBot="1" x14ac:dyDescent="0.4">
      <c r="A9" s="12" t="s">
        <v>50</v>
      </c>
      <c r="B9" s="13">
        <v>7</v>
      </c>
      <c r="C9" s="30">
        <v>0.67293000000000003</v>
      </c>
      <c r="D9" s="31">
        <v>1.0981000000000001</v>
      </c>
      <c r="E9" s="32">
        <v>98.953000000000003</v>
      </c>
      <c r="F9" s="31">
        <v>0.57974000000000003</v>
      </c>
      <c r="G9" s="31">
        <v>0.91695000000000004</v>
      </c>
      <c r="H9" s="31">
        <v>1.10812</v>
      </c>
      <c r="I9" s="31">
        <v>1.50993</v>
      </c>
      <c r="J9" s="31">
        <v>0.85272999999999999</v>
      </c>
      <c r="K9" s="31">
        <v>0.95465999999999995</v>
      </c>
      <c r="L9" s="32">
        <v>162.94399999999999</v>
      </c>
      <c r="M9" s="31">
        <v>1.64669</v>
      </c>
      <c r="N9" s="31">
        <v>1.8082400000000001</v>
      </c>
      <c r="O9" s="31">
        <v>1.29949</v>
      </c>
      <c r="P9" s="31">
        <v>1.9310799999999999</v>
      </c>
      <c r="Q9" s="31">
        <v>2.12052</v>
      </c>
      <c r="R9" s="31">
        <v>1.7706999999999999</v>
      </c>
      <c r="S9" s="31">
        <v>1.11954</v>
      </c>
      <c r="T9" s="32">
        <v>191.08600000000001</v>
      </c>
      <c r="U9" s="32">
        <v>90.108999999999995</v>
      </c>
      <c r="V9" s="31">
        <v>0.52793000000000001</v>
      </c>
      <c r="W9" s="31">
        <v>0.61278999999999995</v>
      </c>
      <c r="X9" s="31">
        <v>0.83498000000000006</v>
      </c>
      <c r="Y9" s="32">
        <v>107.913</v>
      </c>
      <c r="Z9" s="31">
        <v>0.63224000000000002</v>
      </c>
      <c r="AA9" s="32">
        <v>170.68100000000001</v>
      </c>
      <c r="AB9" s="31">
        <v>1.3626799999999999</v>
      </c>
      <c r="AC9" s="31">
        <v>0.86153000000000002</v>
      </c>
      <c r="AD9" s="33">
        <v>147.04900000000001</v>
      </c>
      <c r="AH9" s="23">
        <v>8</v>
      </c>
      <c r="AI9" s="42">
        <f t="shared" si="34"/>
        <v>0.17416934619507032</v>
      </c>
      <c r="AJ9" s="42">
        <f t="shared" si="34"/>
        <v>4.1908093728374236E-2</v>
      </c>
      <c r="AK9" s="42">
        <f t="shared" si="34"/>
        <v>1.3139276329093622E-2</v>
      </c>
      <c r="AL9" s="42">
        <f t="shared" si="34"/>
        <v>0.12261886258052059</v>
      </c>
      <c r="AM9" s="42">
        <f t="shared" si="34"/>
        <v>9.7155208174143332E-2</v>
      </c>
      <c r="AN9" s="42">
        <f t="shared" si="34"/>
        <v>4.1528989039949525E-2</v>
      </c>
      <c r="AO9" s="42">
        <f t="shared" si="34"/>
        <v>-3.7735849056601087E-2</v>
      </c>
      <c r="AP9" s="42">
        <f t="shared" si="34"/>
        <v>-7.3825817943191555E-2</v>
      </c>
      <c r="AQ9" s="42">
        <f t="shared" si="34"/>
        <v>-7.3319158296077944E-3</v>
      </c>
      <c r="AR9" s="42">
        <f t="shared" si="34"/>
        <v>-0.1183054733138479</v>
      </c>
      <c r="AS9" s="42">
        <f t="shared" si="34"/>
        <v>-0.13221175714277478</v>
      </c>
      <c r="AT9" s="42">
        <f t="shared" si="34"/>
        <v>-9.2269781370335452E-2</v>
      </c>
      <c r="AU9" s="42">
        <f t="shared" si="34"/>
        <v>0.11556329401613702</v>
      </c>
      <c r="AV9" s="42">
        <f t="shared" si="34"/>
        <v>-5.7965013973709241E-2</v>
      </c>
      <c r="AW9" s="42">
        <f t="shared" si="34"/>
        <v>-1.7916922061380781E-2</v>
      </c>
      <c r="AX9" s="42">
        <f t="shared" si="34"/>
        <v>3.6722126493604103E-2</v>
      </c>
      <c r="AY9" s="42">
        <f t="shared" si="1"/>
        <v>6.4353515310778681E-2</v>
      </c>
      <c r="AZ9" s="42">
        <f t="shared" si="1"/>
        <v>-4.7077038958852048E-2</v>
      </c>
      <c r="BA9" s="42">
        <f t="shared" si="1"/>
        <v>-2.9954735067010987E-2</v>
      </c>
      <c r="BB9" s="42">
        <f t="shared" si="1"/>
        <v>8.1516587677732982E-2</v>
      </c>
      <c r="BC9" s="42">
        <f t="shared" si="1"/>
        <v>0.13235726657733543</v>
      </c>
      <c r="BD9" s="42">
        <f t="shared" si="1"/>
        <v>5.1524773830212867E-2</v>
      </c>
      <c r="BE9" s="42">
        <f t="shared" si="1"/>
        <v>-8.5181241609183611E-2</v>
      </c>
      <c r="BF9" s="42">
        <f t="shared" si="1"/>
        <v>2.5313251487161278E-2</v>
      </c>
      <c r="BG9" s="42">
        <f t="shared" si="1"/>
        <v>-0.11119499505474757</v>
      </c>
      <c r="BH9" s="42">
        <f t="shared" si="1"/>
        <v>-7.6994713029721232E-2</v>
      </c>
      <c r="BI9" s="42">
        <f t="shared" si="1"/>
        <v>-5.2205387595994163E-2</v>
      </c>
      <c r="BJ9" s="42">
        <f t="shared" si="1"/>
        <v>-0.16091142403215158</v>
      </c>
      <c r="BN9" s="26">
        <v>8</v>
      </c>
      <c r="BO9" s="46">
        <f t="shared" si="35"/>
        <v>0.58948222520831439</v>
      </c>
      <c r="BP9" s="46">
        <f t="shared" si="2"/>
        <v>-0.37695917651707767</v>
      </c>
      <c r="BQ9" s="46">
        <f t="shared" si="3"/>
        <v>1.0663867138473284</v>
      </c>
      <c r="BR9" s="46">
        <f>AL9+SUM(AL10:AL44)</f>
        <v>0.15421209190812335</v>
      </c>
      <c r="BS9" s="46">
        <f t="shared" si="3"/>
        <v>0.17272524003279652</v>
      </c>
      <c r="BT9" s="46">
        <f t="shared" si="3"/>
        <v>0.39996392415836113</v>
      </c>
      <c r="BU9" s="46">
        <f t="shared" si="3"/>
        <v>-1.5066487821139112E-2</v>
      </c>
      <c r="BV9" s="46">
        <f t="shared" si="3"/>
        <v>5.5233931028256841E-2</v>
      </c>
      <c r="BW9" s="46">
        <f t="shared" si="3"/>
        <v>-3.2213355939338023E-2</v>
      </c>
      <c r="BX9" s="46">
        <f t="shared" si="3"/>
        <v>0.87882398988887067</v>
      </c>
      <c r="BY9" s="46">
        <f t="shared" si="3"/>
        <v>-0.18723379053673264</v>
      </c>
      <c r="BZ9" s="46">
        <f t="shared" si="3"/>
        <v>-0.56437169555057953</v>
      </c>
      <c r="CA9" s="46">
        <f t="shared" si="3"/>
        <v>0.34957813470319365</v>
      </c>
      <c r="CB9" s="46">
        <f t="shared" si="3"/>
        <v>-0.23776196372585179</v>
      </c>
      <c r="CC9" s="46">
        <f t="shared" si="3"/>
        <v>-0.61512904060445472</v>
      </c>
      <c r="CD9" s="46">
        <f t="shared" si="3"/>
        <v>-6.538601370863073E-2</v>
      </c>
      <c r="CE9" s="46">
        <f t="shared" si="3"/>
        <v>-8.3593940199814948E-2</v>
      </c>
      <c r="CF9" s="46">
        <f t="shared" si="3"/>
        <v>0.82692018919999</v>
      </c>
      <c r="CG9" s="46">
        <f t="shared" si="3"/>
        <v>1.4411424040868561</v>
      </c>
      <c r="CH9" s="46">
        <f t="shared" si="3"/>
        <v>0.53040732077039976</v>
      </c>
      <c r="CI9" s="46">
        <f t="shared" si="3"/>
        <v>0.96510806272531324</v>
      </c>
      <c r="CJ9" s="46">
        <f t="shared" si="3"/>
        <v>0.54804073884312854</v>
      </c>
      <c r="CK9" s="46">
        <f t="shared" si="3"/>
        <v>0.89140971642045597</v>
      </c>
      <c r="CL9" s="46">
        <f t="shared" si="3"/>
        <v>-1.8459142369193202E-2</v>
      </c>
      <c r="CM9" s="46">
        <f t="shared" si="3"/>
        <v>0.91012090755969599</v>
      </c>
      <c r="CN9" s="46">
        <f t="shared" si="3"/>
        <v>-0.41346263902839975</v>
      </c>
      <c r="CO9" s="46">
        <f t="shared" si="3"/>
        <v>-0.43263574180562647</v>
      </c>
      <c r="CP9" s="46">
        <f t="shared" si="3"/>
        <v>0.47827187052465897</v>
      </c>
      <c r="CU9" s="23">
        <v>8</v>
      </c>
      <c r="CV9" s="25">
        <f t="shared" si="6"/>
        <v>0.53513651522769923</v>
      </c>
      <c r="CW9" s="25">
        <f t="shared" si="7"/>
        <v>-2.6719588571045496</v>
      </c>
      <c r="CX9" s="25">
        <f t="shared" si="8"/>
        <v>0.6460997357335071</v>
      </c>
      <c r="CY9" s="25">
        <f t="shared" si="9"/>
        <v>0.77394453282595232</v>
      </c>
      <c r="CZ9" s="25">
        <f t="shared" si="10"/>
        <v>0.11939343463617465</v>
      </c>
      <c r="DA9" s="25">
        <f t="shared" si="11"/>
        <v>2.0308428487420698</v>
      </c>
      <c r="DB9" s="25">
        <f t="shared" si="12"/>
        <v>5.041158439097809</v>
      </c>
      <c r="DC9" s="25">
        <f t="shared" si="13"/>
        <v>-6.4930757915278559</v>
      </c>
      <c r="DF9" s="20">
        <v>8</v>
      </c>
      <c r="DG9" s="21">
        <f t="shared" si="36"/>
        <v>-0.41346263902839975</v>
      </c>
      <c r="DH9" s="21">
        <f t="shared" si="14"/>
        <v>-1.5066487821139112E-2</v>
      </c>
      <c r="DI9" s="21">
        <f t="shared" si="15"/>
        <v>-0.43263574180562647</v>
      </c>
      <c r="DJ9" s="21">
        <f t="shared" si="16"/>
        <v>-3.2213355939338023E-2</v>
      </c>
      <c r="DK9" s="21">
        <f t="shared" si="17"/>
        <v>-0.34957813470319365</v>
      </c>
      <c r="DL9" s="21">
        <f t="shared" si="18"/>
        <v>5.5233931028256841E-2</v>
      </c>
      <c r="DM9" s="21">
        <f t="shared" si="19"/>
        <v>-0.58948222520831439</v>
      </c>
      <c r="DN9" s="21">
        <f t="shared" si="20"/>
        <v>-0.18723379053673264</v>
      </c>
      <c r="DO9" s="21">
        <f t="shared" si="21"/>
        <v>-0.96510806272531324</v>
      </c>
      <c r="DP9" s="21">
        <f t="shared" si="22"/>
        <v>-0.56437169555057953</v>
      </c>
      <c r="DQ9" s="21">
        <f t="shared" si="23"/>
        <v>0.47827187052465897</v>
      </c>
      <c r="DR9" s="21">
        <f t="shared" si="24"/>
        <v>0.87882398988887067</v>
      </c>
      <c r="DS9" s="21">
        <f t="shared" si="25"/>
        <v>-0.39996392415836113</v>
      </c>
      <c r="DT9" s="21">
        <f t="shared" si="26"/>
        <v>0.39996392415836113</v>
      </c>
      <c r="DX9">
        <v>8</v>
      </c>
      <c r="DY9" s="9">
        <f t="shared" si="4"/>
        <v>11.534234230625664</v>
      </c>
      <c r="EM9" s="11">
        <v>8</v>
      </c>
      <c r="EN9" s="8">
        <f t="shared" si="27"/>
        <v>0.53513651522769923</v>
      </c>
      <c r="EO9" s="8">
        <f t="shared" si="5"/>
        <v>-2.6719588571045496</v>
      </c>
      <c r="EP9" s="8">
        <f t="shared" si="28"/>
        <v>0.6460997357335071</v>
      </c>
      <c r="EQ9" s="8">
        <f t="shared" si="29"/>
        <v>0.77394453282595232</v>
      </c>
      <c r="ER9" s="8">
        <f t="shared" si="30"/>
        <v>0.11939343463617465</v>
      </c>
      <c r="ES9" s="8">
        <f t="shared" si="31"/>
        <v>2.0308428487420698</v>
      </c>
      <c r="ET9" s="8">
        <f t="shared" si="32"/>
        <v>5.041158439097809</v>
      </c>
      <c r="EU9" s="8">
        <f t="shared" si="33"/>
        <v>-6.4930757915278559</v>
      </c>
      <c r="EW9" s="15">
        <f>LARGE($EN$2:$EU$2,8)</f>
        <v>-4.40052763053035</v>
      </c>
      <c r="EX9" s="14" t="str">
        <f>INDEX(EN1:EU1,MATCH(EW9,EN2:EU2,0))</f>
        <v>USD</v>
      </c>
      <c r="FK9" s="10"/>
      <c r="FL9" s="10"/>
    </row>
    <row r="10" spans="1:170" ht="18.600000000000001" thickBot="1" x14ac:dyDescent="0.4">
      <c r="A10" s="12" t="s">
        <v>50</v>
      </c>
      <c r="B10" s="13">
        <v>8</v>
      </c>
      <c r="C10" s="30">
        <v>0.67176000000000002</v>
      </c>
      <c r="D10" s="31">
        <v>1.0976399999999999</v>
      </c>
      <c r="E10" s="32">
        <v>98.94</v>
      </c>
      <c r="F10" s="31">
        <v>0.57903000000000004</v>
      </c>
      <c r="G10" s="31">
        <v>0.91605999999999999</v>
      </c>
      <c r="H10" s="31">
        <v>1.1076600000000001</v>
      </c>
      <c r="I10" s="31">
        <v>1.5105</v>
      </c>
      <c r="J10" s="31">
        <v>0.85336000000000001</v>
      </c>
      <c r="K10" s="31">
        <v>0.95472999999999997</v>
      </c>
      <c r="L10" s="32">
        <v>163.137</v>
      </c>
      <c r="M10" s="31">
        <v>1.6488700000000001</v>
      </c>
      <c r="N10" s="31">
        <v>1.8099099999999999</v>
      </c>
      <c r="O10" s="31">
        <v>1.29799</v>
      </c>
      <c r="P10" s="31">
        <v>1.9321999999999999</v>
      </c>
      <c r="Q10" s="31">
        <v>2.1208999999999998</v>
      </c>
      <c r="R10" s="31">
        <v>1.7700499999999999</v>
      </c>
      <c r="S10" s="31">
        <v>1.1188199999999999</v>
      </c>
      <c r="T10" s="32">
        <v>191.17599999999999</v>
      </c>
      <c r="U10" s="32">
        <v>90.135999999999996</v>
      </c>
      <c r="V10" s="31">
        <v>0.52749999999999997</v>
      </c>
      <c r="W10" s="31">
        <v>0.61197999999999997</v>
      </c>
      <c r="X10" s="31">
        <v>0.83455000000000001</v>
      </c>
      <c r="Y10" s="32">
        <v>108.005</v>
      </c>
      <c r="Z10" s="31">
        <v>0.63207999999999998</v>
      </c>
      <c r="AA10" s="32">
        <v>170.87100000000001</v>
      </c>
      <c r="AB10" s="31">
        <v>1.3637300000000001</v>
      </c>
      <c r="AC10" s="31">
        <v>0.86197999999999997</v>
      </c>
      <c r="AD10" s="33">
        <v>147.286</v>
      </c>
      <c r="AH10" s="23">
        <v>9</v>
      </c>
      <c r="AI10" s="41">
        <f t="shared" si="34"/>
        <v>-8.9309636509703472E-3</v>
      </c>
      <c r="AJ10" s="41">
        <f t="shared" si="34"/>
        <v>-2.6413341469868158E-2</v>
      </c>
      <c r="AK10" s="41">
        <f t="shared" si="34"/>
        <v>0.2330057744909371</v>
      </c>
      <c r="AL10" s="41">
        <f t="shared" si="34"/>
        <v>-1.726728023068896E-2</v>
      </c>
      <c r="AM10" s="41">
        <f t="shared" si="34"/>
        <v>-6.5493603458127757E-3</v>
      </c>
      <c r="AN10" s="41">
        <f t="shared" si="34"/>
        <v>-5.4165312533807266E-3</v>
      </c>
      <c r="AO10" s="41">
        <f t="shared" si="34"/>
        <v>-6.620280567533821E-4</v>
      </c>
      <c r="AP10" s="41">
        <f t="shared" si="34"/>
        <v>-3.5153915560264936E-3</v>
      </c>
      <c r="AQ10" s="41">
        <f t="shared" si="34"/>
        <v>-1.1520254702364218E-2</v>
      </c>
      <c r="AR10" s="41">
        <f t="shared" si="34"/>
        <v>0.2353244774322043</v>
      </c>
      <c r="AS10" s="41">
        <f t="shared" si="34"/>
        <v>3.0324717070453729E-3</v>
      </c>
      <c r="AT10" s="41">
        <f t="shared" si="34"/>
        <v>-2.0991111921296973E-2</v>
      </c>
      <c r="AU10" s="41">
        <f t="shared" si="34"/>
        <v>7.7042789565829304E-4</v>
      </c>
      <c r="AV10" s="41">
        <f t="shared" si="34"/>
        <v>8.7990352116687365E-3</v>
      </c>
      <c r="AW10" s="41">
        <f t="shared" si="34"/>
        <v>-1.5557011733776419E-2</v>
      </c>
      <c r="AX10" s="41">
        <f t="shared" si="34"/>
        <v>4.5198506189290189E-3</v>
      </c>
      <c r="AY10" s="41">
        <f t="shared" si="1"/>
        <v>-8.0435423760754233E-3</v>
      </c>
      <c r="AZ10" s="41">
        <f t="shared" si="1"/>
        <v>0.24382442543952629</v>
      </c>
      <c r="BA10" s="41">
        <f t="shared" si="1"/>
        <v>0.26362918386188361</v>
      </c>
      <c r="BB10" s="41">
        <f t="shared" si="1"/>
        <v>1.1375701501582925E-2</v>
      </c>
      <c r="BC10" s="41">
        <f t="shared" si="1"/>
        <v>2.1247037672626212E-2</v>
      </c>
      <c r="BD10" s="41">
        <f t="shared" si="1"/>
        <v>2.6368463317871581E-2</v>
      </c>
      <c r="BE10" s="41">
        <f t="shared" si="1"/>
        <v>0.2385195084827475</v>
      </c>
      <c r="BF10" s="41">
        <f t="shared" si="1"/>
        <v>-1.265502404455834E-2</v>
      </c>
      <c r="BG10" s="41">
        <f t="shared" si="1"/>
        <v>0.25111034187382131</v>
      </c>
      <c r="BH10" s="41">
        <f t="shared" si="1"/>
        <v>3.6665493370956173E-3</v>
      </c>
      <c r="BI10" s="41">
        <f t="shared" si="1"/>
        <v>-6.9602338638647858E-3</v>
      </c>
      <c r="BJ10" s="41">
        <f t="shared" si="1"/>
        <v>0.24229224800925239</v>
      </c>
      <c r="BN10" s="26">
        <v>9</v>
      </c>
      <c r="BO10" s="45">
        <f t="shared" si="35"/>
        <v>0.4153128790132441</v>
      </c>
      <c r="BP10" s="45">
        <f t="shared" si="2"/>
        <v>-0.41886727024545201</v>
      </c>
      <c r="BQ10" s="45">
        <f t="shared" si="3"/>
        <v>1.0532474375182348</v>
      </c>
      <c r="BR10" s="45">
        <f t="shared" si="3"/>
        <v>3.1593229327602751E-2</v>
      </c>
      <c r="BS10" s="45">
        <f t="shared" si="3"/>
        <v>7.5570031858653186E-2</v>
      </c>
      <c r="BT10" s="45">
        <f t="shared" si="3"/>
        <v>0.35843493511841162</v>
      </c>
      <c r="BU10" s="45">
        <f t="shared" si="3"/>
        <v>2.2669361235461954E-2</v>
      </c>
      <c r="BV10" s="45">
        <f t="shared" si="3"/>
        <v>0.1290597489714484</v>
      </c>
      <c r="BW10" s="45">
        <f t="shared" si="3"/>
        <v>-2.4881440109730216E-2</v>
      </c>
      <c r="BX10" s="45">
        <f t="shared" si="3"/>
        <v>0.99712946320271856</v>
      </c>
      <c r="BY10" s="45">
        <f t="shared" si="3"/>
        <v>-5.5022033393957892E-2</v>
      </c>
      <c r="BZ10" s="45">
        <f t="shared" si="3"/>
        <v>-0.47210191418024411</v>
      </c>
      <c r="CA10" s="45">
        <f t="shared" si="3"/>
        <v>0.23401484068705661</v>
      </c>
      <c r="CB10" s="45">
        <f t="shared" si="3"/>
        <v>-0.17979694975214253</v>
      </c>
      <c r="CC10" s="45">
        <f t="shared" si="3"/>
        <v>-0.5972121185430741</v>
      </c>
      <c r="CD10" s="45">
        <f t="shared" si="3"/>
        <v>-0.10210814020223483</v>
      </c>
      <c r="CE10" s="45">
        <f t="shared" si="3"/>
        <v>-0.14794745551059366</v>
      </c>
      <c r="CF10" s="45">
        <f t="shared" si="3"/>
        <v>0.87399722815884229</v>
      </c>
      <c r="CG10" s="45">
        <f t="shared" si="3"/>
        <v>1.4710971391538674</v>
      </c>
      <c r="CH10" s="45">
        <f t="shared" si="3"/>
        <v>0.44889073309266675</v>
      </c>
      <c r="CI10" s="45">
        <f t="shared" si="3"/>
        <v>0.83275079614797787</v>
      </c>
      <c r="CJ10" s="45">
        <f t="shared" si="3"/>
        <v>0.49651596501291573</v>
      </c>
      <c r="CK10" s="45">
        <f t="shared" si="3"/>
        <v>0.97659095802963958</v>
      </c>
      <c r="CL10" s="45">
        <f t="shared" si="3"/>
        <v>-4.377239385635448E-2</v>
      </c>
      <c r="CM10" s="45">
        <f t="shared" si="3"/>
        <v>1.0213159026144436</v>
      </c>
      <c r="CN10" s="45">
        <f t="shared" si="3"/>
        <v>-0.33646792599867859</v>
      </c>
      <c r="CO10" s="45">
        <f t="shared" si="3"/>
        <v>-0.38043035420963234</v>
      </c>
      <c r="CP10" s="45">
        <f t="shared" si="3"/>
        <v>0.63918329455681056</v>
      </c>
      <c r="CU10" s="23">
        <v>9</v>
      </c>
      <c r="CV10" s="24">
        <f t="shared" si="6"/>
        <v>0.95528812084410841</v>
      </c>
      <c r="CW10" s="24">
        <f t="shared" si="7"/>
        <v>-1.9182284366181905</v>
      </c>
      <c r="CX10" s="24">
        <f t="shared" si="8"/>
        <v>0.77663927226716756</v>
      </c>
      <c r="CY10" s="24">
        <f t="shared" si="9"/>
        <v>1.0940911900241304</v>
      </c>
      <c r="CZ10" s="24">
        <f t="shared" si="10"/>
        <v>-4.8112344133594609E-2</v>
      </c>
      <c r="DA10" s="24">
        <f t="shared" si="11"/>
        <v>1.3916752906183834</v>
      </c>
      <c r="DB10" s="24">
        <f t="shared" si="12"/>
        <v>4.7374359363761984</v>
      </c>
      <c r="DC10" s="24">
        <f t="shared" si="13"/>
        <v>-7.0325614232345561</v>
      </c>
      <c r="DF10" s="18">
        <v>9</v>
      </c>
      <c r="DG10" s="19">
        <f t="shared" si="36"/>
        <v>-0.33646792599867859</v>
      </c>
      <c r="DH10" s="19">
        <f t="shared" si="14"/>
        <v>2.2669361235461954E-2</v>
      </c>
      <c r="DI10" s="19">
        <f t="shared" si="15"/>
        <v>-0.38043035420963234</v>
      </c>
      <c r="DJ10" s="19">
        <f t="shared" si="16"/>
        <v>-2.4881440109730216E-2</v>
      </c>
      <c r="DK10" s="19">
        <f t="shared" si="17"/>
        <v>-0.23401484068705661</v>
      </c>
      <c r="DL10" s="19">
        <f t="shared" si="18"/>
        <v>0.1290597489714484</v>
      </c>
      <c r="DM10" s="19">
        <f t="shared" si="19"/>
        <v>-0.4153128790132441</v>
      </c>
      <c r="DN10" s="19">
        <f t="shared" si="20"/>
        <v>-5.5022033393957892E-2</v>
      </c>
      <c r="DO10" s="19">
        <f t="shared" si="21"/>
        <v>-0.83275079614797787</v>
      </c>
      <c r="DP10" s="19">
        <f t="shared" si="22"/>
        <v>-0.47210191418024411</v>
      </c>
      <c r="DQ10" s="19">
        <f t="shared" si="23"/>
        <v>0.63918329455681056</v>
      </c>
      <c r="DR10" s="19">
        <f t="shared" si="24"/>
        <v>0.99712946320271856</v>
      </c>
      <c r="DS10" s="19">
        <f t="shared" si="25"/>
        <v>-0.35843493511841162</v>
      </c>
      <c r="DT10" s="19">
        <f t="shared" si="26"/>
        <v>0.35843493511841162</v>
      </c>
      <c r="DX10">
        <v>9</v>
      </c>
      <c r="DY10" s="9">
        <f t="shared" si="4"/>
        <v>11.769997359610755</v>
      </c>
      <c r="EM10" s="11">
        <v>9</v>
      </c>
      <c r="EN10" s="8">
        <f t="shared" si="27"/>
        <v>0.95528812084410841</v>
      </c>
      <c r="EO10" s="8">
        <f t="shared" si="5"/>
        <v>-1.9182284366181905</v>
      </c>
      <c r="EP10" s="8">
        <f t="shared" si="28"/>
        <v>0.77663927226716756</v>
      </c>
      <c r="EQ10" s="8">
        <f t="shared" si="29"/>
        <v>1.0940911900241304</v>
      </c>
      <c r="ER10" s="8">
        <f t="shared" si="30"/>
        <v>-4.8112344133594609E-2</v>
      </c>
      <c r="ES10" s="8">
        <f t="shared" si="31"/>
        <v>1.3916752906183834</v>
      </c>
      <c r="ET10" s="8">
        <f t="shared" si="32"/>
        <v>4.7374359363761984</v>
      </c>
      <c r="EU10" s="8">
        <f t="shared" si="33"/>
        <v>-7.0325614232345561</v>
      </c>
      <c r="EW10" s="16"/>
      <c r="FK10" s="10"/>
      <c r="FL10" s="10"/>
      <c r="FN10" s="10"/>
    </row>
    <row r="11" spans="1:170" ht="18.600000000000001" thickBot="1" x14ac:dyDescent="0.4">
      <c r="A11" s="12" t="s">
        <v>50</v>
      </c>
      <c r="B11" s="13">
        <v>9</v>
      </c>
      <c r="C11" s="30">
        <v>0.67181999999999997</v>
      </c>
      <c r="D11" s="31">
        <v>1.0979300000000001</v>
      </c>
      <c r="E11" s="32">
        <v>98.71</v>
      </c>
      <c r="F11" s="31">
        <v>0.57913000000000003</v>
      </c>
      <c r="G11" s="31">
        <v>0.91612000000000005</v>
      </c>
      <c r="H11" s="31">
        <v>1.10772</v>
      </c>
      <c r="I11" s="31">
        <v>1.51051</v>
      </c>
      <c r="J11" s="31">
        <v>0.85338999999999998</v>
      </c>
      <c r="K11" s="31">
        <v>0.95484000000000002</v>
      </c>
      <c r="L11" s="32">
        <v>162.75399999999999</v>
      </c>
      <c r="M11" s="31">
        <v>1.64882</v>
      </c>
      <c r="N11" s="31">
        <v>1.81029</v>
      </c>
      <c r="O11" s="31">
        <v>1.2979799999999999</v>
      </c>
      <c r="P11" s="31">
        <v>1.9320299999999999</v>
      </c>
      <c r="Q11" s="31">
        <v>2.1212300000000002</v>
      </c>
      <c r="R11" s="31">
        <v>1.76997</v>
      </c>
      <c r="S11" s="31">
        <v>1.1189100000000001</v>
      </c>
      <c r="T11" s="32">
        <v>190.71100000000001</v>
      </c>
      <c r="U11" s="32">
        <v>89.899000000000001</v>
      </c>
      <c r="V11" s="31">
        <v>0.52744000000000002</v>
      </c>
      <c r="W11" s="31">
        <v>0.61185</v>
      </c>
      <c r="X11" s="31">
        <v>0.83433000000000002</v>
      </c>
      <c r="Y11" s="32">
        <v>107.748</v>
      </c>
      <c r="Z11" s="31">
        <v>0.63216000000000006</v>
      </c>
      <c r="AA11" s="32">
        <v>170.44300000000001</v>
      </c>
      <c r="AB11" s="31">
        <v>1.36368</v>
      </c>
      <c r="AC11" s="31">
        <v>0.86204000000000003</v>
      </c>
      <c r="AD11" s="33">
        <v>146.93</v>
      </c>
      <c r="AH11" s="23">
        <v>10</v>
      </c>
      <c r="AI11" s="42">
        <f t="shared" si="34"/>
        <v>5.9543302866904308E-3</v>
      </c>
      <c r="AJ11" s="42">
        <f t="shared" si="34"/>
        <v>-6.5534974741713187E-2</v>
      </c>
      <c r="AK11" s="42">
        <f t="shared" si="34"/>
        <v>-9.1093117408910337E-2</v>
      </c>
      <c r="AL11" s="42">
        <f t="shared" si="34"/>
        <v>-6.9064350708650281E-3</v>
      </c>
      <c r="AM11" s="42">
        <f t="shared" si="34"/>
        <v>-2.1826436179498206E-2</v>
      </c>
      <c r="AN11" s="42">
        <f t="shared" si="34"/>
        <v>1.3543162057485713E-2</v>
      </c>
      <c r="AO11" s="42">
        <f t="shared" si="34"/>
        <v>-1.3900656640545135E-2</v>
      </c>
      <c r="AP11" s="42">
        <f t="shared" si="34"/>
        <v>2.3436492963216427E-3</v>
      </c>
      <c r="AQ11" s="42">
        <f t="shared" si="34"/>
        <v>-1.0472849138560495E-3</v>
      </c>
      <c r="AR11" s="42">
        <f t="shared" si="34"/>
        <v>-8.3491927067343416E-2</v>
      </c>
      <c r="AS11" s="42">
        <f t="shared" si="34"/>
        <v>9.7048512124960854E-3</v>
      </c>
      <c r="AT11" s="42">
        <f t="shared" si="34"/>
        <v>-5.7968134088575055E-2</v>
      </c>
      <c r="AU11" s="42">
        <f t="shared" si="34"/>
        <v>7.7048725614069866E-3</v>
      </c>
      <c r="AV11" s="42">
        <f t="shared" si="34"/>
        <v>4.1408939154666509E-3</v>
      </c>
      <c r="AW11" s="42">
        <f t="shared" si="34"/>
        <v>-6.360184304007209E-2</v>
      </c>
      <c r="AX11" s="42">
        <f t="shared" si="34"/>
        <v>-1.9205675842084546E-2</v>
      </c>
      <c r="AY11" s="42">
        <f t="shared" si="1"/>
        <v>-3.574779927594438E-3</v>
      </c>
      <c r="AZ11" s="42">
        <f t="shared" si="1"/>
        <v>-8.8537300922036211E-2</v>
      </c>
      <c r="BA11" s="42">
        <f t="shared" si="1"/>
        <v>-3.0024686964838891E-2</v>
      </c>
      <c r="BB11" s="42">
        <f t="shared" si="1"/>
        <v>5.5012804704545663E-2</v>
      </c>
      <c r="BC11" s="42">
        <f t="shared" si="1"/>
        <v>6.7054821405210893E-2</v>
      </c>
      <c r="BD11" s="42">
        <f t="shared" si="1"/>
        <v>3.9568345323747298E-2</v>
      </c>
      <c r="BE11" s="42">
        <f t="shared" si="1"/>
        <v>-6.9558443003801262E-2</v>
      </c>
      <c r="BF11" s="42">
        <f t="shared" si="1"/>
        <v>1.5821282789624407E-2</v>
      </c>
      <c r="BG11" s="42">
        <f t="shared" si="1"/>
        <v>-8.5000117241530365E-2</v>
      </c>
      <c r="BH11" s="42">
        <f t="shared" si="1"/>
        <v>-2.7125105384698617E-2</v>
      </c>
      <c r="BI11" s="42">
        <f t="shared" si="1"/>
        <v>-1.1599044238753449E-2</v>
      </c>
      <c r="BJ11" s="42">
        <f t="shared" si="1"/>
        <v>-9.6551348999126888E-2</v>
      </c>
      <c r="BN11" s="26">
        <v>10</v>
      </c>
      <c r="BO11" s="46">
        <f t="shared" si="35"/>
        <v>0.42424384266421444</v>
      </c>
      <c r="BP11" s="46">
        <f t="shared" si="2"/>
        <v>-0.39245392877558383</v>
      </c>
      <c r="BQ11" s="46">
        <f t="shared" si="3"/>
        <v>0.82024166302729784</v>
      </c>
      <c r="BR11" s="46">
        <f t="shared" si="3"/>
        <v>4.8860509558291826E-2</v>
      </c>
      <c r="BS11" s="46">
        <f t="shared" si="3"/>
        <v>8.2119392204465957E-2</v>
      </c>
      <c r="BT11" s="46">
        <f t="shared" si="3"/>
        <v>0.36385146637179233</v>
      </c>
      <c r="BU11" s="46">
        <f t="shared" si="3"/>
        <v>2.3331389292215357E-2</v>
      </c>
      <c r="BV11" s="46">
        <f t="shared" si="3"/>
        <v>0.13257514052747488</v>
      </c>
      <c r="BW11" s="46">
        <f t="shared" si="3"/>
        <v>-1.3361185407366021E-2</v>
      </c>
      <c r="BX11" s="46">
        <f t="shared" si="3"/>
        <v>0.76180498577051436</v>
      </c>
      <c r="BY11" s="46">
        <f t="shared" si="3"/>
        <v>-5.8054505101003274E-2</v>
      </c>
      <c r="BZ11" s="46">
        <f t="shared" si="3"/>
        <v>-0.45111080225894712</v>
      </c>
      <c r="CA11" s="46">
        <f t="shared" si="3"/>
        <v>0.23324441279139832</v>
      </c>
      <c r="CB11" s="46">
        <f t="shared" si="3"/>
        <v>-0.18859598496381128</v>
      </c>
      <c r="CC11" s="46">
        <f t="shared" si="3"/>
        <v>-0.58165510680929755</v>
      </c>
      <c r="CD11" s="46">
        <f t="shared" si="3"/>
        <v>-0.10662799082116388</v>
      </c>
      <c r="CE11" s="46">
        <f t="shared" si="3"/>
        <v>-0.13990391313451819</v>
      </c>
      <c r="CF11" s="46">
        <f t="shared" si="3"/>
        <v>0.63017280271931608</v>
      </c>
      <c r="CG11" s="46">
        <f t="shared" si="3"/>
        <v>1.2074679552919843</v>
      </c>
      <c r="CH11" s="46">
        <f t="shared" si="3"/>
        <v>0.43751503159108379</v>
      </c>
      <c r="CI11" s="46">
        <f t="shared" si="3"/>
        <v>0.81150375847535161</v>
      </c>
      <c r="CJ11" s="46">
        <f t="shared" si="3"/>
        <v>0.47014750169504416</v>
      </c>
      <c r="CK11" s="46">
        <f t="shared" si="3"/>
        <v>0.73807144954689208</v>
      </c>
      <c r="CL11" s="46">
        <f t="shared" si="3"/>
        <v>-3.1117369811796143E-2</v>
      </c>
      <c r="CM11" s="46">
        <f t="shared" ref="CM11:CP26" si="37">BG11+SUM(BG12:BG46)</f>
        <v>0.7702055607406223</v>
      </c>
      <c r="CN11" s="46">
        <f t="shared" si="37"/>
        <v>-0.34013447533577412</v>
      </c>
      <c r="CO11" s="46">
        <f t="shared" si="37"/>
        <v>-0.37347012034576754</v>
      </c>
      <c r="CP11" s="46">
        <f t="shared" si="37"/>
        <v>0.39689104654755808</v>
      </c>
      <c r="CU11" s="23">
        <v>10</v>
      </c>
      <c r="CV11" s="25">
        <f t="shared" si="6"/>
        <v>0.75903648919468059</v>
      </c>
      <c r="CW11" s="25">
        <f t="shared" si="7"/>
        <v>-2.1495570294367403</v>
      </c>
      <c r="CX11" s="25">
        <f t="shared" si="8"/>
        <v>0.57811826270030864</v>
      </c>
      <c r="CY11" s="25">
        <f t="shared" si="9"/>
        <v>0.8105652384788985</v>
      </c>
      <c r="CZ11" s="25">
        <f t="shared" si="10"/>
        <v>-0.28594092074555144</v>
      </c>
      <c r="DA11" s="25">
        <f t="shared" si="11"/>
        <v>1.2296619687435006</v>
      </c>
      <c r="DB11" s="25">
        <f t="shared" si="12"/>
        <v>4.3518540848972922</v>
      </c>
      <c r="DC11" s="25">
        <f t="shared" si="13"/>
        <v>-5.3248554636441847</v>
      </c>
      <c r="DF11" s="18">
        <v>10</v>
      </c>
      <c r="DG11" s="21">
        <f t="shared" si="36"/>
        <v>-0.34013447533577412</v>
      </c>
      <c r="DH11" s="21">
        <f t="shared" si="14"/>
        <v>2.3331389292215357E-2</v>
      </c>
      <c r="DI11" s="21">
        <f t="shared" si="15"/>
        <v>-0.37347012034576754</v>
      </c>
      <c r="DJ11" s="21">
        <f t="shared" si="16"/>
        <v>-1.3361185407366021E-2</v>
      </c>
      <c r="DK11" s="21">
        <f t="shared" si="17"/>
        <v>-0.23324441279139832</v>
      </c>
      <c r="DL11" s="21">
        <f t="shared" si="18"/>
        <v>0.13257514052747488</v>
      </c>
      <c r="DM11" s="21">
        <f t="shared" si="19"/>
        <v>-0.42424384266421444</v>
      </c>
      <c r="DN11" s="21">
        <f t="shared" si="20"/>
        <v>-5.8054505101003274E-2</v>
      </c>
      <c r="DO11" s="21">
        <f t="shared" si="21"/>
        <v>-0.81150375847535161</v>
      </c>
      <c r="DP11" s="21">
        <f t="shared" si="22"/>
        <v>-0.45111080225894712</v>
      </c>
      <c r="DQ11" s="21">
        <f t="shared" si="23"/>
        <v>0.39689104654755808</v>
      </c>
      <c r="DR11" s="21">
        <f t="shared" si="24"/>
        <v>0.76180498577051436</v>
      </c>
      <c r="DS11" s="21">
        <f t="shared" si="25"/>
        <v>-0.36385146637179233</v>
      </c>
      <c r="DT11" s="21">
        <f t="shared" si="26"/>
        <v>0.36385146637179233</v>
      </c>
      <c r="DX11">
        <v>10</v>
      </c>
      <c r="DY11" s="9">
        <f t="shared" si="4"/>
        <v>9.6767095485414778</v>
      </c>
      <c r="EM11" s="11">
        <v>10</v>
      </c>
      <c r="EN11" s="8">
        <f t="shared" si="27"/>
        <v>0.75903648919468059</v>
      </c>
      <c r="EO11" s="8">
        <f t="shared" si="5"/>
        <v>-2.1495570294367403</v>
      </c>
      <c r="EP11" s="8">
        <f t="shared" si="28"/>
        <v>0.57811826270030864</v>
      </c>
      <c r="EQ11" s="8">
        <f t="shared" si="29"/>
        <v>0.8105652384788985</v>
      </c>
      <c r="ER11" s="8">
        <f t="shared" si="30"/>
        <v>-0.28594092074555144</v>
      </c>
      <c r="ES11" s="8">
        <f t="shared" si="31"/>
        <v>1.2296619687435006</v>
      </c>
      <c r="ET11" s="8">
        <f t="shared" si="32"/>
        <v>4.3518540848972922</v>
      </c>
      <c r="EU11" s="8">
        <f t="shared" si="33"/>
        <v>-5.3248554636441847</v>
      </c>
      <c r="EW11" s="47"/>
      <c r="EX11" s="48"/>
      <c r="EY11" s="48"/>
      <c r="EZ11" s="48"/>
      <c r="FA11" s="48"/>
      <c r="FB11" s="48"/>
      <c r="FK11" s="10"/>
      <c r="FL11" s="10"/>
    </row>
    <row r="12" spans="1:170" ht="18.600000000000001" thickBot="1" x14ac:dyDescent="0.35">
      <c r="A12" s="12" t="s">
        <v>50</v>
      </c>
      <c r="B12" s="13">
        <v>10</v>
      </c>
      <c r="C12" s="30">
        <v>0.67178000000000004</v>
      </c>
      <c r="D12" s="31">
        <v>1.0986499999999999</v>
      </c>
      <c r="E12" s="32">
        <v>98.8</v>
      </c>
      <c r="F12" s="31">
        <v>0.57916999999999996</v>
      </c>
      <c r="G12" s="31">
        <v>0.91632000000000002</v>
      </c>
      <c r="H12" s="31">
        <v>1.1075699999999999</v>
      </c>
      <c r="I12" s="31">
        <v>1.5107200000000001</v>
      </c>
      <c r="J12" s="31">
        <v>0.85336999999999996</v>
      </c>
      <c r="K12" s="31">
        <v>0.95484999999999998</v>
      </c>
      <c r="L12" s="32">
        <v>162.88999999999999</v>
      </c>
      <c r="M12" s="31">
        <v>1.64866</v>
      </c>
      <c r="N12" s="31">
        <v>1.81134</v>
      </c>
      <c r="O12" s="31">
        <v>1.2978799999999999</v>
      </c>
      <c r="P12" s="31">
        <v>1.9319500000000001</v>
      </c>
      <c r="Q12" s="31">
        <v>2.1225800000000001</v>
      </c>
      <c r="R12" s="31">
        <v>1.7703100000000001</v>
      </c>
      <c r="S12" s="31">
        <v>1.1189499999999999</v>
      </c>
      <c r="T12" s="32">
        <v>190.88</v>
      </c>
      <c r="U12" s="32">
        <v>89.926000000000002</v>
      </c>
      <c r="V12" s="31">
        <v>0.52715000000000001</v>
      </c>
      <c r="W12" s="31">
        <v>0.61143999999999998</v>
      </c>
      <c r="X12" s="31">
        <v>0.83399999999999996</v>
      </c>
      <c r="Y12" s="32">
        <v>107.82299999999999</v>
      </c>
      <c r="Z12" s="31">
        <v>0.63205999999999996</v>
      </c>
      <c r="AA12" s="32">
        <v>170.58799999999999</v>
      </c>
      <c r="AB12" s="31">
        <v>1.36405</v>
      </c>
      <c r="AC12" s="31">
        <v>0.86214000000000002</v>
      </c>
      <c r="AD12" s="33">
        <v>147.072</v>
      </c>
      <c r="AH12" s="23">
        <v>11</v>
      </c>
      <c r="AI12" s="41">
        <f t="shared" si="34"/>
        <v>-4.3150267085259195E-2</v>
      </c>
      <c r="AJ12" s="41">
        <f t="shared" si="34"/>
        <v>-4.4580308240997638E-2</v>
      </c>
      <c r="AK12" s="41">
        <f t="shared" si="34"/>
        <v>2.0243324763612003E-3</v>
      </c>
      <c r="AL12" s="41">
        <f t="shared" si="34"/>
        <v>-2.4166681051600868E-2</v>
      </c>
      <c r="AM12" s="41">
        <f t="shared" si="34"/>
        <v>-2.2912506955575101E-2</v>
      </c>
      <c r="AN12" s="41">
        <f t="shared" si="34"/>
        <v>-5.4169713713016973E-3</v>
      </c>
      <c r="AO12" s="41">
        <f t="shared" si="34"/>
        <v>1.5226846917222389E-2</v>
      </c>
      <c r="AP12" s="41">
        <f t="shared" si="34"/>
        <v>-1.1718109165981757E-3</v>
      </c>
      <c r="AQ12" s="41">
        <f t="shared" si="34"/>
        <v>1.0473946059176642E-2</v>
      </c>
      <c r="AR12" s="41">
        <f t="shared" si="34"/>
        <v>4.3606704377252017E-2</v>
      </c>
      <c r="AS12" s="41">
        <f t="shared" si="34"/>
        <v>3.6406441513047699E-2</v>
      </c>
      <c r="AT12" s="41">
        <f t="shared" si="34"/>
        <v>-6.6244907422808126E-3</v>
      </c>
      <c r="AU12" s="41">
        <f t="shared" si="34"/>
        <v>-1.5409507666331013E-3</v>
      </c>
      <c r="AV12" s="41">
        <f t="shared" si="34"/>
        <v>4.142609326049939E-2</v>
      </c>
      <c r="AW12" s="41">
        <f t="shared" si="34"/>
        <v>-1.4133543137812622E-3</v>
      </c>
      <c r="AX12" s="41">
        <f t="shared" si="34"/>
        <v>1.9774458179849966E-2</v>
      </c>
      <c r="AY12" s="41">
        <f t="shared" si="1"/>
        <v>1.8771117507179632E-2</v>
      </c>
      <c r="AZ12" s="41">
        <f t="shared" si="1"/>
        <v>4.4550433711579428E-2</v>
      </c>
      <c r="BA12" s="41">
        <f t="shared" si="1"/>
        <v>4.6726892439145559E-2</v>
      </c>
      <c r="BB12" s="41">
        <f t="shared" si="1"/>
        <v>2.0871281117193097E-2</v>
      </c>
      <c r="BC12" s="41">
        <f t="shared" si="1"/>
        <v>0</v>
      </c>
      <c r="BD12" s="41">
        <f t="shared" si="1"/>
        <v>2.1587392962504854E-2</v>
      </c>
      <c r="BE12" s="41">
        <f t="shared" si="1"/>
        <v>2.7831120759220843E-2</v>
      </c>
      <c r="BF12" s="41">
        <f t="shared" si="1"/>
        <v>1.5821533106486021E-3</v>
      </c>
      <c r="BG12" s="41">
        <f t="shared" si="1"/>
        <v>3.2838411559110998E-2</v>
      </c>
      <c r="BH12" s="41">
        <f t="shared" si="1"/>
        <v>1.9797914619659511E-2</v>
      </c>
      <c r="BI12" s="41">
        <f t="shared" si="1"/>
        <v>1.624129930394768E-2</v>
      </c>
      <c r="BJ12" s="41">
        <f t="shared" si="1"/>
        <v>4.5576681065274842E-2</v>
      </c>
      <c r="BN12" s="26">
        <v>11</v>
      </c>
      <c r="BO12" s="45">
        <f t="shared" si="35"/>
        <v>0.41828951237752404</v>
      </c>
      <c r="BP12" s="45">
        <f t="shared" si="2"/>
        <v>-0.32691895403387067</v>
      </c>
      <c r="BQ12" s="45">
        <f t="shared" ref="BQ12:CL23" si="38">AK12+SUM(AK13:AK47)</f>
        <v>0.9113347804362083</v>
      </c>
      <c r="BR12" s="45">
        <f t="shared" si="38"/>
        <v>5.5766944629156795E-2</v>
      </c>
      <c r="BS12" s="45">
        <f t="shared" si="38"/>
        <v>0.10394582838396417</v>
      </c>
      <c r="BT12" s="45">
        <f t="shared" si="38"/>
        <v>0.3503083043143066</v>
      </c>
      <c r="BU12" s="45">
        <f t="shared" si="38"/>
        <v>3.7232045932760485E-2</v>
      </c>
      <c r="BV12" s="45">
        <f t="shared" si="38"/>
        <v>0.13023149123115324</v>
      </c>
      <c r="BW12" s="45">
        <f t="shared" si="38"/>
        <v>-1.2313900493509949E-2</v>
      </c>
      <c r="BX12" s="45">
        <f t="shared" si="38"/>
        <v>0.84529691283785768</v>
      </c>
      <c r="BY12" s="45">
        <f t="shared" si="38"/>
        <v>-6.7759356313499372E-2</v>
      </c>
      <c r="BZ12" s="45">
        <f t="shared" si="38"/>
        <v>-0.39314266817037213</v>
      </c>
      <c r="CA12" s="45">
        <f t="shared" si="38"/>
        <v>0.22553954022999134</v>
      </c>
      <c r="CB12" s="45">
        <f t="shared" si="38"/>
        <v>-0.19273687887927793</v>
      </c>
      <c r="CC12" s="45">
        <f t="shared" si="38"/>
        <v>-0.51805326376922545</v>
      </c>
      <c r="CD12" s="45">
        <f t="shared" si="38"/>
        <v>-8.7422314979079305E-2</v>
      </c>
      <c r="CE12" s="45">
        <f t="shared" si="38"/>
        <v>-0.13632913320692375</v>
      </c>
      <c r="CF12" s="45">
        <f t="shared" si="38"/>
        <v>0.71871010364135224</v>
      </c>
      <c r="CG12" s="45">
        <f t="shared" si="38"/>
        <v>1.2374926422568229</v>
      </c>
      <c r="CH12" s="45">
        <f t="shared" si="38"/>
        <v>0.38250222688653818</v>
      </c>
      <c r="CI12" s="45">
        <f t="shared" si="38"/>
        <v>0.7444489370701407</v>
      </c>
      <c r="CJ12" s="45">
        <f t="shared" si="38"/>
        <v>0.4305791563712969</v>
      </c>
      <c r="CK12" s="45">
        <f t="shared" si="38"/>
        <v>0.8076298925506934</v>
      </c>
      <c r="CL12" s="45">
        <f t="shared" si="38"/>
        <v>-4.6938652601420543E-2</v>
      </c>
      <c r="CM12" s="45">
        <f t="shared" si="37"/>
        <v>0.85520567798215275</v>
      </c>
      <c r="CN12" s="45">
        <f t="shared" si="37"/>
        <v>-0.31300936995107548</v>
      </c>
      <c r="CO12" s="45">
        <f t="shared" si="37"/>
        <v>-0.36187107610701408</v>
      </c>
      <c r="CP12" s="45">
        <f t="shared" si="37"/>
        <v>0.49344239554668501</v>
      </c>
      <c r="CU12" s="23">
        <v>11</v>
      </c>
      <c r="CV12" s="24">
        <f t="shared" si="6"/>
        <v>0.88985282933869658</v>
      </c>
      <c r="CW12" s="24">
        <f t="shared" si="7"/>
        <v>-1.9200243445033673</v>
      </c>
      <c r="CX12" s="24">
        <f t="shared" si="8"/>
        <v>0.58936589419140606</v>
      </c>
      <c r="CY12" s="24">
        <f t="shared" si="9"/>
        <v>0.92745061627390557</v>
      </c>
      <c r="CZ12" s="24">
        <f t="shared" si="10"/>
        <v>-0.12052343819431605</v>
      </c>
      <c r="DA12" s="24">
        <f t="shared" si="11"/>
        <v>1.4229143469857601</v>
      </c>
      <c r="DB12" s="24">
        <f t="shared" si="12"/>
        <v>4.0331378485582672</v>
      </c>
      <c r="DC12" s="24">
        <f t="shared" si="13"/>
        <v>-5.8691124052517729</v>
      </c>
      <c r="DF12" s="20">
        <v>11</v>
      </c>
      <c r="DG12" s="19">
        <f t="shared" si="36"/>
        <v>-0.31300936995107548</v>
      </c>
      <c r="DH12" s="19">
        <f t="shared" si="14"/>
        <v>3.7232045932760485E-2</v>
      </c>
      <c r="DI12" s="19">
        <f t="shared" si="15"/>
        <v>-0.36187107610701408</v>
      </c>
      <c r="DJ12" s="19">
        <f t="shared" si="16"/>
        <v>-1.2313900493509949E-2</v>
      </c>
      <c r="DK12" s="19">
        <f t="shared" si="17"/>
        <v>-0.22553954022999134</v>
      </c>
      <c r="DL12" s="19">
        <f t="shared" si="18"/>
        <v>0.13023149123115324</v>
      </c>
      <c r="DM12" s="19">
        <f t="shared" si="19"/>
        <v>-0.41828951237752404</v>
      </c>
      <c r="DN12" s="19">
        <f t="shared" si="20"/>
        <v>-6.7759356313499372E-2</v>
      </c>
      <c r="DO12" s="19">
        <f t="shared" si="21"/>
        <v>-0.7444489370701407</v>
      </c>
      <c r="DP12" s="19">
        <f t="shared" si="22"/>
        <v>-0.39314266817037213</v>
      </c>
      <c r="DQ12" s="19">
        <f t="shared" si="23"/>
        <v>0.49344239554668501</v>
      </c>
      <c r="DR12" s="19">
        <f t="shared" si="24"/>
        <v>0.84529691283785768</v>
      </c>
      <c r="DS12" s="19">
        <f t="shared" si="25"/>
        <v>-0.3503083043143066</v>
      </c>
      <c r="DT12" s="19">
        <f t="shared" si="26"/>
        <v>0.3503083043143066</v>
      </c>
      <c r="DX12">
        <v>11</v>
      </c>
      <c r="DY12" s="9">
        <f t="shared" si="4"/>
        <v>9.9022502538100401</v>
      </c>
      <c r="EM12" s="7">
        <v>11</v>
      </c>
      <c r="EN12" s="8">
        <f t="shared" si="27"/>
        <v>0.88985282933869658</v>
      </c>
      <c r="EO12" s="8">
        <f t="shared" si="5"/>
        <v>-1.9200243445033673</v>
      </c>
      <c r="EP12" s="8">
        <f t="shared" si="28"/>
        <v>0.58936589419140606</v>
      </c>
      <c r="EQ12" s="8">
        <f t="shared" si="29"/>
        <v>0.92745061627390557</v>
      </c>
      <c r="ER12" s="8">
        <f t="shared" si="30"/>
        <v>-0.12052343819431605</v>
      </c>
      <c r="ES12" s="8">
        <f t="shared" si="31"/>
        <v>1.4229143469857601</v>
      </c>
      <c r="ET12" s="8">
        <f t="shared" si="32"/>
        <v>4.0331378485582672</v>
      </c>
      <c r="EU12" s="8">
        <f t="shared" si="33"/>
        <v>-5.8691124052517729</v>
      </c>
      <c r="EW12" s="49"/>
      <c r="EX12" s="48"/>
      <c r="EY12" s="48"/>
      <c r="EZ12" s="48"/>
      <c r="FA12" s="48"/>
      <c r="FB12" s="48"/>
      <c r="FK12" s="10"/>
      <c r="FL12" s="10"/>
    </row>
    <row r="13" spans="1:170" ht="18.600000000000001" thickBot="1" x14ac:dyDescent="0.4">
      <c r="A13" s="12" t="s">
        <v>50</v>
      </c>
      <c r="B13" s="13">
        <v>11</v>
      </c>
      <c r="C13" s="30">
        <v>0.67206999999999995</v>
      </c>
      <c r="D13" s="31">
        <v>1.09914</v>
      </c>
      <c r="E13" s="32">
        <v>98.798000000000002</v>
      </c>
      <c r="F13" s="31">
        <v>0.57930999999999999</v>
      </c>
      <c r="G13" s="31">
        <v>0.91652999999999996</v>
      </c>
      <c r="H13" s="31">
        <v>1.1076299999999999</v>
      </c>
      <c r="I13" s="31">
        <v>1.5104900000000001</v>
      </c>
      <c r="J13" s="31">
        <v>0.85338000000000003</v>
      </c>
      <c r="K13" s="31">
        <v>0.95474999999999999</v>
      </c>
      <c r="L13" s="32">
        <v>162.81899999999999</v>
      </c>
      <c r="M13" s="31">
        <v>1.6480600000000001</v>
      </c>
      <c r="N13" s="31">
        <v>1.8114600000000001</v>
      </c>
      <c r="O13" s="31">
        <v>1.2979000000000001</v>
      </c>
      <c r="P13" s="31">
        <v>1.9311499999999999</v>
      </c>
      <c r="Q13" s="31">
        <v>2.1226099999999999</v>
      </c>
      <c r="R13" s="31">
        <v>1.76996</v>
      </c>
      <c r="S13" s="31">
        <v>1.1187400000000001</v>
      </c>
      <c r="T13" s="32">
        <v>190.79499999999999</v>
      </c>
      <c r="U13" s="32">
        <v>89.884</v>
      </c>
      <c r="V13" s="31">
        <v>0.52703999999999995</v>
      </c>
      <c r="W13" s="31">
        <v>0.61143999999999998</v>
      </c>
      <c r="X13" s="31">
        <v>0.83382000000000001</v>
      </c>
      <c r="Y13" s="32">
        <v>107.79300000000001</v>
      </c>
      <c r="Z13" s="31">
        <v>0.63205</v>
      </c>
      <c r="AA13" s="32">
        <v>170.53200000000001</v>
      </c>
      <c r="AB13" s="31">
        <v>1.36378</v>
      </c>
      <c r="AC13" s="31">
        <v>0.86199999999999999</v>
      </c>
      <c r="AD13" s="33">
        <v>147.005</v>
      </c>
      <c r="AH13" s="23">
        <v>12</v>
      </c>
      <c r="AI13" s="42">
        <f t="shared" si="34"/>
        <v>-9.8107710374162729E-2</v>
      </c>
      <c r="AJ13" s="42">
        <f t="shared" si="34"/>
        <v>3.3674017310263427E-2</v>
      </c>
      <c r="AK13" s="42">
        <f t="shared" si="34"/>
        <v>0.35653701991934655</v>
      </c>
      <c r="AL13" s="42">
        <f t="shared" si="34"/>
        <v>-1.7258935814015809E-2</v>
      </c>
      <c r="AM13" s="42">
        <f t="shared" si="34"/>
        <v>-4.5804024210707991E-2</v>
      </c>
      <c r="AN13" s="42">
        <f t="shared" si="34"/>
        <v>-8.2991294934827653E-2</v>
      </c>
      <c r="AO13" s="42">
        <f t="shared" si="34"/>
        <v>-3.3090887431415493E-2</v>
      </c>
      <c r="AP13" s="42">
        <f t="shared" si="34"/>
        <v>-3.5141973573232003E-2</v>
      </c>
      <c r="AQ13" s="42">
        <f t="shared" si="34"/>
        <v>-1.0473836356849377E-3</v>
      </c>
      <c r="AR13" s="42">
        <f t="shared" si="34"/>
        <v>0.3649207591831104</v>
      </c>
      <c r="AS13" s="42">
        <f t="shared" si="34"/>
        <v>1.3350810758332665E-2</v>
      </c>
      <c r="AT13" s="42">
        <f t="shared" si="34"/>
        <v>4.7498066939140778E-2</v>
      </c>
      <c r="AU13" s="42">
        <f t="shared" si="34"/>
        <v>-5.0055831504373295E-2</v>
      </c>
      <c r="AV13" s="42">
        <f t="shared" si="34"/>
        <v>4.5589477119780751E-2</v>
      </c>
      <c r="AW13" s="42">
        <f t="shared" si="34"/>
        <v>7.921053500115062E-2</v>
      </c>
      <c r="AX13" s="42">
        <f t="shared" si="34"/>
        <v>-5.6498132737083182E-4</v>
      </c>
      <c r="AY13" s="42">
        <f t="shared" si="1"/>
        <v>2.8611791634636181E-2</v>
      </c>
      <c r="AZ13" s="42">
        <f t="shared" si="1"/>
        <v>0.40203966721218198</v>
      </c>
      <c r="BA13" s="42">
        <f t="shared" si="1"/>
        <v>0.32816162518137842</v>
      </c>
      <c r="BB13" s="42">
        <f t="shared" si="1"/>
        <v>-4.5516613563954256E-2</v>
      </c>
      <c r="BC13" s="42">
        <f t="shared" si="1"/>
        <v>-0.12251098515167325</v>
      </c>
      <c r="BD13" s="42">
        <f t="shared" si="1"/>
        <v>-7.4301327836627434E-2</v>
      </c>
      <c r="BE13" s="42">
        <f t="shared" si="1"/>
        <v>0.40051041792797037</v>
      </c>
      <c r="BF13" s="42">
        <f t="shared" si="1"/>
        <v>2.6903842501741389E-2</v>
      </c>
      <c r="BG13" s="42">
        <f t="shared" si="1"/>
        <v>0.36666686285012501</v>
      </c>
      <c r="BH13" s="42">
        <f t="shared" si="1"/>
        <v>5.0620281859604245E-2</v>
      </c>
      <c r="BI13" s="42">
        <f t="shared" si="1"/>
        <v>8.2434487803177608E-2</v>
      </c>
      <c r="BJ13" s="42">
        <f t="shared" si="1"/>
        <v>0.45304833882274564</v>
      </c>
      <c r="BN13" s="26">
        <v>12</v>
      </c>
      <c r="BO13" s="46">
        <f t="shared" si="35"/>
        <v>0.46143977946278331</v>
      </c>
      <c r="BP13" s="46">
        <f t="shared" si="2"/>
        <v>-0.28233864579287304</v>
      </c>
      <c r="BQ13" s="46">
        <f t="shared" si="38"/>
        <v>0.90931044795984706</v>
      </c>
      <c r="BR13" s="46">
        <f t="shared" si="38"/>
        <v>7.9933625680757681E-2</v>
      </c>
      <c r="BS13" s="46">
        <f t="shared" si="38"/>
        <v>0.12685833533953927</v>
      </c>
      <c r="BT13" s="46">
        <f t="shared" si="38"/>
        <v>0.35572527568560836</v>
      </c>
      <c r="BU13" s="46">
        <f t="shared" si="38"/>
        <v>2.2005199015538088E-2</v>
      </c>
      <c r="BV13" s="46">
        <f t="shared" si="38"/>
        <v>0.13140330214775142</v>
      </c>
      <c r="BW13" s="46">
        <f t="shared" si="38"/>
        <v>-2.2787846552686623E-2</v>
      </c>
      <c r="BX13" s="46">
        <f t="shared" si="38"/>
        <v>0.80169020846060579</v>
      </c>
      <c r="BY13" s="46">
        <f t="shared" si="38"/>
        <v>-0.10416579782654706</v>
      </c>
      <c r="BZ13" s="46">
        <f t="shared" si="38"/>
        <v>-0.3865181774280913</v>
      </c>
      <c r="CA13" s="46">
        <f t="shared" si="38"/>
        <v>0.22708049099662439</v>
      </c>
      <c r="CB13" s="46">
        <f t="shared" si="38"/>
        <v>-0.2341629721397773</v>
      </c>
      <c r="CC13" s="46">
        <f t="shared" si="38"/>
        <v>-0.51663990945544425</v>
      </c>
      <c r="CD13" s="46">
        <f t="shared" si="38"/>
        <v>-0.10719677315892928</v>
      </c>
      <c r="CE13" s="46">
        <f t="shared" si="38"/>
        <v>-0.15510025071410338</v>
      </c>
      <c r="CF13" s="46">
        <f t="shared" si="38"/>
        <v>0.67415966992977272</v>
      </c>
      <c r="CG13" s="46">
        <f t="shared" si="38"/>
        <v>1.1907657498176774</v>
      </c>
      <c r="CH13" s="46">
        <f t="shared" si="38"/>
        <v>0.36163094576934512</v>
      </c>
      <c r="CI13" s="46">
        <f t="shared" si="38"/>
        <v>0.7444489370701407</v>
      </c>
      <c r="CJ13" s="46">
        <f t="shared" si="38"/>
        <v>0.40899176340879195</v>
      </c>
      <c r="CK13" s="46">
        <f t="shared" si="38"/>
        <v>0.7797987717914725</v>
      </c>
      <c r="CL13" s="46">
        <f t="shared" si="38"/>
        <v>-4.8520805912069136E-2</v>
      </c>
      <c r="CM13" s="46">
        <f t="shared" si="37"/>
        <v>0.8223672664230417</v>
      </c>
      <c r="CN13" s="46">
        <f t="shared" si="37"/>
        <v>-0.33280728457073505</v>
      </c>
      <c r="CO13" s="46">
        <f t="shared" si="37"/>
        <v>-0.37811237541096177</v>
      </c>
      <c r="CP13" s="46">
        <f t="shared" si="37"/>
        <v>0.44786571448141022</v>
      </c>
      <c r="CU13" s="23">
        <v>12</v>
      </c>
      <c r="CV13" s="25">
        <f t="shared" si="6"/>
        <v>0.79735216350217875</v>
      </c>
      <c r="CW13" s="25">
        <f t="shared" si="7"/>
        <v>-2.0517484287154435</v>
      </c>
      <c r="CX13" s="25">
        <f t="shared" si="8"/>
        <v>0.61342672584519831</v>
      </c>
      <c r="CY13" s="25">
        <f t="shared" si="9"/>
        <v>0.93680316765069049</v>
      </c>
      <c r="CZ13" s="25">
        <f t="shared" si="10"/>
        <v>-0.24326304668960852</v>
      </c>
      <c r="DA13" s="25">
        <f t="shared" si="11"/>
        <v>1.6335323126163785</v>
      </c>
      <c r="DB13" s="25">
        <f t="shared" si="12"/>
        <v>3.8913341287423644</v>
      </c>
      <c r="DC13" s="25">
        <f t="shared" si="13"/>
        <v>-5.6259578288638279</v>
      </c>
      <c r="DF13" s="18">
        <v>12</v>
      </c>
      <c r="DG13" s="21">
        <f t="shared" si="36"/>
        <v>-0.33280728457073505</v>
      </c>
      <c r="DH13" s="21">
        <f t="shared" si="14"/>
        <v>2.2005199015538088E-2</v>
      </c>
      <c r="DI13" s="21">
        <f t="shared" si="15"/>
        <v>-0.37811237541096177</v>
      </c>
      <c r="DJ13" s="21">
        <f t="shared" si="16"/>
        <v>-2.2787846552686623E-2</v>
      </c>
      <c r="DK13" s="21">
        <f t="shared" si="17"/>
        <v>-0.22708049099662439</v>
      </c>
      <c r="DL13" s="21">
        <f t="shared" si="18"/>
        <v>0.13140330214775142</v>
      </c>
      <c r="DM13" s="21">
        <f t="shared" si="19"/>
        <v>-0.46143977946278331</v>
      </c>
      <c r="DN13" s="21">
        <f t="shared" si="20"/>
        <v>-0.10416579782654706</v>
      </c>
      <c r="DO13" s="21">
        <f t="shared" si="21"/>
        <v>-0.7444489370701407</v>
      </c>
      <c r="DP13" s="21">
        <f t="shared" si="22"/>
        <v>-0.3865181774280913</v>
      </c>
      <c r="DQ13" s="21">
        <f t="shared" si="23"/>
        <v>0.44786571448141022</v>
      </c>
      <c r="DR13" s="21">
        <f t="shared" si="24"/>
        <v>0.80169020846060579</v>
      </c>
      <c r="DS13" s="21">
        <f t="shared" si="25"/>
        <v>-0.35572527568560836</v>
      </c>
      <c r="DT13" s="21">
        <f t="shared" si="26"/>
        <v>0.35572527568560836</v>
      </c>
      <c r="DX13">
        <v>12</v>
      </c>
      <c r="DY13" s="9">
        <f t="shared" si="4"/>
        <v>9.5172919576061918</v>
      </c>
      <c r="EM13" s="11">
        <v>12</v>
      </c>
      <c r="EN13" s="8">
        <f t="shared" si="27"/>
        <v>0.79735216350217875</v>
      </c>
      <c r="EO13" s="8">
        <f t="shared" si="5"/>
        <v>-2.0517484287154435</v>
      </c>
      <c r="EP13" s="8">
        <f t="shared" si="28"/>
        <v>0.61342672584519831</v>
      </c>
      <c r="EQ13" s="8">
        <f t="shared" si="29"/>
        <v>0.93680316765069049</v>
      </c>
      <c r="ER13" s="8">
        <f t="shared" si="30"/>
        <v>-0.24326304668960852</v>
      </c>
      <c r="ES13" s="8">
        <f t="shared" si="31"/>
        <v>1.6335323126163785</v>
      </c>
      <c r="ET13" s="8">
        <f t="shared" si="32"/>
        <v>3.8913341287423644</v>
      </c>
      <c r="EU13" s="8">
        <f t="shared" si="33"/>
        <v>-5.6259578288638279</v>
      </c>
      <c r="EW13" s="50"/>
      <c r="EX13" s="51"/>
      <c r="EY13" s="48"/>
      <c r="EZ13" s="48"/>
      <c r="FA13" s="48"/>
      <c r="FB13" s="48"/>
      <c r="FK13" s="10"/>
      <c r="FL13" s="10"/>
    </row>
    <row r="14" spans="1:170" ht="18.600000000000001" thickBot="1" x14ac:dyDescent="0.4">
      <c r="A14" s="12" t="s">
        <v>50</v>
      </c>
      <c r="B14" s="13">
        <v>12</v>
      </c>
      <c r="C14" s="30">
        <v>0.67273000000000005</v>
      </c>
      <c r="D14" s="31">
        <v>1.09877</v>
      </c>
      <c r="E14" s="32">
        <v>98.447000000000003</v>
      </c>
      <c r="F14" s="31">
        <v>0.57940999999999998</v>
      </c>
      <c r="G14" s="31">
        <v>0.91695000000000004</v>
      </c>
      <c r="H14" s="31">
        <v>1.1085499999999999</v>
      </c>
      <c r="I14" s="31">
        <v>1.5109900000000001</v>
      </c>
      <c r="J14" s="31">
        <v>0.85367999999999999</v>
      </c>
      <c r="K14" s="31">
        <v>0.95476000000000005</v>
      </c>
      <c r="L14" s="32">
        <v>162.227</v>
      </c>
      <c r="M14" s="31">
        <v>1.64784</v>
      </c>
      <c r="N14" s="31">
        <v>1.8106</v>
      </c>
      <c r="O14" s="31">
        <v>1.2985500000000001</v>
      </c>
      <c r="P14" s="31">
        <v>1.9302699999999999</v>
      </c>
      <c r="Q14" s="31">
        <v>2.12093</v>
      </c>
      <c r="R14" s="31">
        <v>1.76997</v>
      </c>
      <c r="S14" s="31">
        <v>1.11842</v>
      </c>
      <c r="T14" s="32">
        <v>190.03100000000001</v>
      </c>
      <c r="U14" s="32">
        <v>89.59</v>
      </c>
      <c r="V14" s="31">
        <v>0.52727999999999997</v>
      </c>
      <c r="W14" s="31">
        <v>0.61219000000000001</v>
      </c>
      <c r="X14" s="31">
        <v>0.83443999999999996</v>
      </c>
      <c r="Y14" s="32">
        <v>107.363</v>
      </c>
      <c r="Z14" s="31">
        <v>0.63188</v>
      </c>
      <c r="AA14" s="32">
        <v>169.90899999999999</v>
      </c>
      <c r="AB14" s="31">
        <v>1.3630899999999999</v>
      </c>
      <c r="AC14" s="31">
        <v>0.86129</v>
      </c>
      <c r="AD14" s="33">
        <v>146.34200000000001</v>
      </c>
      <c r="AH14" s="23">
        <v>13</v>
      </c>
      <c r="AI14" s="41">
        <f t="shared" si="34"/>
        <v>1.3380114176979438E-2</v>
      </c>
      <c r="AJ14" s="41">
        <f t="shared" si="34"/>
        <v>-7.3664490078027736E-2</v>
      </c>
      <c r="AK14" s="41">
        <f t="shared" si="34"/>
        <v>7.1154843103578475E-2</v>
      </c>
      <c r="AL14" s="41">
        <f t="shared" si="34"/>
        <v>-5.8645968089695036E-2</v>
      </c>
      <c r="AM14" s="41">
        <f t="shared" si="34"/>
        <v>-1.6355904481516026E-2</v>
      </c>
      <c r="AN14" s="41">
        <f t="shared" si="34"/>
        <v>2.165459122447853E-2</v>
      </c>
      <c r="AO14" s="41">
        <f t="shared" si="34"/>
        <v>-8.602890571229517E-3</v>
      </c>
      <c r="AP14" s="41">
        <f t="shared" si="34"/>
        <v>2.226153792077511E-2</v>
      </c>
      <c r="AQ14" s="41">
        <f t="shared" si="34"/>
        <v>-5.0249152045551373E-2</v>
      </c>
      <c r="AR14" s="41">
        <f t="shared" si="34"/>
        <v>7.9581487741977486E-2</v>
      </c>
      <c r="AS14" s="41">
        <f t="shared" si="34"/>
        <v>7.8897378786293385E-3</v>
      </c>
      <c r="AT14" s="41">
        <f t="shared" si="34"/>
        <v>-6.6232475990732412E-2</v>
      </c>
      <c r="AU14" s="41">
        <f t="shared" si="34"/>
        <v>2.3103225210390705E-3</v>
      </c>
      <c r="AV14" s="41">
        <f t="shared" si="34"/>
        <v>-1.1396070427720889E-2</v>
      </c>
      <c r="AW14" s="41">
        <f t="shared" si="34"/>
        <v>-8.4796464929586049E-2</v>
      </c>
      <c r="AX14" s="41">
        <f t="shared" si="34"/>
        <v>-2.7676423076481788E-2</v>
      </c>
      <c r="AY14" s="41">
        <f t="shared" si="1"/>
        <v>-6.9692637598284757E-2</v>
      </c>
      <c r="AZ14" s="41">
        <f t="shared" si="1"/>
        <v>5.9499362882928182E-2</v>
      </c>
      <c r="BA14" s="41">
        <f t="shared" si="1"/>
        <v>0.14307750776866168</v>
      </c>
      <c r="BB14" s="41">
        <f t="shared" si="1"/>
        <v>1.5174506828522189E-2</v>
      </c>
      <c r="BC14" s="41">
        <f t="shared" si="1"/>
        <v>8.5013160691216658E-2</v>
      </c>
      <c r="BD14" s="41">
        <f t="shared" si="1"/>
        <v>5.6356943295318832E-2</v>
      </c>
      <c r="BE14" s="41">
        <f t="shared" si="1"/>
        <v>8.7630163420926901E-2</v>
      </c>
      <c r="BF14" s="41">
        <f t="shared" si="1"/>
        <v>-4.2711381792294945E-2</v>
      </c>
      <c r="BG14" s="41">
        <f t="shared" si="1"/>
        <v>0.1308291147819102</v>
      </c>
      <c r="BH14" s="41">
        <f t="shared" si="1"/>
        <v>-2.9336482115760142E-2</v>
      </c>
      <c r="BI14" s="41">
        <f t="shared" si="1"/>
        <v>-7.193326449396735E-2</v>
      </c>
      <c r="BJ14" s="41">
        <f t="shared" si="1"/>
        <v>5.811687645720065E-2</v>
      </c>
      <c r="BN14" s="26">
        <v>13</v>
      </c>
      <c r="BO14" s="45">
        <f t="shared" si="35"/>
        <v>0.55954748983694602</v>
      </c>
      <c r="BP14" s="45">
        <f t="shared" si="2"/>
        <v>-0.31601266310313642</v>
      </c>
      <c r="BQ14" s="45">
        <f t="shared" si="38"/>
        <v>0.55277342804050034</v>
      </c>
      <c r="BR14" s="45">
        <f t="shared" si="38"/>
        <v>9.7192561494773497E-2</v>
      </c>
      <c r="BS14" s="45">
        <f t="shared" si="38"/>
        <v>0.17266235955024728</v>
      </c>
      <c r="BT14" s="45">
        <f t="shared" si="38"/>
        <v>0.43871657062043601</v>
      </c>
      <c r="BU14" s="45">
        <f t="shared" si="38"/>
        <v>5.5096086446953595E-2</v>
      </c>
      <c r="BV14" s="45">
        <f t="shared" si="38"/>
        <v>0.16654527572098343</v>
      </c>
      <c r="BW14" s="45">
        <f t="shared" si="38"/>
        <v>-2.1740462917001671E-2</v>
      </c>
      <c r="BX14" s="45">
        <f t="shared" si="38"/>
        <v>0.43676944927749528</v>
      </c>
      <c r="BY14" s="45">
        <f t="shared" si="38"/>
        <v>-0.11751660858487972</v>
      </c>
      <c r="BZ14" s="45">
        <f t="shared" si="38"/>
        <v>-0.43401624436723207</v>
      </c>
      <c r="CA14" s="45">
        <f t="shared" si="38"/>
        <v>0.27713632250099773</v>
      </c>
      <c r="CB14" s="45">
        <f t="shared" si="38"/>
        <v>-0.27975244925955806</v>
      </c>
      <c r="CC14" s="45">
        <f t="shared" si="38"/>
        <v>-0.59585044445659474</v>
      </c>
      <c r="CD14" s="45">
        <f t="shared" si="38"/>
        <v>-0.10663179183155848</v>
      </c>
      <c r="CE14" s="45">
        <f t="shared" si="38"/>
        <v>-0.18371204234873956</v>
      </c>
      <c r="CF14" s="45">
        <f t="shared" si="38"/>
        <v>0.27212000271759068</v>
      </c>
      <c r="CG14" s="45">
        <f t="shared" si="38"/>
        <v>0.86260412463629887</v>
      </c>
      <c r="CH14" s="45">
        <f t="shared" si="38"/>
        <v>0.40714755933329927</v>
      </c>
      <c r="CI14" s="45">
        <f t="shared" si="38"/>
        <v>0.86695992222181395</v>
      </c>
      <c r="CJ14" s="45">
        <f t="shared" si="38"/>
        <v>0.48329309124541942</v>
      </c>
      <c r="CK14" s="45">
        <f t="shared" si="38"/>
        <v>0.37928835386350213</v>
      </c>
      <c r="CL14" s="45">
        <f t="shared" si="38"/>
        <v>-7.5424648413810524E-2</v>
      </c>
      <c r="CM14" s="45">
        <f t="shared" si="37"/>
        <v>0.45570040357291663</v>
      </c>
      <c r="CN14" s="45">
        <f t="shared" si="37"/>
        <v>-0.38342756643033921</v>
      </c>
      <c r="CO14" s="45">
        <f t="shared" si="37"/>
        <v>-0.4605468632141394</v>
      </c>
      <c r="CP14" s="45">
        <f t="shared" si="37"/>
        <v>-5.1826243413354289E-3</v>
      </c>
      <c r="CU14" s="23">
        <v>13</v>
      </c>
      <c r="CV14" s="24">
        <f t="shared" si="6"/>
        <v>0.5238540661967549</v>
      </c>
      <c r="CW14" s="24">
        <f t="shared" si="7"/>
        <v>-2.9915173591660076</v>
      </c>
      <c r="CX14" s="24">
        <f t="shared" si="8"/>
        <v>8.2871526468969003E-2</v>
      </c>
      <c r="CY14" s="24">
        <f t="shared" si="9"/>
        <v>0.61735965122472458</v>
      </c>
      <c r="CZ14" s="24">
        <f t="shared" si="10"/>
        <v>-0.78323567839884578</v>
      </c>
      <c r="DA14" s="24">
        <f t="shared" si="11"/>
        <v>1.4634322336637684</v>
      </c>
      <c r="DB14" s="24">
        <f t="shared" si="12"/>
        <v>3.9658840493637948</v>
      </c>
      <c r="DC14" s="24">
        <f t="shared" si="13"/>
        <v>-2.9540731377669687</v>
      </c>
      <c r="DF14" s="20">
        <v>13</v>
      </c>
      <c r="DG14" s="19">
        <f t="shared" si="36"/>
        <v>-0.38342756643033921</v>
      </c>
      <c r="DH14" s="19">
        <f t="shared" si="14"/>
        <v>5.5096086446953595E-2</v>
      </c>
      <c r="DI14" s="19">
        <f t="shared" si="15"/>
        <v>-0.4605468632141394</v>
      </c>
      <c r="DJ14" s="19">
        <f t="shared" si="16"/>
        <v>-2.1740462917001671E-2</v>
      </c>
      <c r="DK14" s="19">
        <f t="shared" si="17"/>
        <v>-0.27713632250099773</v>
      </c>
      <c r="DL14" s="19">
        <f t="shared" si="18"/>
        <v>0.16654527572098343</v>
      </c>
      <c r="DM14" s="19">
        <f t="shared" si="19"/>
        <v>-0.55954748983694602</v>
      </c>
      <c r="DN14" s="19">
        <f t="shared" si="20"/>
        <v>-0.11751660858487972</v>
      </c>
      <c r="DO14" s="19">
        <f t="shared" si="21"/>
        <v>-0.86695992222181395</v>
      </c>
      <c r="DP14" s="19">
        <f t="shared" si="22"/>
        <v>-0.43401624436723207</v>
      </c>
      <c r="DQ14" s="19">
        <f t="shared" si="23"/>
        <v>-5.1826243413354289E-3</v>
      </c>
      <c r="DR14" s="19">
        <f t="shared" si="24"/>
        <v>0.43676944927749528</v>
      </c>
      <c r="DS14" s="19">
        <f t="shared" si="25"/>
        <v>-0.43871657062043601</v>
      </c>
      <c r="DT14" s="19">
        <f t="shared" si="26"/>
        <v>0.43871657062043601</v>
      </c>
      <c r="DX14">
        <v>13</v>
      </c>
      <c r="DY14" s="9">
        <f t="shared" si="4"/>
        <v>6.9199571871307635</v>
      </c>
      <c r="EM14" s="11">
        <v>13</v>
      </c>
      <c r="EN14" s="8">
        <f t="shared" si="27"/>
        <v>0.5238540661967549</v>
      </c>
      <c r="EO14" s="8">
        <f t="shared" si="5"/>
        <v>-2.9915173591660076</v>
      </c>
      <c r="EP14" s="8">
        <f t="shared" si="28"/>
        <v>8.2871526468969003E-2</v>
      </c>
      <c r="EQ14" s="8">
        <f t="shared" si="29"/>
        <v>0.61735965122472458</v>
      </c>
      <c r="ER14" s="8">
        <f t="shared" si="30"/>
        <v>-0.78323567839884578</v>
      </c>
      <c r="ES14" s="8">
        <f t="shared" si="31"/>
        <v>1.4634322336637684</v>
      </c>
      <c r="ET14" s="8">
        <f t="shared" si="32"/>
        <v>3.9658840493637948</v>
      </c>
      <c r="EU14" s="8">
        <f t="shared" si="33"/>
        <v>-2.9540731377669687</v>
      </c>
      <c r="EW14" s="50"/>
      <c r="EX14" s="51"/>
      <c r="EY14" s="48"/>
      <c r="EZ14" s="48"/>
      <c r="FA14" s="48"/>
      <c r="FB14" s="48"/>
      <c r="FK14" s="10"/>
      <c r="FL14" s="10"/>
    </row>
    <row r="15" spans="1:170" ht="18.600000000000001" thickBot="1" x14ac:dyDescent="0.4">
      <c r="A15" s="12" t="s">
        <v>50</v>
      </c>
      <c r="B15" s="13">
        <v>13</v>
      </c>
      <c r="C15" s="30">
        <v>0.67264000000000002</v>
      </c>
      <c r="D15" s="31">
        <v>1.09958</v>
      </c>
      <c r="E15" s="32">
        <v>98.376999999999995</v>
      </c>
      <c r="F15" s="31">
        <v>0.57974999999999999</v>
      </c>
      <c r="G15" s="31">
        <v>0.91710000000000003</v>
      </c>
      <c r="H15" s="31">
        <v>1.1083099999999999</v>
      </c>
      <c r="I15" s="31">
        <v>1.51112</v>
      </c>
      <c r="J15" s="31">
        <v>0.85348999999999997</v>
      </c>
      <c r="K15" s="31">
        <v>0.95523999999999998</v>
      </c>
      <c r="L15" s="32">
        <v>162.09800000000001</v>
      </c>
      <c r="M15" s="31">
        <v>1.64771</v>
      </c>
      <c r="N15" s="31">
        <v>1.8118000000000001</v>
      </c>
      <c r="O15" s="31">
        <v>1.2985199999999999</v>
      </c>
      <c r="P15" s="31">
        <v>1.93049</v>
      </c>
      <c r="Q15" s="31">
        <v>2.1227299999999998</v>
      </c>
      <c r="R15" s="31">
        <v>1.7704599999999999</v>
      </c>
      <c r="S15" s="31">
        <v>1.1192</v>
      </c>
      <c r="T15" s="32">
        <v>189.91800000000001</v>
      </c>
      <c r="U15" s="32">
        <v>89.462000000000003</v>
      </c>
      <c r="V15" s="31">
        <v>0.5272</v>
      </c>
      <c r="W15" s="31">
        <v>0.61167000000000005</v>
      </c>
      <c r="X15" s="31">
        <v>0.83396999999999999</v>
      </c>
      <c r="Y15" s="32">
        <v>107.26900000000001</v>
      </c>
      <c r="Z15" s="31">
        <v>0.63214999999999999</v>
      </c>
      <c r="AA15" s="32">
        <v>169.68700000000001</v>
      </c>
      <c r="AB15" s="31">
        <v>1.3634900000000001</v>
      </c>
      <c r="AC15" s="31">
        <v>0.86190999999999995</v>
      </c>
      <c r="AD15" s="33">
        <v>146.25700000000001</v>
      </c>
      <c r="AH15" s="23">
        <v>14</v>
      </c>
      <c r="AI15" s="42">
        <f t="shared" si="34"/>
        <v>-0.10989337372656791</v>
      </c>
      <c r="AJ15" s="42">
        <f t="shared" si="34"/>
        <v>-0.10719866274210173</v>
      </c>
      <c r="AK15" s="42">
        <f t="shared" si="34"/>
        <v>-0.42108246535686839</v>
      </c>
      <c r="AL15" s="42">
        <f t="shared" si="34"/>
        <v>-0.18937763622277523</v>
      </c>
      <c r="AM15" s="42">
        <f t="shared" si="34"/>
        <v>-8.9332403695303722E-2</v>
      </c>
      <c r="AN15" s="42">
        <f t="shared" si="34"/>
        <v>-2.3453638471197035E-2</v>
      </c>
      <c r="AO15" s="42">
        <f t="shared" si="34"/>
        <v>0</v>
      </c>
      <c r="AP15" s="42">
        <f t="shared" si="34"/>
        <v>7.0304535814242506E-3</v>
      </c>
      <c r="AQ15" s="42">
        <f t="shared" si="34"/>
        <v>-0.10353157713102981</v>
      </c>
      <c r="AR15" s="42">
        <f t="shared" si="34"/>
        <v>-0.33325135268075085</v>
      </c>
      <c r="AS15" s="42">
        <f t="shared" si="34"/>
        <v>8.9294392069205128E-2</v>
      </c>
      <c r="AT15" s="42">
        <f t="shared" si="34"/>
        <v>-1.8210614028791611E-2</v>
      </c>
      <c r="AU15" s="42">
        <f t="shared" si="34"/>
        <v>-3.2334057000330034E-2</v>
      </c>
      <c r="AV15" s="42">
        <f t="shared" si="34"/>
        <v>8.0355013634428249E-2</v>
      </c>
      <c r="AW15" s="42">
        <f t="shared" si="34"/>
        <v>-2.7315841775352963E-2</v>
      </c>
      <c r="AX15" s="42">
        <f t="shared" si="34"/>
        <v>-8.471656660704192E-3</v>
      </c>
      <c r="AY15" s="42">
        <f t="shared" si="1"/>
        <v>-0.11067080789690922</v>
      </c>
      <c r="AZ15" s="42">
        <f t="shared" si="1"/>
        <v>-0.34108559674237315</v>
      </c>
      <c r="BA15" s="42">
        <f t="shared" si="1"/>
        <v>-0.31867005392877984</v>
      </c>
      <c r="BB15" s="42">
        <f t="shared" si="1"/>
        <v>-8.9070820778132248E-2</v>
      </c>
      <c r="BC15" s="42">
        <f t="shared" si="1"/>
        <v>-9.8082487371796354E-3</v>
      </c>
      <c r="BD15" s="42">
        <f t="shared" si="1"/>
        <v>1.3191662869059971E-2</v>
      </c>
      <c r="BE15" s="42">
        <f t="shared" si="1"/>
        <v>-0.33263028793889071</v>
      </c>
      <c r="BF15" s="42">
        <f t="shared" si="1"/>
        <v>-0.10113939853663521</v>
      </c>
      <c r="BG15" s="42">
        <f t="shared" si="1"/>
        <v>-0.22989451898540147</v>
      </c>
      <c r="BH15" s="42">
        <f t="shared" si="1"/>
        <v>2.1273474178412816E-2</v>
      </c>
      <c r="BI15" s="42">
        <f t="shared" si="1"/>
        <v>-7.8832353725409976E-2</v>
      </c>
      <c r="BJ15" s="42">
        <f t="shared" si="1"/>
        <v>-0.31013141392659366</v>
      </c>
      <c r="BN15" s="26">
        <v>14</v>
      </c>
      <c r="BO15" s="46">
        <f t="shared" si="35"/>
        <v>0.54616737565996654</v>
      </c>
      <c r="BP15" s="46">
        <f t="shared" si="2"/>
        <v>-0.24234817302510869</v>
      </c>
      <c r="BQ15" s="46">
        <f t="shared" si="38"/>
        <v>0.48161858493692183</v>
      </c>
      <c r="BR15" s="46">
        <f t="shared" si="38"/>
        <v>0.15583852958446856</v>
      </c>
      <c r="BS15" s="46">
        <f t="shared" si="38"/>
        <v>0.18901826403176336</v>
      </c>
      <c r="BT15" s="46">
        <f t="shared" si="38"/>
        <v>0.41706197939595741</v>
      </c>
      <c r="BU15" s="46">
        <f t="shared" si="38"/>
        <v>6.3698977018183112E-2</v>
      </c>
      <c r="BV15" s="46">
        <f t="shared" si="38"/>
        <v>0.14428373780020834</v>
      </c>
      <c r="BW15" s="46">
        <f t="shared" si="38"/>
        <v>2.8508689128549675E-2</v>
      </c>
      <c r="BX15" s="46">
        <f t="shared" si="38"/>
        <v>0.35718796153551774</v>
      </c>
      <c r="BY15" s="46">
        <f t="shared" si="38"/>
        <v>-0.12540634646350907</v>
      </c>
      <c r="BZ15" s="46">
        <f t="shared" si="38"/>
        <v>-0.36778376837649968</v>
      </c>
      <c r="CA15" s="46">
        <f t="shared" si="38"/>
        <v>0.2748259999799586</v>
      </c>
      <c r="CB15" s="46">
        <f t="shared" si="38"/>
        <v>-0.26835637883183711</v>
      </c>
      <c r="CC15" s="46">
        <f t="shared" si="38"/>
        <v>-0.51105397952700882</v>
      </c>
      <c r="CD15" s="46">
        <f t="shared" si="38"/>
        <v>-7.895536875507668E-2</v>
      </c>
      <c r="CE15" s="46">
        <f t="shared" si="38"/>
        <v>-0.11401940475045481</v>
      </c>
      <c r="CF15" s="46">
        <f t="shared" si="38"/>
        <v>0.21262063983466251</v>
      </c>
      <c r="CG15" s="46">
        <f t="shared" si="38"/>
        <v>0.71952661686763708</v>
      </c>
      <c r="CH15" s="46">
        <f t="shared" si="38"/>
        <v>0.39197305250477721</v>
      </c>
      <c r="CI15" s="46">
        <f t="shared" si="38"/>
        <v>0.78194676153059728</v>
      </c>
      <c r="CJ15" s="46">
        <f t="shared" si="38"/>
        <v>0.42693614795010065</v>
      </c>
      <c r="CK15" s="46">
        <f t="shared" si="38"/>
        <v>0.29165819044257524</v>
      </c>
      <c r="CL15" s="46">
        <f t="shared" si="38"/>
        <v>-3.2713266621515594E-2</v>
      </c>
      <c r="CM15" s="46">
        <f t="shared" si="37"/>
        <v>0.32487128879100646</v>
      </c>
      <c r="CN15" s="46">
        <f t="shared" si="37"/>
        <v>-0.35409108431457914</v>
      </c>
      <c r="CO15" s="46">
        <f t="shared" si="37"/>
        <v>-0.38861359872017204</v>
      </c>
      <c r="CP15" s="46">
        <f t="shared" si="37"/>
        <v>-6.3299500798536079E-2</v>
      </c>
      <c r="CU15" s="23">
        <v>14</v>
      </c>
      <c r="CV15" s="25">
        <f t="shared" si="6"/>
        <v>0.51755123003840731</v>
      </c>
      <c r="CW15" s="25">
        <f t="shared" si="7"/>
        <v>-2.8260063003997677</v>
      </c>
      <c r="CX15" s="25">
        <f t="shared" si="8"/>
        <v>1.2337987890668312E-2</v>
      </c>
      <c r="CY15" s="25">
        <f t="shared" si="9"/>
        <v>0.25118402104383797</v>
      </c>
      <c r="CZ15" s="25">
        <f t="shared" si="10"/>
        <v>-0.62922222984996468</v>
      </c>
      <c r="DA15" s="25">
        <f t="shared" si="11"/>
        <v>1.5240573064833578</v>
      </c>
      <c r="DB15" s="25">
        <f t="shared" si="12"/>
        <v>3.4415684997817291</v>
      </c>
      <c r="DC15" s="25">
        <f t="shared" si="13"/>
        <v>-2.3241837816097846</v>
      </c>
      <c r="DF15" s="18">
        <v>14</v>
      </c>
      <c r="DG15" s="21">
        <f t="shared" si="36"/>
        <v>-0.35409108431457914</v>
      </c>
      <c r="DH15" s="21">
        <f t="shared" si="14"/>
        <v>6.3698977018183112E-2</v>
      </c>
      <c r="DI15" s="21">
        <f t="shared" si="15"/>
        <v>-0.38861359872017204</v>
      </c>
      <c r="DJ15" s="21">
        <f t="shared" si="16"/>
        <v>2.8508689128549675E-2</v>
      </c>
      <c r="DK15" s="21">
        <f t="shared" si="17"/>
        <v>-0.2748259999799586</v>
      </c>
      <c r="DL15" s="21">
        <f t="shared" si="18"/>
        <v>0.14428373780020834</v>
      </c>
      <c r="DM15" s="21">
        <f t="shared" si="19"/>
        <v>-0.54616737565996654</v>
      </c>
      <c r="DN15" s="21">
        <f t="shared" si="20"/>
        <v>-0.12540634646350907</v>
      </c>
      <c r="DO15" s="21">
        <f t="shared" si="21"/>
        <v>-0.78194676153059728</v>
      </c>
      <c r="DP15" s="21">
        <f t="shared" si="22"/>
        <v>-0.36778376837649968</v>
      </c>
      <c r="DQ15" s="21">
        <f t="shared" si="23"/>
        <v>-6.3299500798536079E-2</v>
      </c>
      <c r="DR15" s="21">
        <f t="shared" si="24"/>
        <v>0.35718796153551774</v>
      </c>
      <c r="DS15" s="21">
        <f t="shared" si="25"/>
        <v>-0.41706197939595741</v>
      </c>
      <c r="DT15" s="21">
        <f t="shared" si="26"/>
        <v>0.41706197939595741</v>
      </c>
      <c r="DX15">
        <v>14</v>
      </c>
      <c r="DY15" s="9">
        <f t="shared" si="4"/>
        <v>5.7657522813915136</v>
      </c>
      <c r="EM15" s="11">
        <v>14</v>
      </c>
      <c r="EN15" s="8">
        <f t="shared" si="27"/>
        <v>0.51755123003840731</v>
      </c>
      <c r="EO15" s="8">
        <f t="shared" si="5"/>
        <v>-2.8260063003997677</v>
      </c>
      <c r="EP15" s="8">
        <f t="shared" si="28"/>
        <v>1.2337987890668312E-2</v>
      </c>
      <c r="EQ15" s="8">
        <f t="shared" si="29"/>
        <v>0.25118402104383797</v>
      </c>
      <c r="ER15" s="8">
        <f t="shared" si="30"/>
        <v>-0.62922222984996468</v>
      </c>
      <c r="ES15" s="8">
        <f t="shared" si="31"/>
        <v>1.5240573064833578</v>
      </c>
      <c r="ET15" s="8">
        <f t="shared" si="32"/>
        <v>3.4415684997817291</v>
      </c>
      <c r="EU15" s="8">
        <f t="shared" si="33"/>
        <v>-2.3241837816097846</v>
      </c>
      <c r="EW15" s="50"/>
      <c r="EX15" s="51"/>
      <c r="EY15" s="48"/>
      <c r="EZ15" s="48"/>
      <c r="FA15" s="48"/>
      <c r="FB15" s="48"/>
      <c r="FK15" s="10"/>
      <c r="FL15" s="10"/>
    </row>
    <row r="16" spans="1:170" ht="18.600000000000001" thickBot="1" x14ac:dyDescent="0.4">
      <c r="A16" s="12" t="s">
        <v>50</v>
      </c>
      <c r="B16" s="13">
        <v>14</v>
      </c>
      <c r="C16" s="30">
        <v>0.67337999999999998</v>
      </c>
      <c r="D16" s="31">
        <v>1.10076</v>
      </c>
      <c r="E16" s="32">
        <v>98.793000000000006</v>
      </c>
      <c r="F16" s="31">
        <v>0.58084999999999998</v>
      </c>
      <c r="G16" s="31">
        <v>0.91791999999999996</v>
      </c>
      <c r="H16" s="31">
        <v>1.1085700000000001</v>
      </c>
      <c r="I16" s="31">
        <v>1.51112</v>
      </c>
      <c r="J16" s="31">
        <v>0.85343000000000002</v>
      </c>
      <c r="K16" s="31">
        <v>0.95623000000000002</v>
      </c>
      <c r="L16" s="32">
        <v>162.63999999999999</v>
      </c>
      <c r="M16" s="31">
        <v>1.6462399999999999</v>
      </c>
      <c r="N16" s="31">
        <v>1.81213</v>
      </c>
      <c r="O16" s="31">
        <v>1.29894</v>
      </c>
      <c r="P16" s="31">
        <v>1.9289400000000001</v>
      </c>
      <c r="Q16" s="31">
        <v>2.12331</v>
      </c>
      <c r="R16" s="31">
        <v>1.77061</v>
      </c>
      <c r="S16" s="31">
        <v>1.1204400000000001</v>
      </c>
      <c r="T16" s="32">
        <v>190.56800000000001</v>
      </c>
      <c r="U16" s="32">
        <v>89.748000000000005</v>
      </c>
      <c r="V16" s="31">
        <v>0.52766999999999997</v>
      </c>
      <c r="W16" s="31">
        <v>0.61173</v>
      </c>
      <c r="X16" s="31">
        <v>0.83386000000000005</v>
      </c>
      <c r="Y16" s="32">
        <v>107.627</v>
      </c>
      <c r="Z16" s="31">
        <v>0.63278999999999996</v>
      </c>
      <c r="AA16" s="32">
        <v>170.078</v>
      </c>
      <c r="AB16" s="31">
        <v>1.3632</v>
      </c>
      <c r="AC16" s="31">
        <v>0.86258999999999997</v>
      </c>
      <c r="AD16" s="33">
        <v>146.71199999999999</v>
      </c>
      <c r="AH16" s="23">
        <v>15</v>
      </c>
      <c r="AI16" s="41">
        <f t="shared" si="34"/>
        <v>1.0396399875245354E-2</v>
      </c>
      <c r="AJ16" s="41">
        <f t="shared" si="34"/>
        <v>-1.8165964249380356E-2</v>
      </c>
      <c r="AK16" s="41">
        <f t="shared" si="34"/>
        <v>6.4823911920516938E-2</v>
      </c>
      <c r="AL16" s="41">
        <f t="shared" si="34"/>
        <v>1.3774816192291093E-2</v>
      </c>
      <c r="AM16" s="41">
        <f t="shared" si="34"/>
        <v>0</v>
      </c>
      <c r="AN16" s="41">
        <f>IF(H16=0,0,(H16-H17)*100/H17)</f>
        <v>2.7062622909389366E-3</v>
      </c>
      <c r="AO16" s="41">
        <f t="shared" si="34"/>
        <v>-7.2788390913398025E-3</v>
      </c>
      <c r="AP16" s="41">
        <f t="shared" si="34"/>
        <v>5.8590545829518489E-3</v>
      </c>
      <c r="AQ16" s="41">
        <f t="shared" si="34"/>
        <v>6.275034774157316E-3</v>
      </c>
      <c r="AR16" s="41">
        <f t="shared" si="34"/>
        <v>5.906093119399991E-2</v>
      </c>
      <c r="AS16" s="41">
        <f t="shared" si="34"/>
        <v>-7.8961594295306331E-3</v>
      </c>
      <c r="AT16" s="41">
        <f t="shared" si="34"/>
        <v>-2.6481151488739217E-2</v>
      </c>
      <c r="AU16" s="41">
        <f t="shared" si="34"/>
        <v>7.6986442687947099E-4</v>
      </c>
      <c r="AV16" s="41">
        <f t="shared" si="34"/>
        <v>-1.0885623201919055E-2</v>
      </c>
      <c r="AW16" s="41">
        <f t="shared" si="34"/>
        <v>-2.91911692004946E-2</v>
      </c>
      <c r="AX16" s="41">
        <f t="shared" si="34"/>
        <v>-1.0729613733900637E-2</v>
      </c>
      <c r="AY16" s="41">
        <f t="shared" si="1"/>
        <v>2.6775912389390079E-3</v>
      </c>
      <c r="AZ16" s="41">
        <f t="shared" si="1"/>
        <v>5.4078177092908741E-2</v>
      </c>
      <c r="BA16" s="41">
        <f t="shared" si="1"/>
        <v>8.363721521528536E-2</v>
      </c>
      <c r="BB16" s="41">
        <f t="shared" si="1"/>
        <v>3.2227488151659427E-2</v>
      </c>
      <c r="BC16" s="41">
        <f t="shared" si="1"/>
        <v>2.9433406916843752E-2</v>
      </c>
      <c r="BD16" s="41">
        <f t="shared" si="1"/>
        <v>1.9191555715491065E-2</v>
      </c>
      <c r="BE16" s="41">
        <f t="shared" si="1"/>
        <v>6.6942494537667721E-2</v>
      </c>
      <c r="BF16" s="41">
        <f t="shared" si="1"/>
        <v>1.5805528773963393E-2</v>
      </c>
      <c r="BG16" s="41">
        <f t="shared" si="1"/>
        <v>4.8824965440159067E-2</v>
      </c>
      <c r="BH16" s="41">
        <f t="shared" si="1"/>
        <v>-9.5354756368570687E-3</v>
      </c>
      <c r="BI16" s="41">
        <f t="shared" si="1"/>
        <v>2.3186523992278891E-3</v>
      </c>
      <c r="BJ16" s="41">
        <f t="shared" si="1"/>
        <v>5.455835015548044E-2</v>
      </c>
      <c r="BN16" s="26">
        <v>15</v>
      </c>
      <c r="BO16" s="45">
        <f t="shared" si="35"/>
        <v>0.65606074938653436</v>
      </c>
      <c r="BP16" s="45">
        <f t="shared" si="2"/>
        <v>-0.13514951028300692</v>
      </c>
      <c r="BQ16" s="45">
        <f t="shared" si="38"/>
        <v>0.90270105029379044</v>
      </c>
      <c r="BR16" s="45">
        <f t="shared" si="38"/>
        <v>0.34521616580724379</v>
      </c>
      <c r="BS16" s="45">
        <f t="shared" si="38"/>
        <v>0.27835066772706707</v>
      </c>
      <c r="BT16" s="45">
        <f t="shared" si="38"/>
        <v>0.44051561786715454</v>
      </c>
      <c r="BU16" s="45">
        <f t="shared" si="38"/>
        <v>6.3698977018183112E-2</v>
      </c>
      <c r="BV16" s="45">
        <f t="shared" si="38"/>
        <v>0.13725328421878405</v>
      </c>
      <c r="BW16" s="45">
        <f t="shared" si="38"/>
        <v>0.13204026625957949</v>
      </c>
      <c r="BX16" s="45">
        <f t="shared" si="38"/>
        <v>0.6904393142162687</v>
      </c>
      <c r="BY16" s="45">
        <f t="shared" si="38"/>
        <v>-0.21470073853271421</v>
      </c>
      <c r="BZ16" s="45">
        <f t="shared" si="38"/>
        <v>-0.34957315434770808</v>
      </c>
      <c r="CA16" s="45">
        <f t="shared" si="38"/>
        <v>0.3071600569802887</v>
      </c>
      <c r="CB16" s="45">
        <f t="shared" si="38"/>
        <v>-0.34871139246626537</v>
      </c>
      <c r="CC16" s="45">
        <f t="shared" si="38"/>
        <v>-0.48373813775165581</v>
      </c>
      <c r="CD16" s="45">
        <f t="shared" si="38"/>
        <v>-7.0483712094372472E-2</v>
      </c>
      <c r="CE16" s="45">
        <f t="shared" si="38"/>
        <v>-3.3485968535455972E-3</v>
      </c>
      <c r="CF16" s="45">
        <f t="shared" si="38"/>
        <v>0.55370623657703577</v>
      </c>
      <c r="CG16" s="45">
        <f t="shared" si="38"/>
        <v>1.0381966707964172</v>
      </c>
      <c r="CH16" s="45">
        <f t="shared" si="38"/>
        <v>0.48104387328290943</v>
      </c>
      <c r="CI16" s="45">
        <f t="shared" si="38"/>
        <v>0.79175501026777695</v>
      </c>
      <c r="CJ16" s="45">
        <f t="shared" si="38"/>
        <v>0.41374448508104061</v>
      </c>
      <c r="CK16" s="45">
        <f t="shared" si="38"/>
        <v>0.62428847838146606</v>
      </c>
      <c r="CL16" s="45">
        <f t="shared" si="38"/>
        <v>6.8426131915119634E-2</v>
      </c>
      <c r="CM16" s="45">
        <f t="shared" si="37"/>
        <v>0.55476580777640794</v>
      </c>
      <c r="CN16" s="45">
        <f t="shared" si="37"/>
        <v>-0.37536455849299194</v>
      </c>
      <c r="CO16" s="45">
        <f t="shared" si="37"/>
        <v>-0.30978124499476206</v>
      </c>
      <c r="CP16" s="45">
        <f t="shared" si="37"/>
        <v>0.24683191312805752</v>
      </c>
      <c r="CU16" s="23">
        <v>15</v>
      </c>
      <c r="CV16" s="24">
        <f t="shared" si="6"/>
        <v>0.89967356669954746</v>
      </c>
      <c r="CW16" s="24">
        <f t="shared" si="7"/>
        <v>-2.6338053248614512</v>
      </c>
      <c r="CX16" s="24">
        <f t="shared" si="8"/>
        <v>0.3827687510576594</v>
      </c>
      <c r="CY16" s="24">
        <f t="shared" si="9"/>
        <v>-9.0404655725017047E-2</v>
      </c>
      <c r="CZ16" s="24">
        <f t="shared" si="10"/>
        <v>-0.18266882982729885</v>
      </c>
      <c r="DA16" s="24">
        <f t="shared" si="11"/>
        <v>2.6105912539306084</v>
      </c>
      <c r="DB16" s="24">
        <f t="shared" si="12"/>
        <v>3.6932008418105147</v>
      </c>
      <c r="DC16" s="24">
        <f t="shared" si="13"/>
        <v>-4.6109294711694435</v>
      </c>
      <c r="DF16" s="20">
        <v>15</v>
      </c>
      <c r="DG16" s="19">
        <f t="shared" si="36"/>
        <v>-0.37536455849299194</v>
      </c>
      <c r="DH16" s="19">
        <f t="shared" si="14"/>
        <v>6.3698977018183112E-2</v>
      </c>
      <c r="DI16" s="19">
        <f t="shared" si="15"/>
        <v>-0.30978124499476206</v>
      </c>
      <c r="DJ16" s="19">
        <f t="shared" si="16"/>
        <v>0.13204026625957949</v>
      </c>
      <c r="DK16" s="19">
        <f t="shared" si="17"/>
        <v>-0.3071600569802887</v>
      </c>
      <c r="DL16" s="19">
        <f t="shared" si="18"/>
        <v>0.13725328421878405</v>
      </c>
      <c r="DM16" s="19">
        <f t="shared" si="19"/>
        <v>-0.65606074938653436</v>
      </c>
      <c r="DN16" s="19">
        <f t="shared" si="20"/>
        <v>-0.21470073853271421</v>
      </c>
      <c r="DO16" s="19">
        <f t="shared" si="21"/>
        <v>-0.79175501026777695</v>
      </c>
      <c r="DP16" s="19">
        <f t="shared" si="22"/>
        <v>-0.34957315434770808</v>
      </c>
      <c r="DQ16" s="19">
        <f t="shared" si="23"/>
        <v>0.24683191312805752</v>
      </c>
      <c r="DR16" s="19">
        <f t="shared" si="24"/>
        <v>0.6904393142162687</v>
      </c>
      <c r="DS16" s="19">
        <f t="shared" si="25"/>
        <v>-0.44051561786715454</v>
      </c>
      <c r="DT16" s="19">
        <f t="shared" si="26"/>
        <v>0.44051561786715454</v>
      </c>
      <c r="DX16">
        <v>15</v>
      </c>
      <c r="DY16" s="9">
        <f t="shared" si="4"/>
        <v>8.3041303129799573</v>
      </c>
      <c r="EM16" s="11">
        <v>15</v>
      </c>
      <c r="EN16" s="8">
        <f t="shared" si="27"/>
        <v>0.89967356669954746</v>
      </c>
      <c r="EO16" s="8">
        <f t="shared" si="5"/>
        <v>-2.6338053248614512</v>
      </c>
      <c r="EP16" s="8">
        <f t="shared" si="28"/>
        <v>0.3827687510576594</v>
      </c>
      <c r="EQ16" s="8">
        <f t="shared" si="29"/>
        <v>-9.0404655725017047E-2</v>
      </c>
      <c r="ER16" s="8">
        <f t="shared" si="30"/>
        <v>-0.18266882982729885</v>
      </c>
      <c r="ES16" s="8">
        <f t="shared" si="31"/>
        <v>2.6105912539306084</v>
      </c>
      <c r="ET16" s="8">
        <f t="shared" si="32"/>
        <v>3.6932008418105147</v>
      </c>
      <c r="EU16" s="8">
        <f t="shared" si="33"/>
        <v>-4.6109294711694435</v>
      </c>
      <c r="EW16" s="50"/>
      <c r="EX16" s="51"/>
      <c r="EY16" s="48"/>
      <c r="EZ16" s="48"/>
      <c r="FA16" s="48"/>
      <c r="FB16" s="48"/>
      <c r="FK16" s="10"/>
      <c r="FL16" s="10"/>
    </row>
    <row r="17" spans="1:168" ht="18.600000000000001" thickBot="1" x14ac:dyDescent="0.4">
      <c r="A17" s="12" t="s">
        <v>50</v>
      </c>
      <c r="B17" s="13">
        <v>15</v>
      </c>
      <c r="C17" s="30">
        <v>0.67330999999999996</v>
      </c>
      <c r="D17" s="31">
        <v>1.1009599999999999</v>
      </c>
      <c r="E17" s="32">
        <v>98.728999999999999</v>
      </c>
      <c r="F17" s="31">
        <v>0.58077000000000001</v>
      </c>
      <c r="G17" s="31">
        <v>0.91791999999999996</v>
      </c>
      <c r="H17" s="31">
        <v>1.1085400000000001</v>
      </c>
      <c r="I17" s="31">
        <v>1.5112300000000001</v>
      </c>
      <c r="J17" s="31">
        <v>0.85338000000000003</v>
      </c>
      <c r="K17" s="31">
        <v>0.95616999999999996</v>
      </c>
      <c r="L17" s="32">
        <v>162.54400000000001</v>
      </c>
      <c r="M17" s="31">
        <v>1.6463699999999999</v>
      </c>
      <c r="N17" s="31">
        <v>1.8126100000000001</v>
      </c>
      <c r="O17" s="31">
        <v>1.2989299999999999</v>
      </c>
      <c r="P17" s="31">
        <v>1.9291499999999999</v>
      </c>
      <c r="Q17" s="31">
        <v>2.1239300000000001</v>
      </c>
      <c r="R17" s="31">
        <v>1.7707999999999999</v>
      </c>
      <c r="S17" s="31">
        <v>1.1204099999999999</v>
      </c>
      <c r="T17" s="32">
        <v>190.465</v>
      </c>
      <c r="U17" s="32">
        <v>89.673000000000002</v>
      </c>
      <c r="V17" s="31">
        <v>0.52749999999999997</v>
      </c>
      <c r="W17" s="31">
        <v>0.61155000000000004</v>
      </c>
      <c r="X17" s="31">
        <v>0.8337</v>
      </c>
      <c r="Y17" s="32">
        <v>107.55500000000001</v>
      </c>
      <c r="Z17" s="31">
        <v>0.63268999999999997</v>
      </c>
      <c r="AA17" s="32">
        <v>169.995</v>
      </c>
      <c r="AB17" s="31">
        <v>1.3633299999999999</v>
      </c>
      <c r="AC17" s="31">
        <v>0.86256999999999995</v>
      </c>
      <c r="AD17" s="33">
        <v>146.63200000000001</v>
      </c>
      <c r="AH17" s="23">
        <v>16</v>
      </c>
      <c r="AI17" s="42">
        <f t="shared" si="34"/>
        <v>4.7548997756279736E-2</v>
      </c>
      <c r="AJ17" s="42">
        <f t="shared" si="34"/>
        <v>1.271779219127823E-2</v>
      </c>
      <c r="AK17" s="42">
        <f t="shared" si="34"/>
        <v>9.8345364587551901E-2</v>
      </c>
      <c r="AL17" s="42">
        <f t="shared" si="34"/>
        <v>7.4094496329744894E-2</v>
      </c>
      <c r="AM17" s="42">
        <f t="shared" si="34"/>
        <v>4.2505422166032876E-2</v>
      </c>
      <c r="AN17" s="42">
        <f t="shared" si="34"/>
        <v>1.6240210761852555E-2</v>
      </c>
      <c r="AO17" s="42">
        <f t="shared" si="34"/>
        <v>7.9411823097008168E-3</v>
      </c>
      <c r="AP17" s="42">
        <f t="shared" si="34"/>
        <v>1.7580253858863786E-2</v>
      </c>
      <c r="AQ17" s="42">
        <f t="shared" si="34"/>
        <v>2.6152816135238562E-2</v>
      </c>
      <c r="AR17" s="42">
        <f t="shared" si="34"/>
        <v>5.6016201609085818E-2</v>
      </c>
      <c r="AS17" s="42">
        <f t="shared" si="34"/>
        <v>2.4296465471574931E-3</v>
      </c>
      <c r="AT17" s="42">
        <f t="shared" si="34"/>
        <v>-2.0408388399209117E-2</v>
      </c>
      <c r="AU17" s="42">
        <f t="shared" si="34"/>
        <v>1.5399659667519652E-2</v>
      </c>
      <c r="AV17" s="42">
        <f t="shared" si="34"/>
        <v>3.1102747927752973E-3</v>
      </c>
      <c r="AW17" s="42">
        <f t="shared" si="34"/>
        <v>-2.024139034813819E-2</v>
      </c>
      <c r="AX17" s="42">
        <f t="shared" si="34"/>
        <v>7.9066562750629149E-3</v>
      </c>
      <c r="AY17" s="42">
        <f t="shared" si="1"/>
        <v>4.0180006428786691E-2</v>
      </c>
      <c r="AZ17" s="42">
        <f t="shared" si="1"/>
        <v>6.6197678878214539E-2</v>
      </c>
      <c r="BA17" s="42">
        <f t="shared" si="1"/>
        <v>0.14630006030689535</v>
      </c>
      <c r="BB17" s="42">
        <f t="shared" si="1"/>
        <v>0.12147439547507383</v>
      </c>
      <c r="BC17" s="42">
        <f t="shared" si="1"/>
        <v>9.6569333507936769E-2</v>
      </c>
      <c r="BD17" s="42">
        <f t="shared" si="1"/>
        <v>8.7638210259674235E-2</v>
      </c>
      <c r="BE17" s="42">
        <f t="shared" si="1"/>
        <v>7.5367065522826973E-2</v>
      </c>
      <c r="BF17" s="42">
        <f t="shared" si="1"/>
        <v>5.0603286050885869E-2</v>
      </c>
      <c r="BG17" s="42">
        <f t="shared" si="1"/>
        <v>0.13135263765521593</v>
      </c>
      <c r="BH17" s="42">
        <f t="shared" si="1"/>
        <v>-5.1342232653670602E-3</v>
      </c>
      <c r="BI17" s="42">
        <f t="shared" si="1"/>
        <v>2.5511683191279409E-2</v>
      </c>
      <c r="BJ17" s="42">
        <f t="shared" si="1"/>
        <v>5.1174628301628076E-2</v>
      </c>
      <c r="BN17" s="26">
        <v>16</v>
      </c>
      <c r="BO17" s="46">
        <f t="shared" si="35"/>
        <v>0.64566434951128915</v>
      </c>
      <c r="BP17" s="46">
        <f t="shared" si="2"/>
        <v>-0.11698354603362655</v>
      </c>
      <c r="BQ17" s="46">
        <f t="shared" si="38"/>
        <v>0.83787713837327338</v>
      </c>
      <c r="BR17" s="46">
        <f t="shared" si="38"/>
        <v>0.3314413496149527</v>
      </c>
      <c r="BS17" s="46">
        <f t="shared" si="38"/>
        <v>0.27835066772706701</v>
      </c>
      <c r="BT17" s="46">
        <f t="shared" si="38"/>
        <v>0.43780935557621559</v>
      </c>
      <c r="BU17" s="46">
        <f t="shared" si="38"/>
        <v>7.097781610952289E-2</v>
      </c>
      <c r="BV17" s="46">
        <f t="shared" si="38"/>
        <v>0.13139422963583222</v>
      </c>
      <c r="BW17" s="46">
        <f t="shared" si="38"/>
        <v>0.12576523148542218</v>
      </c>
      <c r="BX17" s="46">
        <f t="shared" si="38"/>
        <v>0.63137838302226867</v>
      </c>
      <c r="BY17" s="46">
        <f t="shared" si="38"/>
        <v>-0.20680457910318356</v>
      </c>
      <c r="BZ17" s="46">
        <f t="shared" si="38"/>
        <v>-0.32309200285896889</v>
      </c>
      <c r="CA17" s="46">
        <f t="shared" si="38"/>
        <v>0.30639019255340921</v>
      </c>
      <c r="CB17" s="46">
        <f t="shared" si="38"/>
        <v>-0.33782576926434632</v>
      </c>
      <c r="CC17" s="46">
        <f t="shared" si="38"/>
        <v>-0.45454696855116122</v>
      </c>
      <c r="CD17" s="46">
        <f t="shared" si="38"/>
        <v>-5.9754098360471866E-2</v>
      </c>
      <c r="CE17" s="46">
        <f t="shared" si="38"/>
        <v>-6.0261880924846051E-3</v>
      </c>
      <c r="CF17" s="46">
        <f t="shared" si="38"/>
        <v>0.49962805948412697</v>
      </c>
      <c r="CG17" s="46">
        <f t="shared" si="38"/>
        <v>0.95455945558113164</v>
      </c>
      <c r="CH17" s="46">
        <f t="shared" si="38"/>
        <v>0.44881638513124994</v>
      </c>
      <c r="CI17" s="46">
        <f t="shared" si="38"/>
        <v>0.76232160335093313</v>
      </c>
      <c r="CJ17" s="46">
        <f t="shared" si="38"/>
        <v>0.39455292936554953</v>
      </c>
      <c r="CK17" s="46">
        <f t="shared" si="38"/>
        <v>0.5573459838437983</v>
      </c>
      <c r="CL17" s="46">
        <f t="shared" si="38"/>
        <v>5.2620603141156234E-2</v>
      </c>
      <c r="CM17" s="46">
        <f t="shared" si="37"/>
        <v>0.50594084233624881</v>
      </c>
      <c r="CN17" s="46">
        <f t="shared" si="37"/>
        <v>-0.36582908285613486</v>
      </c>
      <c r="CO17" s="46">
        <f t="shared" si="37"/>
        <v>-0.31209989739399002</v>
      </c>
      <c r="CP17" s="46">
        <f t="shared" si="37"/>
        <v>0.19227356297257711</v>
      </c>
      <c r="CU17" s="23">
        <v>16</v>
      </c>
      <c r="CV17" s="25">
        <f t="shared" si="6"/>
        <v>0.86742843386710911</v>
      </c>
      <c r="CW17" s="25">
        <f t="shared" si="7"/>
        <v>-2.6378409182693949</v>
      </c>
      <c r="CX17" s="25">
        <f t="shared" si="8"/>
        <v>0.29166835499942184</v>
      </c>
      <c r="CY17" s="25">
        <f t="shared" si="9"/>
        <v>-8.1956038408901366E-2</v>
      </c>
      <c r="CZ17" s="25">
        <f t="shared" si="10"/>
        <v>-0.18352900186676005</v>
      </c>
      <c r="DA17" s="25">
        <f t="shared" si="11"/>
        <v>2.5209803075604857</v>
      </c>
      <c r="DB17" s="25">
        <f t="shared" si="12"/>
        <v>3.4548728908726209</v>
      </c>
      <c r="DC17" s="25">
        <f t="shared" si="13"/>
        <v>-4.1790034256134243</v>
      </c>
      <c r="DF17" s="18">
        <v>16</v>
      </c>
      <c r="DG17" s="21">
        <f t="shared" si="36"/>
        <v>-0.36582908285613486</v>
      </c>
      <c r="DH17" s="21">
        <f t="shared" si="14"/>
        <v>7.097781610952289E-2</v>
      </c>
      <c r="DI17" s="21">
        <f t="shared" si="15"/>
        <v>-0.31209989739399002</v>
      </c>
      <c r="DJ17" s="21">
        <f t="shared" si="16"/>
        <v>0.12576523148542218</v>
      </c>
      <c r="DK17" s="21">
        <f t="shared" si="17"/>
        <v>-0.30639019255340921</v>
      </c>
      <c r="DL17" s="21">
        <f t="shared" si="18"/>
        <v>0.13139422963583222</v>
      </c>
      <c r="DM17" s="21">
        <f t="shared" si="19"/>
        <v>-0.64566434951128915</v>
      </c>
      <c r="DN17" s="21">
        <f t="shared" si="20"/>
        <v>-0.20680457910318356</v>
      </c>
      <c r="DO17" s="21">
        <f t="shared" si="21"/>
        <v>-0.76232160335093313</v>
      </c>
      <c r="DP17" s="21">
        <f t="shared" si="22"/>
        <v>-0.32309200285896889</v>
      </c>
      <c r="DQ17" s="21">
        <f t="shared" si="23"/>
        <v>0.19227356297257711</v>
      </c>
      <c r="DR17" s="21">
        <f t="shared" si="24"/>
        <v>0.63137838302226867</v>
      </c>
      <c r="DS17" s="21">
        <f t="shared" si="25"/>
        <v>-0.43780935557621559</v>
      </c>
      <c r="DT17" s="21">
        <f t="shared" si="26"/>
        <v>0.43780935557621559</v>
      </c>
      <c r="DX17">
        <v>16</v>
      </c>
      <c r="DY17" s="9">
        <f t="shared" si="4"/>
        <v>7.6338763164860453</v>
      </c>
      <c r="EM17" s="7">
        <v>16</v>
      </c>
      <c r="EN17" s="8">
        <f t="shared" si="27"/>
        <v>0.86742843386710911</v>
      </c>
      <c r="EO17" s="8">
        <f t="shared" si="5"/>
        <v>-2.6378409182693949</v>
      </c>
      <c r="EP17" s="8">
        <f t="shared" si="28"/>
        <v>0.29166835499942184</v>
      </c>
      <c r="EQ17" s="8">
        <f t="shared" si="29"/>
        <v>-8.1956038408901366E-2</v>
      </c>
      <c r="ER17" s="8">
        <f t="shared" si="30"/>
        <v>-0.18352900186676005</v>
      </c>
      <c r="ES17" s="8">
        <f t="shared" si="31"/>
        <v>2.5209803075604857</v>
      </c>
      <c r="ET17" s="8">
        <f t="shared" si="32"/>
        <v>3.4548728908726209</v>
      </c>
      <c r="EU17" s="8">
        <f t="shared" si="33"/>
        <v>-4.1790034256134243</v>
      </c>
      <c r="EW17" s="50"/>
      <c r="EX17" s="51"/>
      <c r="EY17" s="48"/>
      <c r="EZ17" s="48"/>
      <c r="FA17" s="48"/>
      <c r="FB17" s="48"/>
      <c r="FK17" s="10"/>
      <c r="FL17" s="10"/>
    </row>
    <row r="18" spans="1:168" ht="18.600000000000001" thickBot="1" x14ac:dyDescent="0.4">
      <c r="A18" s="12" t="s">
        <v>50</v>
      </c>
      <c r="B18" s="13">
        <v>16</v>
      </c>
      <c r="C18" s="30">
        <v>0.67298999999999998</v>
      </c>
      <c r="D18" s="31">
        <v>1.1008199999999999</v>
      </c>
      <c r="E18" s="32">
        <v>98.632000000000005</v>
      </c>
      <c r="F18" s="31">
        <v>0.58033999999999997</v>
      </c>
      <c r="G18" s="31">
        <v>0.91752999999999996</v>
      </c>
      <c r="H18" s="31">
        <v>1.10836</v>
      </c>
      <c r="I18" s="31">
        <v>1.51111</v>
      </c>
      <c r="J18" s="31">
        <v>0.85323000000000004</v>
      </c>
      <c r="K18" s="31">
        <v>0.95591999999999999</v>
      </c>
      <c r="L18" s="32">
        <v>162.453</v>
      </c>
      <c r="M18" s="31">
        <v>1.6463300000000001</v>
      </c>
      <c r="N18" s="31">
        <v>1.81298</v>
      </c>
      <c r="O18" s="31">
        <v>1.2987299999999999</v>
      </c>
      <c r="P18" s="31">
        <v>1.92909</v>
      </c>
      <c r="Q18" s="31">
        <v>2.1243599999999998</v>
      </c>
      <c r="R18" s="31">
        <v>1.7706599999999999</v>
      </c>
      <c r="S18" s="31">
        <v>1.1199600000000001</v>
      </c>
      <c r="T18" s="32">
        <v>190.339</v>
      </c>
      <c r="U18" s="32">
        <v>89.542000000000002</v>
      </c>
      <c r="V18" s="31">
        <v>0.52685999999999999</v>
      </c>
      <c r="W18" s="31">
        <v>0.61095999999999995</v>
      </c>
      <c r="X18" s="31">
        <v>0.83296999999999999</v>
      </c>
      <c r="Y18" s="32">
        <v>107.474</v>
      </c>
      <c r="Z18" s="31">
        <v>0.63236999999999999</v>
      </c>
      <c r="AA18" s="32">
        <v>169.77199999999999</v>
      </c>
      <c r="AB18" s="31">
        <v>1.3633999999999999</v>
      </c>
      <c r="AC18" s="31">
        <v>0.86234999999999995</v>
      </c>
      <c r="AD18" s="33">
        <v>146.55699999999999</v>
      </c>
      <c r="AH18" s="23">
        <v>17</v>
      </c>
      <c r="AI18" s="41">
        <f t="shared" si="34"/>
        <v>-3.1194295900184712E-2</v>
      </c>
      <c r="AJ18" s="41">
        <f t="shared" si="34"/>
        <v>-7.2667817240512312E-3</v>
      </c>
      <c r="AK18" s="41">
        <f t="shared" si="34"/>
        <v>-5.9782553626974592E-2</v>
      </c>
      <c r="AL18" s="41">
        <f t="shared" si="34"/>
        <v>-9.1242446674820607E-2</v>
      </c>
      <c r="AM18" s="41">
        <f t="shared" si="34"/>
        <v>-2.3971669844728736E-2</v>
      </c>
      <c r="AN18" s="41">
        <f t="shared" si="34"/>
        <v>-1.3531677657404487E-2</v>
      </c>
      <c r="AO18" s="41">
        <f t="shared" si="34"/>
        <v>-7.2788872566571707E-3</v>
      </c>
      <c r="AP18" s="41">
        <f t="shared" si="34"/>
        <v>0</v>
      </c>
      <c r="AQ18" s="41">
        <f t="shared" si="34"/>
        <v>-6.0637741766860945E-2</v>
      </c>
      <c r="AR18" s="41">
        <f t="shared" si="34"/>
        <v>-3.3844487655996514E-2</v>
      </c>
      <c r="AS18" s="41">
        <f t="shared" si="34"/>
        <v>-1.0932214198507567E-2</v>
      </c>
      <c r="AT18" s="41">
        <f t="shared" si="34"/>
        <v>8.8260279564401304E-3</v>
      </c>
      <c r="AU18" s="41">
        <f t="shared" si="34"/>
        <v>-2.6172569607488972E-2</v>
      </c>
      <c r="AV18" s="41">
        <f t="shared" si="34"/>
        <v>-2.3839755383386122E-2</v>
      </c>
      <c r="AW18" s="41">
        <f t="shared" si="34"/>
        <v>-9.4145115281310423E-4</v>
      </c>
      <c r="AX18" s="41">
        <f t="shared" si="34"/>
        <v>-1.9762734258986257E-2</v>
      </c>
      <c r="AY18" s="41">
        <f t="shared" ref="AX18:BJ28" si="39">IF(S18=0,0,(S18-S19)*100/S19)</f>
        <v>-8.4752567110651739E-2</v>
      </c>
      <c r="AZ18" s="41">
        <f t="shared" si="39"/>
        <v>-5.5659114179944104E-2</v>
      </c>
      <c r="BA18" s="41">
        <f t="shared" si="39"/>
        <v>-8.7034144164252342E-2</v>
      </c>
      <c r="BB18" s="41">
        <f t="shared" si="39"/>
        <v>-0.12132701421800454</v>
      </c>
      <c r="BC18" s="41">
        <f t="shared" si="39"/>
        <v>-7.3600366366278189E-2</v>
      </c>
      <c r="BD18" s="41">
        <f t="shared" si="39"/>
        <v>-6.4786265311752106E-2</v>
      </c>
      <c r="BE18" s="41">
        <f t="shared" si="39"/>
        <v>-4.6501246233396409E-2</v>
      </c>
      <c r="BF18" s="41">
        <f t="shared" si="39"/>
        <v>-7.7426287014504075E-2</v>
      </c>
      <c r="BG18" s="41">
        <f t="shared" si="39"/>
        <v>-6.8280278771904943E-2</v>
      </c>
      <c r="BH18" s="41">
        <f t="shared" si="39"/>
        <v>4.4009564745367252E-3</v>
      </c>
      <c r="BI18" s="41">
        <f t="shared" si="39"/>
        <v>-6.1422213981090122E-2</v>
      </c>
      <c r="BJ18" s="41">
        <f t="shared" si="39"/>
        <v>-3.0695352041592825E-2</v>
      </c>
      <c r="BN18" s="26">
        <v>17</v>
      </c>
      <c r="BO18" s="45">
        <f t="shared" si="35"/>
        <v>0.59811535175500941</v>
      </c>
      <c r="BP18" s="45">
        <f t="shared" si="2"/>
        <v>-0.12970133822490482</v>
      </c>
      <c r="BQ18" s="45">
        <f t="shared" si="38"/>
        <v>0.73953177378572155</v>
      </c>
      <c r="BR18" s="45">
        <f t="shared" si="38"/>
        <v>0.25734685328520779</v>
      </c>
      <c r="BS18" s="45">
        <f t="shared" si="38"/>
        <v>0.23584524556103417</v>
      </c>
      <c r="BT18" s="45">
        <f t="shared" si="38"/>
        <v>0.42156914481436303</v>
      </c>
      <c r="BU18" s="45">
        <f t="shared" si="38"/>
        <v>6.3036633799822092E-2</v>
      </c>
      <c r="BV18" s="45">
        <f t="shared" si="38"/>
        <v>0.11381397577696845</v>
      </c>
      <c r="BW18" s="45">
        <f t="shared" si="38"/>
        <v>9.9612415350183656E-2</v>
      </c>
      <c r="BX18" s="45">
        <f t="shared" si="38"/>
        <v>0.57536218141318307</v>
      </c>
      <c r="BY18" s="45">
        <f t="shared" si="38"/>
        <v>-0.20923422565034103</v>
      </c>
      <c r="BZ18" s="45">
        <f t="shared" si="38"/>
        <v>-0.30268361445975972</v>
      </c>
      <c r="CA18" s="45">
        <f t="shared" si="38"/>
        <v>0.29099053288588955</v>
      </c>
      <c r="CB18" s="45">
        <f t="shared" si="38"/>
        <v>-0.34093604405712163</v>
      </c>
      <c r="CC18" s="45">
        <f t="shared" si="38"/>
        <v>-0.43430557820302301</v>
      </c>
      <c r="CD18" s="45">
        <f t="shared" si="38"/>
        <v>-6.7660754635534753E-2</v>
      </c>
      <c r="CE18" s="45">
        <f t="shared" si="38"/>
        <v>-4.6206194521271296E-2</v>
      </c>
      <c r="CF18" s="45">
        <f t="shared" si="38"/>
        <v>0.43343038060591238</v>
      </c>
      <c r="CG18" s="45">
        <f t="shared" si="38"/>
        <v>0.80825939527423629</v>
      </c>
      <c r="CH18" s="45">
        <f t="shared" si="38"/>
        <v>0.32734198965617622</v>
      </c>
      <c r="CI18" s="45">
        <f t="shared" si="38"/>
        <v>0.6657522698429964</v>
      </c>
      <c r="CJ18" s="45">
        <f t="shared" si="38"/>
        <v>0.30691471910587531</v>
      </c>
      <c r="CK18" s="45">
        <f t="shared" si="38"/>
        <v>0.48197891832097134</v>
      </c>
      <c r="CL18" s="45">
        <f t="shared" si="38"/>
        <v>2.0173170902703652E-3</v>
      </c>
      <c r="CM18" s="45">
        <f t="shared" si="37"/>
        <v>0.37458820468103299</v>
      </c>
      <c r="CN18" s="45">
        <f t="shared" si="37"/>
        <v>-0.36069485959076786</v>
      </c>
      <c r="CO18" s="45">
        <f t="shared" si="37"/>
        <v>-0.33761158058526936</v>
      </c>
      <c r="CP18" s="45">
        <f t="shared" si="37"/>
        <v>0.14109893467094906</v>
      </c>
      <c r="CU18" s="23">
        <v>17</v>
      </c>
      <c r="CV18" s="24">
        <f t="shared" si="6"/>
        <v>0.76147651104441949</v>
      </c>
      <c r="CW18" s="24">
        <f t="shared" si="7"/>
        <v>-2.5336348048033468</v>
      </c>
      <c r="CX18" s="24">
        <f t="shared" si="8"/>
        <v>0.30655525117081284</v>
      </c>
      <c r="CY18" s="24">
        <f t="shared" si="9"/>
        <v>7.4104721496005943E-2</v>
      </c>
      <c r="CZ18" s="24">
        <f t="shared" si="10"/>
        <v>-0.27850163370211722</v>
      </c>
      <c r="DA18" s="24">
        <f t="shared" si="11"/>
        <v>2.2513081558695305</v>
      </c>
      <c r="DB18" s="24">
        <f t="shared" si="12"/>
        <v>2.9749589047669716</v>
      </c>
      <c r="DC18" s="24">
        <f t="shared" si="13"/>
        <v>-3.5542497887520068</v>
      </c>
      <c r="DF18" s="20">
        <v>17</v>
      </c>
      <c r="DG18" s="19">
        <f t="shared" si="36"/>
        <v>-0.36069485959076786</v>
      </c>
      <c r="DH18" s="19">
        <f t="shared" si="14"/>
        <v>6.3036633799822092E-2</v>
      </c>
      <c r="DI18" s="19">
        <f t="shared" si="15"/>
        <v>-0.33761158058526936</v>
      </c>
      <c r="DJ18" s="19">
        <f t="shared" si="16"/>
        <v>9.9612415350183656E-2</v>
      </c>
      <c r="DK18" s="19">
        <f t="shared" si="17"/>
        <v>-0.29099053288588955</v>
      </c>
      <c r="DL18" s="19">
        <f t="shared" si="18"/>
        <v>0.11381397577696845</v>
      </c>
      <c r="DM18" s="19">
        <f t="shared" si="19"/>
        <v>-0.59811535175500941</v>
      </c>
      <c r="DN18" s="19">
        <f t="shared" si="20"/>
        <v>-0.20923422565034103</v>
      </c>
      <c r="DO18" s="19">
        <f t="shared" si="21"/>
        <v>-0.6657522698429964</v>
      </c>
      <c r="DP18" s="19">
        <f t="shared" si="22"/>
        <v>-0.30268361445975972</v>
      </c>
      <c r="DQ18" s="19">
        <f t="shared" si="23"/>
        <v>0.14109893467094906</v>
      </c>
      <c r="DR18" s="19">
        <f t="shared" si="24"/>
        <v>0.57536218141318307</v>
      </c>
      <c r="DS18" s="19">
        <f t="shared" si="25"/>
        <v>-0.42156914481436303</v>
      </c>
      <c r="DT18" s="19">
        <f t="shared" si="26"/>
        <v>0.42156914481436303</v>
      </c>
      <c r="DX18">
        <v>17</v>
      </c>
      <c r="DY18" s="9">
        <f t="shared" si="4"/>
        <v>6.5292086935189779</v>
      </c>
      <c r="EM18" s="11">
        <v>17</v>
      </c>
      <c r="EN18" s="8">
        <f t="shared" si="27"/>
        <v>0.76147651104441949</v>
      </c>
      <c r="EO18" s="8">
        <f t="shared" si="5"/>
        <v>-2.5336348048033468</v>
      </c>
      <c r="EP18" s="8">
        <f t="shared" si="28"/>
        <v>0.30655525117081284</v>
      </c>
      <c r="EQ18" s="8">
        <f t="shared" si="29"/>
        <v>7.4104721496005943E-2</v>
      </c>
      <c r="ER18" s="8">
        <f t="shared" si="30"/>
        <v>-0.27850163370211722</v>
      </c>
      <c r="ES18" s="8">
        <f t="shared" si="31"/>
        <v>2.2513081558695305</v>
      </c>
      <c r="ET18" s="8">
        <f t="shared" si="32"/>
        <v>2.9749589047669716</v>
      </c>
      <c r="EU18" s="8">
        <f t="shared" si="33"/>
        <v>-3.5542497887520068</v>
      </c>
      <c r="EW18" s="50"/>
      <c r="EX18" s="51"/>
      <c r="EY18" s="48"/>
      <c r="EZ18" s="48"/>
      <c r="FA18" s="48"/>
      <c r="FB18" s="48"/>
      <c r="FK18" s="10"/>
      <c r="FL18" s="10"/>
    </row>
    <row r="19" spans="1:168" ht="18.600000000000001" thickBot="1" x14ac:dyDescent="0.4">
      <c r="A19" s="12" t="s">
        <v>50</v>
      </c>
      <c r="B19" s="13">
        <v>17</v>
      </c>
      <c r="C19" s="30">
        <v>0.67320000000000002</v>
      </c>
      <c r="D19" s="31">
        <v>1.1009</v>
      </c>
      <c r="E19" s="32">
        <v>98.691000000000003</v>
      </c>
      <c r="F19" s="31">
        <v>0.58087</v>
      </c>
      <c r="G19" s="31">
        <v>0.91774999999999995</v>
      </c>
      <c r="H19" s="31">
        <v>1.1085100000000001</v>
      </c>
      <c r="I19" s="31">
        <v>1.51122</v>
      </c>
      <c r="J19" s="31">
        <v>0.85323000000000004</v>
      </c>
      <c r="K19" s="31">
        <v>0.95650000000000002</v>
      </c>
      <c r="L19" s="32">
        <v>162.50800000000001</v>
      </c>
      <c r="M19" s="31">
        <v>1.6465099999999999</v>
      </c>
      <c r="N19" s="31">
        <v>1.8128200000000001</v>
      </c>
      <c r="O19" s="31">
        <v>1.2990699999999999</v>
      </c>
      <c r="P19" s="31">
        <v>1.9295500000000001</v>
      </c>
      <c r="Q19" s="31">
        <v>2.1243799999999999</v>
      </c>
      <c r="R19" s="31">
        <v>1.77101</v>
      </c>
      <c r="S19" s="31">
        <v>1.1209100000000001</v>
      </c>
      <c r="T19" s="32">
        <v>190.44499999999999</v>
      </c>
      <c r="U19" s="32">
        <v>89.62</v>
      </c>
      <c r="V19" s="31">
        <v>0.52749999999999997</v>
      </c>
      <c r="W19" s="31">
        <v>0.61141000000000001</v>
      </c>
      <c r="X19" s="31">
        <v>0.83350999999999997</v>
      </c>
      <c r="Y19" s="32">
        <v>107.524</v>
      </c>
      <c r="Z19" s="31">
        <v>0.63285999999999998</v>
      </c>
      <c r="AA19" s="32">
        <v>169.88800000000001</v>
      </c>
      <c r="AB19" s="31">
        <v>1.36334</v>
      </c>
      <c r="AC19" s="31">
        <v>0.86287999999999998</v>
      </c>
      <c r="AD19" s="33">
        <v>146.602</v>
      </c>
      <c r="AH19" s="23">
        <v>18</v>
      </c>
      <c r="AI19" s="42">
        <f t="shared" si="34"/>
        <v>1.4854647276497739E-3</v>
      </c>
      <c r="AJ19" s="42">
        <f t="shared" si="34"/>
        <v>-7.8963849079202231E-2</v>
      </c>
      <c r="AK19" s="42">
        <f t="shared" si="34"/>
        <v>-2.3299633284028745E-2</v>
      </c>
      <c r="AL19" s="42">
        <f t="shared" si="34"/>
        <v>2.5830004132797815E-2</v>
      </c>
      <c r="AM19" s="42">
        <f t="shared" si="34"/>
        <v>-2.2876813804527812E-2</v>
      </c>
      <c r="AN19" s="42">
        <f t="shared" si="34"/>
        <v>1.2631161074373086E-2</v>
      </c>
      <c r="AO19" s="42">
        <f t="shared" si="34"/>
        <v>-8.6015813676490211E-3</v>
      </c>
      <c r="AP19" s="42">
        <f t="shared" si="34"/>
        <v>3.5161744022603747E-3</v>
      </c>
      <c r="AQ19" s="42">
        <f t="shared" si="34"/>
        <v>4.0790285636590082E-2</v>
      </c>
      <c r="AR19" s="42">
        <f t="shared" si="34"/>
        <v>-7.9989662874193537E-3</v>
      </c>
      <c r="AS19" s="42">
        <f t="shared" si="34"/>
        <v>4.2515973858758592E-3</v>
      </c>
      <c r="AT19" s="42">
        <f t="shared" si="34"/>
        <v>-6.725320279596915E-2</v>
      </c>
      <c r="AU19" s="42">
        <f t="shared" si="34"/>
        <v>5.388760585066551E-3</v>
      </c>
      <c r="AV19" s="42">
        <f t="shared" si="34"/>
        <v>-2.0729792339210899E-3</v>
      </c>
      <c r="AW19" s="42">
        <f t="shared" si="34"/>
        <v>-7.3379305154426089E-2</v>
      </c>
      <c r="AX19" s="42">
        <f t="shared" si="34"/>
        <v>-1.4678733338222122E-2</v>
      </c>
      <c r="AY19" s="42">
        <f t="shared" si="39"/>
        <v>3.1234382808602169E-2</v>
      </c>
      <c r="AZ19" s="42">
        <f t="shared" si="39"/>
        <v>-1.7324835414071683E-2</v>
      </c>
      <c r="BA19" s="42">
        <f t="shared" si="39"/>
        <v>4.1302479265045981E-2</v>
      </c>
      <c r="BB19" s="42">
        <f t="shared" si="39"/>
        <v>9.297736285838798E-2</v>
      </c>
      <c r="BC19" s="42">
        <f t="shared" si="39"/>
        <v>6.7103109656304658E-2</v>
      </c>
      <c r="BD19" s="42">
        <f t="shared" si="39"/>
        <v>4.6811983867870353E-2</v>
      </c>
      <c r="BE19" s="42">
        <f t="shared" si="39"/>
        <v>-1.1159053712245624E-2</v>
      </c>
      <c r="BF19" s="42">
        <f t="shared" si="39"/>
        <v>3.7937466409537796E-2</v>
      </c>
      <c r="BG19" s="42">
        <f t="shared" si="39"/>
        <v>-5.7063858575761628E-2</v>
      </c>
      <c r="BH19" s="42">
        <f t="shared" si="39"/>
        <v>-2.1266765911567027E-2</v>
      </c>
      <c r="BI19" s="42">
        <f t="shared" si="39"/>
        <v>2.5502515475389839E-2</v>
      </c>
      <c r="BJ19" s="42">
        <f t="shared" si="39"/>
        <v>-2.4550253003997165E-2</v>
      </c>
      <c r="BN19" s="26">
        <v>18</v>
      </c>
      <c r="BO19" s="46">
        <f t="shared" si="35"/>
        <v>0.62930964765519415</v>
      </c>
      <c r="BP19" s="46">
        <f t="shared" si="2"/>
        <v>-0.12243455650085357</v>
      </c>
      <c r="BQ19" s="46">
        <f t="shared" si="38"/>
        <v>0.79931432741269615</v>
      </c>
      <c r="BR19" s="46">
        <f t="shared" si="38"/>
        <v>0.34858929996002835</v>
      </c>
      <c r="BS19" s="46">
        <f t="shared" si="38"/>
        <v>0.25981691540576285</v>
      </c>
      <c r="BT19" s="46">
        <f t="shared" si="38"/>
        <v>0.43510082247176746</v>
      </c>
      <c r="BU19" s="46">
        <f t="shared" si="38"/>
        <v>7.0315521056479258E-2</v>
      </c>
      <c r="BV19" s="46">
        <f t="shared" si="38"/>
        <v>0.11381397577696845</v>
      </c>
      <c r="BW19" s="46">
        <f t="shared" si="38"/>
        <v>0.1602501571170446</v>
      </c>
      <c r="BX19" s="46">
        <f t="shared" si="38"/>
        <v>0.60920666906917953</v>
      </c>
      <c r="BY19" s="46">
        <f t="shared" si="38"/>
        <v>-0.19830201145183349</v>
      </c>
      <c r="BZ19" s="46">
        <f t="shared" si="38"/>
        <v>-0.31150964241619983</v>
      </c>
      <c r="CA19" s="46">
        <f t="shared" si="38"/>
        <v>0.31716310249337853</v>
      </c>
      <c r="CB19" s="46">
        <f t="shared" si="38"/>
        <v>-0.31709628867373552</v>
      </c>
      <c r="CC19" s="46">
        <f t="shared" si="38"/>
        <v>-0.43336412705020994</v>
      </c>
      <c r="CD19" s="46">
        <f t="shared" si="38"/>
        <v>-4.78980203765485E-2</v>
      </c>
      <c r="CE19" s="46">
        <f t="shared" si="38"/>
        <v>3.854637258938045E-2</v>
      </c>
      <c r="CF19" s="46">
        <f t="shared" si="38"/>
        <v>0.48908949478585662</v>
      </c>
      <c r="CG19" s="46">
        <f t="shared" si="38"/>
        <v>0.89529353943848855</v>
      </c>
      <c r="CH19" s="46">
        <f t="shared" si="38"/>
        <v>0.44866900387418063</v>
      </c>
      <c r="CI19" s="46">
        <f t="shared" si="38"/>
        <v>0.73935263620927461</v>
      </c>
      <c r="CJ19" s="46">
        <f t="shared" si="38"/>
        <v>0.37170098441762744</v>
      </c>
      <c r="CK19" s="46">
        <f t="shared" si="38"/>
        <v>0.52848016455436775</v>
      </c>
      <c r="CL19" s="46">
        <f t="shared" si="38"/>
        <v>7.9443604104774468E-2</v>
      </c>
      <c r="CM19" s="46">
        <f t="shared" si="37"/>
        <v>0.44286848345293789</v>
      </c>
      <c r="CN19" s="46">
        <f t="shared" si="37"/>
        <v>-0.3650958160653045</v>
      </c>
      <c r="CO19" s="46">
        <f t="shared" si="37"/>
        <v>-0.27618936660417925</v>
      </c>
      <c r="CP19" s="46">
        <f t="shared" si="37"/>
        <v>0.17179428671254188</v>
      </c>
      <c r="CU19" s="23">
        <v>18</v>
      </c>
      <c r="CV19" s="25">
        <f t="shared" si="6"/>
        <v>0.87887549162340606</v>
      </c>
      <c r="CW19" s="25">
        <f t="shared" si="7"/>
        <v>-2.5904171047865567</v>
      </c>
      <c r="CX19" s="25">
        <f t="shared" si="8"/>
        <v>0.31908418422112578</v>
      </c>
      <c r="CY19" s="25">
        <f t="shared" si="9"/>
        <v>-0.27699698348351687</v>
      </c>
      <c r="CZ19" s="25">
        <f t="shared" si="10"/>
        <v>-6.7373442008846818E-2</v>
      </c>
      <c r="DA19" s="25">
        <f t="shared" si="11"/>
        <v>2.4299939340583969</v>
      </c>
      <c r="DB19" s="25">
        <f t="shared" si="12"/>
        <v>3.3223244899068347</v>
      </c>
      <c r="DC19" s="25">
        <f t="shared" si="13"/>
        <v>-3.9360469654260681</v>
      </c>
      <c r="DF19" s="18">
        <v>18</v>
      </c>
      <c r="DG19" s="21">
        <f t="shared" si="36"/>
        <v>-0.3650958160653045</v>
      </c>
      <c r="DH19" s="21">
        <f t="shared" si="14"/>
        <v>7.0315521056479258E-2</v>
      </c>
      <c r="DI19" s="21">
        <f t="shared" si="15"/>
        <v>-0.27618936660417925</v>
      </c>
      <c r="DJ19" s="21">
        <f t="shared" si="16"/>
        <v>0.1602501571170446</v>
      </c>
      <c r="DK19" s="21">
        <f t="shared" si="17"/>
        <v>-0.31716310249337853</v>
      </c>
      <c r="DL19" s="21">
        <f t="shared" si="18"/>
        <v>0.11381397577696845</v>
      </c>
      <c r="DM19" s="21">
        <f t="shared" si="19"/>
        <v>-0.62930964765519415</v>
      </c>
      <c r="DN19" s="21">
        <f t="shared" si="20"/>
        <v>-0.19830201145183349</v>
      </c>
      <c r="DO19" s="21">
        <f t="shared" si="21"/>
        <v>-0.73935263620927461</v>
      </c>
      <c r="DP19" s="21">
        <f t="shared" si="22"/>
        <v>-0.31150964241619983</v>
      </c>
      <c r="DQ19" s="21">
        <f t="shared" si="23"/>
        <v>0.17179428671254188</v>
      </c>
      <c r="DR19" s="21">
        <f t="shared" si="24"/>
        <v>0.60920666906917953</v>
      </c>
      <c r="DS19" s="21">
        <f t="shared" si="25"/>
        <v>-0.43510082247176746</v>
      </c>
      <c r="DT19" s="21">
        <f t="shared" si="26"/>
        <v>0.43510082247176746</v>
      </c>
      <c r="DX19">
        <v>18</v>
      </c>
      <c r="DY19" s="9">
        <f t="shared" si="4"/>
        <v>7.2583714553329024</v>
      </c>
      <c r="EM19" s="11">
        <v>18</v>
      </c>
      <c r="EN19" s="8">
        <f t="shared" si="27"/>
        <v>0.87887549162340606</v>
      </c>
      <c r="EO19" s="8">
        <f t="shared" si="5"/>
        <v>-2.5904171047865567</v>
      </c>
      <c r="EP19" s="8">
        <f t="shared" si="28"/>
        <v>0.31908418422112578</v>
      </c>
      <c r="EQ19" s="8">
        <f t="shared" si="29"/>
        <v>-0.27699698348351687</v>
      </c>
      <c r="ER19" s="8">
        <f t="shared" si="30"/>
        <v>-6.7373442008846818E-2</v>
      </c>
      <c r="ES19" s="8">
        <f t="shared" si="31"/>
        <v>2.4299939340583969</v>
      </c>
      <c r="ET19" s="8">
        <f t="shared" si="32"/>
        <v>3.3223244899068347</v>
      </c>
      <c r="EU19" s="8">
        <f t="shared" si="33"/>
        <v>-3.9360469654260681</v>
      </c>
      <c r="EW19" s="50"/>
      <c r="EX19" s="51"/>
      <c r="EY19" s="48"/>
      <c r="EZ19" s="48"/>
      <c r="FA19" s="48"/>
      <c r="FB19" s="48"/>
      <c r="FK19" s="10"/>
      <c r="FL19" s="10"/>
    </row>
    <row r="20" spans="1:168" ht="18.600000000000001" thickBot="1" x14ac:dyDescent="0.4">
      <c r="A20" s="12" t="s">
        <v>50</v>
      </c>
      <c r="B20" s="13">
        <v>18</v>
      </c>
      <c r="C20" s="30">
        <v>0.67318999999999996</v>
      </c>
      <c r="D20" s="31">
        <v>1.1017699999999999</v>
      </c>
      <c r="E20" s="32">
        <v>98.713999999999999</v>
      </c>
      <c r="F20" s="31">
        <v>0.58072000000000001</v>
      </c>
      <c r="G20" s="31">
        <v>0.91796</v>
      </c>
      <c r="H20" s="31">
        <v>1.1083700000000001</v>
      </c>
      <c r="I20" s="31">
        <v>1.51135</v>
      </c>
      <c r="J20" s="31">
        <v>0.85319999999999996</v>
      </c>
      <c r="K20" s="31">
        <v>0.95611000000000002</v>
      </c>
      <c r="L20" s="32">
        <v>162.52099999999999</v>
      </c>
      <c r="M20" s="31">
        <v>1.6464399999999999</v>
      </c>
      <c r="N20" s="31">
        <v>1.8140400000000001</v>
      </c>
      <c r="O20" s="31">
        <v>1.2989999999999999</v>
      </c>
      <c r="P20" s="31">
        <v>1.9295899999999999</v>
      </c>
      <c r="Q20" s="31">
        <v>2.1259399999999999</v>
      </c>
      <c r="R20" s="31">
        <v>1.7712699999999999</v>
      </c>
      <c r="S20" s="31">
        <v>1.12056</v>
      </c>
      <c r="T20" s="32">
        <v>190.47800000000001</v>
      </c>
      <c r="U20" s="32">
        <v>89.582999999999998</v>
      </c>
      <c r="V20" s="31">
        <v>0.52700999999999998</v>
      </c>
      <c r="W20" s="31">
        <v>0.61099999999999999</v>
      </c>
      <c r="X20" s="31">
        <v>0.83311999999999997</v>
      </c>
      <c r="Y20" s="32">
        <v>107.536</v>
      </c>
      <c r="Z20" s="31">
        <v>0.63261999999999996</v>
      </c>
      <c r="AA20" s="32">
        <v>169.98500000000001</v>
      </c>
      <c r="AB20" s="31">
        <v>1.3636299999999999</v>
      </c>
      <c r="AC20" s="31">
        <v>0.86265999999999998</v>
      </c>
      <c r="AD20" s="33">
        <v>146.63800000000001</v>
      </c>
      <c r="AH20" s="23">
        <v>19</v>
      </c>
      <c r="AI20" s="41">
        <f t="shared" ref="AI20:AX28" si="40">IF(C20=0,0,(C20-C21)*100/C21)</f>
        <v>2.5259279070459051E-2</v>
      </c>
      <c r="AJ20" s="41">
        <f t="shared" si="40"/>
        <v>2.0879859106337717E-2</v>
      </c>
      <c r="AK20" s="41">
        <f t="shared" si="40"/>
        <v>1.21578083524148E-2</v>
      </c>
      <c r="AL20" s="41">
        <f t="shared" si="40"/>
        <v>2.2391016035405959E-2</v>
      </c>
      <c r="AM20" s="41">
        <f t="shared" si="40"/>
        <v>4.3593879419324723E-2</v>
      </c>
      <c r="AN20" s="41">
        <f t="shared" si="40"/>
        <v>1.8047772453682914E-2</v>
      </c>
      <c r="AO20" s="41">
        <f t="shared" si="40"/>
        <v>3.7066700203197925E-2</v>
      </c>
      <c r="AP20" s="41">
        <f t="shared" si="40"/>
        <v>3.1655587211141888E-2</v>
      </c>
      <c r="AQ20" s="41">
        <f t="shared" si="40"/>
        <v>1.1506276150633316E-2</v>
      </c>
      <c r="AR20" s="41">
        <f t="shared" si="40"/>
        <v>5.5380525745705733E-3</v>
      </c>
      <c r="AS20" s="41">
        <f t="shared" si="40"/>
        <v>-4.8587323567329888E-3</v>
      </c>
      <c r="AT20" s="41">
        <f t="shared" si="40"/>
        <v>1.8194749987603502E-2</v>
      </c>
      <c r="AU20" s="41">
        <f t="shared" si="40"/>
        <v>-1.6163668690977094E-2</v>
      </c>
      <c r="AV20" s="41">
        <f t="shared" si="40"/>
        <v>-4.1442402830523049E-2</v>
      </c>
      <c r="AW20" s="41">
        <f t="shared" si="40"/>
        <v>-2.1632806621515472E-2</v>
      </c>
      <c r="AX20" s="41">
        <f t="shared" si="40"/>
        <v>5.6456985421922629E-4</v>
      </c>
      <c r="AY20" s="41">
        <f t="shared" si="39"/>
        <v>-1.8737118231219919E-2</v>
      </c>
      <c r="AZ20" s="41">
        <f t="shared" si="39"/>
        <v>-2.9391079807269661E-2</v>
      </c>
      <c r="BA20" s="41">
        <f t="shared" si="39"/>
        <v>-1.3393604553826056E-2</v>
      </c>
      <c r="BB20" s="41">
        <f t="shared" si="39"/>
        <v>0</v>
      </c>
      <c r="BC20" s="41">
        <f t="shared" si="39"/>
        <v>1.3095004255871305E-2</v>
      </c>
      <c r="BD20" s="41">
        <f t="shared" si="39"/>
        <v>2.7614691015614604E-2</v>
      </c>
      <c r="BE20" s="41">
        <f t="shared" si="39"/>
        <v>-3.0677983433890107E-2</v>
      </c>
      <c r="BF20" s="41">
        <f t="shared" si="39"/>
        <v>-2.0545239035965942E-2</v>
      </c>
      <c r="BG20" s="41">
        <f t="shared" si="39"/>
        <v>-4.7060761325356665E-3</v>
      </c>
      <c r="BH20" s="41">
        <f t="shared" si="39"/>
        <v>1.6869590729056218E-2</v>
      </c>
      <c r="BI20" s="41">
        <f t="shared" si="39"/>
        <v>-1.1591918114766378E-3</v>
      </c>
      <c r="BJ20" s="41">
        <f t="shared" si="39"/>
        <v>-1.2273619899629528E-2</v>
      </c>
      <c r="BN20" s="26">
        <v>19</v>
      </c>
      <c r="BO20" s="45">
        <f t="shared" si="35"/>
        <v>0.62782418292754438</v>
      </c>
      <c r="BP20" s="45">
        <f t="shared" si="2"/>
        <v>-4.347070742165135E-2</v>
      </c>
      <c r="BQ20" s="45">
        <f t="shared" si="38"/>
        <v>0.82261396069672488</v>
      </c>
      <c r="BR20" s="45">
        <f t="shared" si="38"/>
        <v>0.32275929582723056</v>
      </c>
      <c r="BS20" s="45">
        <f t="shared" si="38"/>
        <v>0.28269372921029068</v>
      </c>
      <c r="BT20" s="45">
        <f t="shared" si="38"/>
        <v>0.42246966139739439</v>
      </c>
      <c r="BU20" s="45">
        <f t="shared" si="38"/>
        <v>7.8917102424128277E-2</v>
      </c>
      <c r="BV20" s="45">
        <f t="shared" si="38"/>
        <v>0.11029780137470804</v>
      </c>
      <c r="BW20" s="45">
        <f t="shared" si="38"/>
        <v>0.1194598714804545</v>
      </c>
      <c r="BX20" s="45">
        <f t="shared" si="38"/>
        <v>0.61720563535659867</v>
      </c>
      <c r="BY20" s="45">
        <f t="shared" si="38"/>
        <v>-0.20255360883770931</v>
      </c>
      <c r="BZ20" s="45">
        <f t="shared" si="38"/>
        <v>-0.24425643962023069</v>
      </c>
      <c r="CA20" s="45">
        <f t="shared" si="38"/>
        <v>0.31177434190831199</v>
      </c>
      <c r="CB20" s="45">
        <f t="shared" si="38"/>
        <v>-0.31502330943981444</v>
      </c>
      <c r="CC20" s="45">
        <f t="shared" si="38"/>
        <v>-0.35998482189578379</v>
      </c>
      <c r="CD20" s="45">
        <f t="shared" si="38"/>
        <v>-3.3219287038326377E-2</v>
      </c>
      <c r="CE20" s="45">
        <f t="shared" si="38"/>
        <v>7.3119897807782767E-3</v>
      </c>
      <c r="CF20" s="45">
        <f t="shared" si="38"/>
        <v>0.50641433019992832</v>
      </c>
      <c r="CG20" s="45">
        <f t="shared" si="38"/>
        <v>0.85399106017344262</v>
      </c>
      <c r="CH20" s="45">
        <f t="shared" si="38"/>
        <v>0.35569164101579265</v>
      </c>
      <c r="CI20" s="45">
        <f t="shared" si="38"/>
        <v>0.67224952655296999</v>
      </c>
      <c r="CJ20" s="45">
        <f t="shared" si="38"/>
        <v>0.32488900054975706</v>
      </c>
      <c r="CK20" s="45">
        <f t="shared" si="38"/>
        <v>0.53963921826661343</v>
      </c>
      <c r="CL20" s="45">
        <f t="shared" si="38"/>
        <v>4.1506137695236672E-2</v>
      </c>
      <c r="CM20" s="45">
        <f t="shared" si="37"/>
        <v>0.49993234202869957</v>
      </c>
      <c r="CN20" s="45">
        <f t="shared" si="37"/>
        <v>-0.34382905015373755</v>
      </c>
      <c r="CO20" s="45">
        <f t="shared" si="37"/>
        <v>-0.3016918820795691</v>
      </c>
      <c r="CP20" s="45">
        <f t="shared" si="37"/>
        <v>0.19634453971653901</v>
      </c>
      <c r="CU20" s="23">
        <v>19</v>
      </c>
      <c r="CV20" s="24">
        <f t="shared" si="6"/>
        <v>0.90154002357534391</v>
      </c>
      <c r="CW20" s="24">
        <f t="shared" si="7"/>
        <v>-2.4834941053029884</v>
      </c>
      <c r="CX20" s="24">
        <f t="shared" si="8"/>
        <v>0.27169386096973802</v>
      </c>
      <c r="CY20" s="24">
        <f t="shared" si="9"/>
        <v>-3.5985739959872864E-3</v>
      </c>
      <c r="CZ20" s="24">
        <f t="shared" si="10"/>
        <v>6.9754421403859512E-3</v>
      </c>
      <c r="DA20" s="24">
        <f t="shared" si="11"/>
        <v>2.5299973795176625</v>
      </c>
      <c r="DB20" s="24">
        <f t="shared" si="12"/>
        <v>2.8545331972296282</v>
      </c>
      <c r="DC20" s="24">
        <f t="shared" si="13"/>
        <v>-4.0361410864385459</v>
      </c>
      <c r="DF20" s="18">
        <v>19</v>
      </c>
      <c r="DG20" s="19">
        <f t="shared" si="36"/>
        <v>-0.34382905015373755</v>
      </c>
      <c r="DH20" s="19">
        <f t="shared" si="14"/>
        <v>7.8917102424128277E-2</v>
      </c>
      <c r="DI20" s="19">
        <f t="shared" si="15"/>
        <v>-0.3016918820795691</v>
      </c>
      <c r="DJ20" s="19">
        <f t="shared" si="16"/>
        <v>0.1194598714804545</v>
      </c>
      <c r="DK20" s="19">
        <f t="shared" si="17"/>
        <v>-0.31177434190831199</v>
      </c>
      <c r="DL20" s="19">
        <f t="shared" si="18"/>
        <v>0.11029780137470804</v>
      </c>
      <c r="DM20" s="19">
        <f t="shared" si="19"/>
        <v>-0.62782418292754438</v>
      </c>
      <c r="DN20" s="19">
        <f t="shared" si="20"/>
        <v>-0.20255360883770931</v>
      </c>
      <c r="DO20" s="19">
        <f t="shared" si="21"/>
        <v>-0.67224952655296999</v>
      </c>
      <c r="DP20" s="19">
        <f t="shared" si="22"/>
        <v>-0.24425643962023069</v>
      </c>
      <c r="DQ20" s="19">
        <f t="shared" si="23"/>
        <v>0.19634453971653901</v>
      </c>
      <c r="DR20" s="19">
        <f t="shared" si="24"/>
        <v>0.61720563535659867</v>
      </c>
      <c r="DS20" s="19">
        <f t="shared" si="25"/>
        <v>-0.42246966139739439</v>
      </c>
      <c r="DT20" s="19">
        <f t="shared" si="26"/>
        <v>0.42246966139739439</v>
      </c>
      <c r="DX20">
        <v>19</v>
      </c>
      <c r="DY20" s="9">
        <f t="shared" si="4"/>
        <v>6.890674283668174</v>
      </c>
      <c r="EM20" s="11">
        <v>19</v>
      </c>
      <c r="EN20" s="8">
        <f t="shared" si="27"/>
        <v>0.90154002357534391</v>
      </c>
      <c r="EO20" s="8">
        <f t="shared" si="5"/>
        <v>-2.4834941053029884</v>
      </c>
      <c r="EP20" s="8">
        <f t="shared" si="28"/>
        <v>0.27169386096973802</v>
      </c>
      <c r="EQ20" s="8">
        <f t="shared" si="29"/>
        <v>-3.5985739959872864E-3</v>
      </c>
      <c r="ER20" s="8">
        <f t="shared" si="30"/>
        <v>6.9754421403859512E-3</v>
      </c>
      <c r="ES20" s="8">
        <f t="shared" si="31"/>
        <v>2.5299973795176625</v>
      </c>
      <c r="ET20" s="8">
        <f t="shared" si="32"/>
        <v>2.8545331972296282</v>
      </c>
      <c r="EU20" s="8">
        <f t="shared" si="33"/>
        <v>-4.0361410864385459</v>
      </c>
      <c r="EW20" s="50"/>
      <c r="EX20" s="51"/>
      <c r="EY20" s="48"/>
      <c r="EZ20" s="48"/>
      <c r="FA20" s="48"/>
      <c r="FB20" s="48"/>
      <c r="FK20" s="10"/>
      <c r="FL20" s="10"/>
    </row>
    <row r="21" spans="1:168" ht="18.600000000000001" thickBot="1" x14ac:dyDescent="0.4">
      <c r="A21" s="12" t="s">
        <v>50</v>
      </c>
      <c r="B21" s="13">
        <v>19</v>
      </c>
      <c r="C21" s="30">
        <v>0.67301999999999995</v>
      </c>
      <c r="D21" s="31">
        <v>1.10154</v>
      </c>
      <c r="E21" s="32">
        <v>98.701999999999998</v>
      </c>
      <c r="F21" s="31">
        <v>0.58059000000000005</v>
      </c>
      <c r="G21" s="31">
        <v>0.91756000000000004</v>
      </c>
      <c r="H21" s="31">
        <v>1.1081700000000001</v>
      </c>
      <c r="I21" s="31">
        <v>1.5107900000000001</v>
      </c>
      <c r="J21" s="31">
        <v>0.85292999999999997</v>
      </c>
      <c r="K21" s="31">
        <v>0.95599999999999996</v>
      </c>
      <c r="L21" s="32">
        <v>162.512</v>
      </c>
      <c r="M21" s="31">
        <v>1.64652</v>
      </c>
      <c r="N21" s="31">
        <v>1.8137099999999999</v>
      </c>
      <c r="O21" s="31">
        <v>1.29921</v>
      </c>
      <c r="P21" s="31">
        <v>1.9303900000000001</v>
      </c>
      <c r="Q21" s="31">
        <v>2.1263999999999998</v>
      </c>
      <c r="R21" s="31">
        <v>1.7712600000000001</v>
      </c>
      <c r="S21" s="31">
        <v>1.12077</v>
      </c>
      <c r="T21" s="32">
        <v>190.53399999999999</v>
      </c>
      <c r="U21" s="32">
        <v>89.594999999999999</v>
      </c>
      <c r="V21" s="31">
        <v>0.52700999999999998</v>
      </c>
      <c r="W21" s="31">
        <v>0.61092000000000002</v>
      </c>
      <c r="X21" s="31">
        <v>0.83289000000000002</v>
      </c>
      <c r="Y21" s="32">
        <v>107.569</v>
      </c>
      <c r="Z21" s="31">
        <v>0.63275000000000003</v>
      </c>
      <c r="AA21" s="32">
        <v>169.99299999999999</v>
      </c>
      <c r="AB21" s="31">
        <v>1.3633999999999999</v>
      </c>
      <c r="AC21" s="31">
        <v>0.86267000000000005</v>
      </c>
      <c r="AD21" s="33">
        <v>146.65600000000001</v>
      </c>
      <c r="AH21" s="23">
        <v>20</v>
      </c>
      <c r="AI21" s="42">
        <f t="shared" si="40"/>
        <v>3.8646768535573896E-2</v>
      </c>
      <c r="AJ21" s="42">
        <f t="shared" si="40"/>
        <v>-1.63380895327369E-2</v>
      </c>
      <c r="AK21" s="42">
        <f t="shared" si="40"/>
        <v>0.11766376564623746</v>
      </c>
      <c r="AL21" s="42">
        <f t="shared" si="40"/>
        <v>4.3078195540559583E-2</v>
      </c>
      <c r="AM21" s="42">
        <f t="shared" si="40"/>
        <v>-1.7434511615736604E-2</v>
      </c>
      <c r="AN21" s="42">
        <f>IF(H21=0,0,(H21-H22)*100/H22)</f>
        <v>4.2430260900983348E-2</v>
      </c>
      <c r="AO21" s="42">
        <f t="shared" si="40"/>
        <v>-1.3236354972566197E-2</v>
      </c>
      <c r="AP21" s="42">
        <f t="shared" si="40"/>
        <v>3.0492453117844764E-2</v>
      </c>
      <c r="AQ21" s="42">
        <f t="shared" si="40"/>
        <v>4.918736198758495E-2</v>
      </c>
      <c r="AR21" s="42">
        <f t="shared" si="40"/>
        <v>0.11951847607781539</v>
      </c>
      <c r="AS21" s="42">
        <f t="shared" si="40"/>
        <v>3.0367999416863636E-3</v>
      </c>
      <c r="AT21" s="42">
        <f t="shared" si="40"/>
        <v>-1.3782001808203239E-2</v>
      </c>
      <c r="AU21" s="42">
        <f t="shared" si="40"/>
        <v>1.3856492921646845E-2</v>
      </c>
      <c r="AV21" s="42">
        <f t="shared" si="40"/>
        <v>-2.485926033342669E-2</v>
      </c>
      <c r="AW21" s="42">
        <f t="shared" si="40"/>
        <v>-4.1837267133303754E-2</v>
      </c>
      <c r="AX21" s="42">
        <f t="shared" si="40"/>
        <v>-4.1760722347627705E-2</v>
      </c>
      <c r="AY21" s="42">
        <f t="shared" si="39"/>
        <v>1.7848059469732187E-2</v>
      </c>
      <c r="AZ21" s="42">
        <f t="shared" si="39"/>
        <v>9.1931560892830361E-2</v>
      </c>
      <c r="BA21" s="42">
        <f t="shared" si="39"/>
        <v>0.12628238081401796</v>
      </c>
      <c r="BB21" s="42">
        <f t="shared" si="39"/>
        <v>5.1258685499485986E-2</v>
      </c>
      <c r="BC21" s="42">
        <f t="shared" si="39"/>
        <v>4.7491934559391526E-2</v>
      </c>
      <c r="BD21" s="42">
        <f t="shared" si="39"/>
        <v>-7.2033135242150171E-3</v>
      </c>
      <c r="BE21" s="42">
        <f t="shared" si="39"/>
        <v>0.13404700954154569</v>
      </c>
      <c r="BF21" s="42">
        <f t="shared" si="39"/>
        <v>6.0091402185436842E-2</v>
      </c>
      <c r="BG21" s="42">
        <f t="shared" si="39"/>
        <v>7.3586549556125938E-2</v>
      </c>
      <c r="BH21" s="42">
        <f t="shared" si="39"/>
        <v>-5.4246631577401366E-2</v>
      </c>
      <c r="BI21" s="42">
        <f t="shared" si="39"/>
        <v>0</v>
      </c>
      <c r="BJ21" s="42">
        <f t="shared" si="39"/>
        <v>7.915927391839353E-2</v>
      </c>
      <c r="BN21" s="26">
        <v>20</v>
      </c>
      <c r="BO21" s="46">
        <f t="shared" si="35"/>
        <v>0.60256490385708528</v>
      </c>
      <c r="BP21" s="46">
        <f t="shared" si="2"/>
        <v>-6.4350566527989053E-2</v>
      </c>
      <c r="BQ21" s="46">
        <f t="shared" si="38"/>
        <v>0.81045615234431001</v>
      </c>
      <c r="BR21" s="46">
        <f t="shared" si="38"/>
        <v>0.30036827979182462</v>
      </c>
      <c r="BS21" s="46">
        <f t="shared" si="38"/>
        <v>0.23909984979096593</v>
      </c>
      <c r="BT21" s="46">
        <f t="shared" si="38"/>
        <v>0.40442188894371145</v>
      </c>
      <c r="BU21" s="46">
        <f t="shared" si="38"/>
        <v>4.1850402220930352E-2</v>
      </c>
      <c r="BV21" s="46">
        <f t="shared" si="38"/>
        <v>7.8642214163566149E-2</v>
      </c>
      <c r="BW21" s="46">
        <f t="shared" si="38"/>
        <v>0.10795359532982116</v>
      </c>
      <c r="BX21" s="46">
        <f t="shared" si="38"/>
        <v>0.61166758278202815</v>
      </c>
      <c r="BY21" s="46">
        <f t="shared" si="38"/>
        <v>-0.19769487648097633</v>
      </c>
      <c r="BZ21" s="46">
        <f t="shared" si="38"/>
        <v>-0.2624511896078342</v>
      </c>
      <c r="CA21" s="46">
        <f t="shared" si="38"/>
        <v>0.32793801059928906</v>
      </c>
      <c r="CB21" s="46">
        <f t="shared" si="38"/>
        <v>-0.27358090660929135</v>
      </c>
      <c r="CC21" s="46">
        <f t="shared" si="38"/>
        <v>-0.33835201527426839</v>
      </c>
      <c r="CD21" s="46">
        <f t="shared" si="38"/>
        <v>-3.3783856892545601E-2</v>
      </c>
      <c r="CE21" s="46">
        <f t="shared" si="38"/>
        <v>2.6049108011998199E-2</v>
      </c>
      <c r="CF21" s="46">
        <f t="shared" si="38"/>
        <v>0.53580541000719795</v>
      </c>
      <c r="CG21" s="46">
        <f t="shared" si="38"/>
        <v>0.86738466472726872</v>
      </c>
      <c r="CH21" s="46">
        <f t="shared" si="38"/>
        <v>0.35569164101579276</v>
      </c>
      <c r="CI21" s="46">
        <f t="shared" si="38"/>
        <v>0.6591545222970987</v>
      </c>
      <c r="CJ21" s="46">
        <f t="shared" si="38"/>
        <v>0.29727430953414258</v>
      </c>
      <c r="CK21" s="46">
        <f t="shared" si="38"/>
        <v>0.57031720170050337</v>
      </c>
      <c r="CL21" s="46">
        <f t="shared" si="38"/>
        <v>6.2051376731202583E-2</v>
      </c>
      <c r="CM21" s="46">
        <f t="shared" si="37"/>
        <v>0.50463841816123522</v>
      </c>
      <c r="CN21" s="46">
        <f t="shared" si="37"/>
        <v>-0.3606986408827938</v>
      </c>
      <c r="CO21" s="46">
        <f t="shared" si="37"/>
        <v>-0.30053269026809248</v>
      </c>
      <c r="CP21" s="46">
        <f t="shared" si="37"/>
        <v>0.20861815961616856</v>
      </c>
      <c r="CU21" s="23">
        <v>20</v>
      </c>
      <c r="CV21" s="25">
        <f t="shared" si="6"/>
        <v>0.7843896173512469</v>
      </c>
      <c r="CW21" s="25">
        <f t="shared" si="7"/>
        <v>-2.4466924972319024</v>
      </c>
      <c r="CX21" s="25">
        <f t="shared" si="8"/>
        <v>0.44862651466100639</v>
      </c>
      <c r="CY21" s="25">
        <f t="shared" si="9"/>
        <v>1.5108484279890921E-2</v>
      </c>
      <c r="CZ21" s="25">
        <f t="shared" si="10"/>
        <v>0.16543353567881375</v>
      </c>
      <c r="DA21" s="25">
        <f t="shared" si="11"/>
        <v>2.3594144023464647</v>
      </c>
      <c r="DB21" s="25">
        <f t="shared" si="12"/>
        <v>2.8446589089843948</v>
      </c>
      <c r="DC21" s="25">
        <f t="shared" si="13"/>
        <v>-4.1088875893387122</v>
      </c>
      <c r="DF21" s="20">
        <v>20</v>
      </c>
      <c r="DG21" s="21">
        <f t="shared" si="36"/>
        <v>-0.3606986408827938</v>
      </c>
      <c r="DH21" s="21">
        <f t="shared" si="14"/>
        <v>4.1850402220930352E-2</v>
      </c>
      <c r="DI21" s="21">
        <f t="shared" si="15"/>
        <v>-0.30053269026809248</v>
      </c>
      <c r="DJ21" s="21">
        <f t="shared" si="16"/>
        <v>0.10795359532982116</v>
      </c>
      <c r="DK21" s="21">
        <f t="shared" si="17"/>
        <v>-0.32793801059928906</v>
      </c>
      <c r="DL21" s="21">
        <f t="shared" si="18"/>
        <v>7.8642214163566149E-2</v>
      </c>
      <c r="DM21" s="21">
        <f t="shared" si="19"/>
        <v>-0.60256490385708528</v>
      </c>
      <c r="DN21" s="21">
        <f t="shared" si="20"/>
        <v>-0.19769487648097633</v>
      </c>
      <c r="DO21" s="21">
        <f t="shared" si="21"/>
        <v>-0.6591545222970987</v>
      </c>
      <c r="DP21" s="21">
        <f t="shared" si="22"/>
        <v>-0.2624511896078342</v>
      </c>
      <c r="DQ21" s="21">
        <f t="shared" si="23"/>
        <v>0.20861815961616856</v>
      </c>
      <c r="DR21" s="21">
        <f t="shared" si="24"/>
        <v>0.61166758278202815</v>
      </c>
      <c r="DS21" s="21">
        <f>-(BT21)</f>
        <v>-0.40442188894371145</v>
      </c>
      <c r="DT21" s="21">
        <f t="shared" si="26"/>
        <v>0.40442188894371145</v>
      </c>
      <c r="DX21">
        <v>20</v>
      </c>
      <c r="DY21" s="9">
        <f t="shared" si="4"/>
        <v>6.9535464983231066</v>
      </c>
      <c r="EM21" s="11">
        <v>20</v>
      </c>
      <c r="EN21" s="8">
        <f t="shared" si="27"/>
        <v>0.7843896173512469</v>
      </c>
      <c r="EO21" s="8">
        <f t="shared" si="5"/>
        <v>-2.4466924972319024</v>
      </c>
      <c r="EP21" s="8">
        <f t="shared" si="28"/>
        <v>0.44862651466100639</v>
      </c>
      <c r="EQ21" s="8">
        <f t="shared" si="29"/>
        <v>1.5108484279890921E-2</v>
      </c>
      <c r="ER21" s="8">
        <f t="shared" si="30"/>
        <v>0.16543353567881375</v>
      </c>
      <c r="ES21" s="8">
        <f t="shared" si="31"/>
        <v>2.3594144023464647</v>
      </c>
      <c r="ET21" s="8">
        <f t="shared" si="32"/>
        <v>2.8446589089843948</v>
      </c>
      <c r="EU21" s="8">
        <f t="shared" si="33"/>
        <v>-4.1088875893387122</v>
      </c>
      <c r="EW21" s="47"/>
      <c r="EX21" s="48"/>
      <c r="EY21" s="48"/>
      <c r="EZ21" s="48"/>
      <c r="FA21" s="48"/>
      <c r="FB21" s="48"/>
      <c r="FK21" s="10"/>
      <c r="FL21" s="10"/>
    </row>
    <row r="22" spans="1:168" ht="18.600000000000001" thickBot="1" x14ac:dyDescent="0.35">
      <c r="A22" s="12" t="s">
        <v>50</v>
      </c>
      <c r="B22" s="13">
        <v>20</v>
      </c>
      <c r="C22" s="30">
        <v>0.67276000000000002</v>
      </c>
      <c r="D22" s="31">
        <v>1.10172</v>
      </c>
      <c r="E22" s="32">
        <v>98.585999999999999</v>
      </c>
      <c r="F22" s="31">
        <v>0.58033999999999997</v>
      </c>
      <c r="G22" s="31">
        <v>0.91771999999999998</v>
      </c>
      <c r="H22" s="31">
        <v>1.1076999999999999</v>
      </c>
      <c r="I22" s="31">
        <v>1.5109900000000001</v>
      </c>
      <c r="J22" s="31">
        <v>0.85267000000000004</v>
      </c>
      <c r="K22" s="31">
        <v>0.95552999999999999</v>
      </c>
      <c r="L22" s="32">
        <v>162.31800000000001</v>
      </c>
      <c r="M22" s="31">
        <v>1.6464700000000001</v>
      </c>
      <c r="N22" s="31">
        <v>1.81396</v>
      </c>
      <c r="O22" s="31">
        <v>1.2990299999999999</v>
      </c>
      <c r="P22" s="31">
        <v>1.9308700000000001</v>
      </c>
      <c r="Q22" s="31">
        <v>2.1272899999999999</v>
      </c>
      <c r="R22" s="31">
        <v>1.772</v>
      </c>
      <c r="S22" s="31">
        <v>1.1205700000000001</v>
      </c>
      <c r="T22" s="32">
        <v>190.35900000000001</v>
      </c>
      <c r="U22" s="32">
        <v>89.481999999999999</v>
      </c>
      <c r="V22" s="31">
        <v>0.52673999999999999</v>
      </c>
      <c r="W22" s="31">
        <v>0.61063000000000001</v>
      </c>
      <c r="X22" s="31">
        <v>0.83294999999999997</v>
      </c>
      <c r="Y22" s="32">
        <v>107.425</v>
      </c>
      <c r="Z22" s="31">
        <v>0.63236999999999999</v>
      </c>
      <c r="AA22" s="32">
        <v>169.86799999999999</v>
      </c>
      <c r="AB22" s="31">
        <v>1.3641399999999999</v>
      </c>
      <c r="AC22" s="31">
        <v>0.86267000000000005</v>
      </c>
      <c r="AD22" s="33">
        <v>146.54</v>
      </c>
      <c r="AH22" s="23">
        <v>21</v>
      </c>
      <c r="AI22" s="41">
        <f t="shared" si="40"/>
        <v>0.11309523809523554</v>
      </c>
      <c r="AJ22" s="41">
        <f t="shared" si="40"/>
        <v>-8.6154515856965944E-2</v>
      </c>
      <c r="AK22" s="41">
        <f t="shared" si="40"/>
        <v>0.13915834594561699</v>
      </c>
      <c r="AL22" s="41">
        <f t="shared" si="40"/>
        <v>6.5521760121376629E-2</v>
      </c>
      <c r="AM22" s="41">
        <f t="shared" si="40"/>
        <v>5.4512548788725163E-2</v>
      </c>
      <c r="AN22" s="41">
        <f t="shared" si="40"/>
        <v>2.9800337737155735E-2</v>
      </c>
      <c r="AO22" s="41">
        <f t="shared" si="40"/>
        <v>-2.9111503675327069E-2</v>
      </c>
      <c r="AP22" s="41">
        <f t="shared" si="40"/>
        <v>-3.7515093963585384E-2</v>
      </c>
      <c r="AQ22" s="41">
        <f t="shared" si="40"/>
        <v>-1.2556898446084758E-2</v>
      </c>
      <c r="AR22" s="41">
        <f t="shared" si="40"/>
        <v>5.7327785483136225E-2</v>
      </c>
      <c r="AS22" s="41">
        <f t="shared" si="40"/>
        <v>-8.2532785542186141E-2</v>
      </c>
      <c r="AT22" s="41">
        <f t="shared" si="40"/>
        <v>-0.16840761246436817</v>
      </c>
      <c r="AU22" s="41">
        <f t="shared" si="40"/>
        <v>6.5476282179668263E-2</v>
      </c>
      <c r="AV22" s="41">
        <f t="shared" si="40"/>
        <v>-4.7106813405251448E-2</v>
      </c>
      <c r="AW22" s="41">
        <f t="shared" si="40"/>
        <v>-0.13332519611478896</v>
      </c>
      <c r="AX22" s="41">
        <f t="shared" si="40"/>
        <v>6.77246766147369E-3</v>
      </c>
      <c r="AY22" s="41">
        <f t="shared" si="39"/>
        <v>1.8743975150848254E-2</v>
      </c>
      <c r="AZ22" s="41">
        <f t="shared" si="39"/>
        <v>9.2542445959952341E-2</v>
      </c>
      <c r="BA22" s="41">
        <f t="shared" si="39"/>
        <v>0.23299056836256737</v>
      </c>
      <c r="BB22" s="41">
        <f t="shared" si="39"/>
        <v>0.1578216805156771</v>
      </c>
      <c r="BC22" s="41">
        <f t="shared" si="39"/>
        <v>0.20512652203878914</v>
      </c>
      <c r="BD22" s="41">
        <f t="shared" si="39"/>
        <v>0.14668221658470884</v>
      </c>
      <c r="BE22" s="41">
        <f t="shared" si="39"/>
        <v>8.5714551908545142E-2</v>
      </c>
      <c r="BF22" s="41">
        <f t="shared" si="39"/>
        <v>1.2652422148060064E-2</v>
      </c>
      <c r="BG22" s="41">
        <f t="shared" si="39"/>
        <v>6.8924483508191539E-2</v>
      </c>
      <c r="BH22" s="41">
        <f t="shared" si="39"/>
        <v>-5.8610634899712362E-2</v>
      </c>
      <c r="BI22" s="41">
        <f t="shared" si="39"/>
        <v>-4.287170930663485E-2</v>
      </c>
      <c r="BJ22" s="41">
        <f t="shared" si="39"/>
        <v>2.7303754266206171E-2</v>
      </c>
      <c r="BN22" s="26">
        <v>21</v>
      </c>
      <c r="BO22" s="45">
        <f t="shared" si="35"/>
        <v>0.56391813532151136</v>
      </c>
      <c r="BP22" s="45">
        <f t="shared" si="2"/>
        <v>-4.8012476995252157E-2</v>
      </c>
      <c r="BQ22" s="45">
        <f t="shared" si="38"/>
        <v>0.69279238669807253</v>
      </c>
      <c r="BR22" s="45">
        <f t="shared" si="38"/>
        <v>0.25729008425126504</v>
      </c>
      <c r="BS22" s="45">
        <f t="shared" si="38"/>
        <v>0.2565343614067026</v>
      </c>
      <c r="BT22" s="45">
        <f t="shared" si="38"/>
        <v>0.36199162804272811</v>
      </c>
      <c r="BU22" s="45">
        <f t="shared" si="38"/>
        <v>5.5086757193496524E-2</v>
      </c>
      <c r="BV22" s="45">
        <f t="shared" si="38"/>
        <v>4.8149761045721377E-2</v>
      </c>
      <c r="BW22" s="45">
        <f t="shared" si="38"/>
        <v>5.876623334223622E-2</v>
      </c>
      <c r="BX22" s="45">
        <f t="shared" si="38"/>
        <v>0.49214910670421275</v>
      </c>
      <c r="BY22" s="45">
        <f t="shared" si="38"/>
        <v>-0.20073167642266271</v>
      </c>
      <c r="BZ22" s="45">
        <f t="shared" si="38"/>
        <v>-0.24866918779963096</v>
      </c>
      <c r="CA22" s="45">
        <f t="shared" si="38"/>
        <v>0.31408151767764225</v>
      </c>
      <c r="CB22" s="45">
        <f t="shared" si="38"/>
        <v>-0.24872164627586471</v>
      </c>
      <c r="CC22" s="45">
        <f t="shared" si="38"/>
        <v>-0.29651474814096457</v>
      </c>
      <c r="CD22" s="45">
        <f t="shared" si="38"/>
        <v>7.9768654550820932E-3</v>
      </c>
      <c r="CE22" s="45">
        <f t="shared" si="38"/>
        <v>8.2010485422660054E-3</v>
      </c>
      <c r="CF22" s="45">
        <f t="shared" si="38"/>
        <v>0.44387384911436745</v>
      </c>
      <c r="CG22" s="45">
        <f t="shared" si="38"/>
        <v>0.74110228391325073</v>
      </c>
      <c r="CH22" s="45">
        <f t="shared" si="38"/>
        <v>0.30443295551630672</v>
      </c>
      <c r="CI22" s="45">
        <f t="shared" si="38"/>
        <v>0.61166258773770721</v>
      </c>
      <c r="CJ22" s="45">
        <f t="shared" si="38"/>
        <v>0.30447762305835746</v>
      </c>
      <c r="CK22" s="45">
        <f t="shared" si="38"/>
        <v>0.43627019215895768</v>
      </c>
      <c r="CL22" s="45">
        <f t="shared" si="38"/>
        <v>1.9599745457657448E-3</v>
      </c>
      <c r="CM22" s="45">
        <f t="shared" si="37"/>
        <v>0.43105186860510919</v>
      </c>
      <c r="CN22" s="45">
        <f t="shared" si="37"/>
        <v>-0.3064520093053924</v>
      </c>
      <c r="CO22" s="45">
        <f t="shared" si="37"/>
        <v>-0.30053269026809248</v>
      </c>
      <c r="CP22" s="45">
        <f t="shared" si="37"/>
        <v>0.12945888569777503</v>
      </c>
      <c r="CU22" s="23">
        <v>21</v>
      </c>
      <c r="CV22" s="24">
        <f t="shared" si="6"/>
        <v>0.56674262210610116</v>
      </c>
      <c r="CW22" s="24">
        <f t="shared" si="7"/>
        <v>-2.3291796826552988</v>
      </c>
      <c r="CX22" s="24">
        <f t="shared" si="8"/>
        <v>0.1206065688964772</v>
      </c>
      <c r="CY22" s="24">
        <f t="shared" si="9"/>
        <v>0.10289423722112773</v>
      </c>
      <c r="CZ22" s="24">
        <f t="shared" si="10"/>
        <v>0.18074712532680712</v>
      </c>
      <c r="DA22" s="24">
        <f t="shared" si="11"/>
        <v>2.1719758133808269</v>
      </c>
      <c r="DB22" s="24">
        <f t="shared" si="12"/>
        <v>2.5548718631614697</v>
      </c>
      <c r="DC22" s="24">
        <f t="shared" si="13"/>
        <v>-3.3666985728917456</v>
      </c>
      <c r="DF22" s="18">
        <v>21</v>
      </c>
      <c r="DG22" s="19">
        <f t="shared" si="36"/>
        <v>-0.3064520093053924</v>
      </c>
      <c r="DH22" s="19">
        <f t="shared" si="14"/>
        <v>5.5086757193496524E-2</v>
      </c>
      <c r="DI22" s="19">
        <f t="shared" si="15"/>
        <v>-0.30053269026809248</v>
      </c>
      <c r="DJ22" s="19">
        <f t="shared" si="16"/>
        <v>5.876623334223622E-2</v>
      </c>
      <c r="DK22" s="19">
        <f t="shared" si="17"/>
        <v>-0.31408151767764225</v>
      </c>
      <c r="DL22" s="19">
        <f t="shared" si="18"/>
        <v>4.8149761045721377E-2</v>
      </c>
      <c r="DM22" s="19">
        <f t="shared" si="19"/>
        <v>-0.56391813532151136</v>
      </c>
      <c r="DN22" s="19">
        <f t="shared" si="20"/>
        <v>-0.20073167642266271</v>
      </c>
      <c r="DO22" s="19">
        <f t="shared" si="21"/>
        <v>-0.61166258773770721</v>
      </c>
      <c r="DP22" s="19">
        <f t="shared" si="22"/>
        <v>-0.24866918779963096</v>
      </c>
      <c r="DQ22" s="19">
        <f t="shared" si="23"/>
        <v>0.12945888569777503</v>
      </c>
      <c r="DR22" s="19">
        <f t="shared" si="24"/>
        <v>0.49214910670421275</v>
      </c>
      <c r="DS22" s="19">
        <f t="shared" si="25"/>
        <v>-0.36199162804272811</v>
      </c>
      <c r="DT22" s="19">
        <f t="shared" si="26"/>
        <v>0.36199162804272811</v>
      </c>
      <c r="DX22">
        <v>21</v>
      </c>
      <c r="DY22" s="9">
        <f t="shared" si="4"/>
        <v>5.9215704360532158</v>
      </c>
      <c r="EM22" s="7">
        <v>21</v>
      </c>
      <c r="EN22" s="8">
        <f t="shared" si="27"/>
        <v>0.56674262210610116</v>
      </c>
      <c r="EO22" s="8">
        <f t="shared" si="5"/>
        <v>-2.3291796826552988</v>
      </c>
      <c r="EP22" s="8">
        <f t="shared" si="28"/>
        <v>0.1206065688964772</v>
      </c>
      <c r="EQ22" s="8">
        <f t="shared" si="29"/>
        <v>0.10289423722112773</v>
      </c>
      <c r="ER22" s="8">
        <f t="shared" si="30"/>
        <v>0.18074712532680712</v>
      </c>
      <c r="ES22" s="8">
        <f t="shared" si="31"/>
        <v>2.1719758133808269</v>
      </c>
      <c r="ET22" s="8">
        <f t="shared" si="32"/>
        <v>2.5548718631614697</v>
      </c>
      <c r="EU22" s="8">
        <f t="shared" si="33"/>
        <v>-3.3666985728917456</v>
      </c>
      <c r="EW22" s="49"/>
      <c r="EX22" s="48"/>
      <c r="EY22" s="48"/>
      <c r="EZ22" s="48"/>
      <c r="FA22" s="48"/>
      <c r="FB22" s="48"/>
      <c r="FK22" s="10"/>
      <c r="FL22" s="10"/>
    </row>
    <row r="23" spans="1:168" ht="18.600000000000001" thickBot="1" x14ac:dyDescent="0.4">
      <c r="A23" s="12" t="s">
        <v>50</v>
      </c>
      <c r="B23" s="13">
        <v>21</v>
      </c>
      <c r="C23" s="30">
        <v>0.67200000000000004</v>
      </c>
      <c r="D23" s="31">
        <v>1.10267</v>
      </c>
      <c r="E23" s="32">
        <v>98.448999999999998</v>
      </c>
      <c r="F23" s="31">
        <v>0.57996000000000003</v>
      </c>
      <c r="G23" s="31">
        <v>0.91722000000000004</v>
      </c>
      <c r="H23" s="31">
        <v>1.10737</v>
      </c>
      <c r="I23" s="31">
        <v>1.5114300000000001</v>
      </c>
      <c r="J23" s="31">
        <v>0.85299000000000003</v>
      </c>
      <c r="K23" s="31">
        <v>0.95565</v>
      </c>
      <c r="L23" s="32">
        <v>162.22499999999999</v>
      </c>
      <c r="M23" s="31">
        <v>1.6478299999999999</v>
      </c>
      <c r="N23" s="31">
        <v>1.8170200000000001</v>
      </c>
      <c r="O23" s="31">
        <v>1.2981799999999999</v>
      </c>
      <c r="P23" s="31">
        <v>1.9317800000000001</v>
      </c>
      <c r="Q23" s="31">
        <v>2.1301299999999999</v>
      </c>
      <c r="R23" s="31">
        <v>1.7718799999999999</v>
      </c>
      <c r="S23" s="31">
        <v>1.12036</v>
      </c>
      <c r="T23" s="32">
        <v>190.18299999999999</v>
      </c>
      <c r="U23" s="32">
        <v>89.274000000000001</v>
      </c>
      <c r="V23" s="31">
        <v>0.52590999999999999</v>
      </c>
      <c r="W23" s="31">
        <v>0.60938000000000003</v>
      </c>
      <c r="X23" s="31">
        <v>0.83172999999999997</v>
      </c>
      <c r="Y23" s="32">
        <v>107.333</v>
      </c>
      <c r="Z23" s="31">
        <v>0.63229000000000002</v>
      </c>
      <c r="AA23" s="32">
        <v>169.751</v>
      </c>
      <c r="AB23" s="31">
        <v>1.36494</v>
      </c>
      <c r="AC23" s="31">
        <v>0.86304000000000003</v>
      </c>
      <c r="AD23" s="33">
        <v>146.5</v>
      </c>
      <c r="AH23" s="23">
        <v>22</v>
      </c>
      <c r="AI23" s="42">
        <f t="shared" si="40"/>
        <v>8.4893436396954333E-2</v>
      </c>
      <c r="AJ23" s="42">
        <f t="shared" si="40"/>
        <v>6.897115009393634E-2</v>
      </c>
      <c r="AK23" s="42">
        <f t="shared" si="40"/>
        <v>0.13833368933914708</v>
      </c>
      <c r="AL23" s="42">
        <f t="shared" si="40"/>
        <v>9.6651708664136166E-2</v>
      </c>
      <c r="AM23" s="42">
        <f t="shared" si="40"/>
        <v>1.3084723585215242E-2</v>
      </c>
      <c r="AN23" s="42">
        <f t="shared" si="40"/>
        <v>3.9749577660736987E-2</v>
      </c>
      <c r="AO23" s="42">
        <f t="shared" si="40"/>
        <v>-3.1747921503266462E-2</v>
      </c>
      <c r="AP23" s="42">
        <f t="shared" si="40"/>
        <v>2.5798280896372757E-2</v>
      </c>
      <c r="AQ23" s="42">
        <f t="shared" si="40"/>
        <v>4.606316935542927E-2</v>
      </c>
      <c r="AR23" s="42">
        <f t="shared" si="40"/>
        <v>9.1314622062350692E-2</v>
      </c>
      <c r="AS23" s="42">
        <f t="shared" si="40"/>
        <v>-4.6100000606584653E-2</v>
      </c>
      <c r="AT23" s="42">
        <f t="shared" si="40"/>
        <v>2.2018914247348264E-2</v>
      </c>
      <c r="AU23" s="42">
        <f t="shared" si="40"/>
        <v>1.2326466464302396E-2</v>
      </c>
      <c r="AV23" s="42">
        <f t="shared" si="40"/>
        <v>-7.3453341609764994E-2</v>
      </c>
      <c r="AW23" s="42">
        <f t="shared" si="40"/>
        <v>-4.6943287814090982E-3</v>
      </c>
      <c r="AX23" s="42">
        <f t="shared" si="40"/>
        <v>-5.9223996435279196E-2</v>
      </c>
      <c r="AY23" s="42">
        <f t="shared" si="39"/>
        <v>2.1426275756170586E-2</v>
      </c>
      <c r="AZ23" s="42">
        <f t="shared" si="39"/>
        <v>6.4189917973695637E-2</v>
      </c>
      <c r="BA23" s="42">
        <f t="shared" si="39"/>
        <v>6.949737703447699E-2</v>
      </c>
      <c r="BB23" s="42">
        <f t="shared" si="39"/>
        <v>2.6627612834514904E-2</v>
      </c>
      <c r="BC23" s="42">
        <f t="shared" si="39"/>
        <v>1.641281512604861E-2</v>
      </c>
      <c r="BD23" s="42">
        <f t="shared" si="39"/>
        <v>-5.40748395779833E-2</v>
      </c>
      <c r="BE23" s="42">
        <f t="shared" si="39"/>
        <v>0.12406716417910034</v>
      </c>
      <c r="BF23" s="42">
        <f t="shared" si="39"/>
        <v>8.2308435031730673E-2</v>
      </c>
      <c r="BG23" s="42">
        <f t="shared" si="39"/>
        <v>4.4791513186971207E-2</v>
      </c>
      <c r="BH23" s="42">
        <f t="shared" si="39"/>
        <v>-7.3209657818051305E-2</v>
      </c>
      <c r="BI23" s="42">
        <f t="shared" si="39"/>
        <v>9.2704180958653945E-3</v>
      </c>
      <c r="BJ23" s="42">
        <f t="shared" si="39"/>
        <v>5.1904059443802518E-2</v>
      </c>
      <c r="BN23" s="26">
        <v>22</v>
      </c>
      <c r="BO23" s="46">
        <f t="shared" si="35"/>
        <v>0.45082289722627589</v>
      </c>
      <c r="BP23" s="46">
        <f t="shared" si="2"/>
        <v>3.8142038861713787E-2</v>
      </c>
      <c r="BQ23" s="46">
        <f t="shared" si="38"/>
        <v>0.55363404075245559</v>
      </c>
      <c r="BR23" s="46">
        <f t="shared" si="38"/>
        <v>0.1917683241298884</v>
      </c>
      <c r="BS23" s="46">
        <f t="shared" si="38"/>
        <v>0.20202181261797741</v>
      </c>
      <c r="BT23" s="46">
        <f t="shared" si="38"/>
        <v>0.33219129030557243</v>
      </c>
      <c r="BU23" s="46">
        <f t="shared" si="38"/>
        <v>8.4198260868823621E-2</v>
      </c>
      <c r="BV23" s="46">
        <f t="shared" si="38"/>
        <v>8.5664855009306762E-2</v>
      </c>
      <c r="BW23" s="46">
        <f t="shared" si="38"/>
        <v>7.1323131788320976E-2</v>
      </c>
      <c r="BX23" s="46">
        <f t="shared" si="38"/>
        <v>0.43482132122107658</v>
      </c>
      <c r="BY23" s="46">
        <f t="shared" si="38"/>
        <v>-0.11819889088047658</v>
      </c>
      <c r="BZ23" s="46">
        <f t="shared" si="38"/>
        <v>-8.0261575335262778E-2</v>
      </c>
      <c r="CA23" s="46">
        <f t="shared" si="38"/>
        <v>0.24860523549797398</v>
      </c>
      <c r="CB23" s="46">
        <f t="shared" si="38"/>
        <v>-0.20161483287061327</v>
      </c>
      <c r="CC23" s="46">
        <f t="shared" si="38"/>
        <v>-0.16318955202617566</v>
      </c>
      <c r="CD23" s="46">
        <f t="shared" ref="CD23:CP28" si="41">AX23+SUM(AX24:AX58)</f>
        <v>1.2043977936083972E-3</v>
      </c>
      <c r="CE23" s="46">
        <f t="shared" si="41"/>
        <v>-1.0542926608582241E-2</v>
      </c>
      <c r="CF23" s="46">
        <f t="shared" si="41"/>
        <v>0.35133140315441513</v>
      </c>
      <c r="CG23" s="46">
        <f t="shared" si="41"/>
        <v>0.50811171555068335</v>
      </c>
      <c r="CH23" s="46">
        <f t="shared" si="41"/>
        <v>0.14661127500062962</v>
      </c>
      <c r="CI23" s="46">
        <f t="shared" si="41"/>
        <v>0.40653606569891798</v>
      </c>
      <c r="CJ23" s="46">
        <f t="shared" si="41"/>
        <v>0.15779540647364865</v>
      </c>
      <c r="CK23" s="46">
        <f t="shared" si="41"/>
        <v>0.35055564025041253</v>
      </c>
      <c r="CL23" s="46">
        <f t="shared" si="41"/>
        <v>-1.0692447602294305E-2</v>
      </c>
      <c r="CM23" s="46">
        <f t="shared" si="37"/>
        <v>0.36212738509691766</v>
      </c>
      <c r="CN23" s="46">
        <f t="shared" si="37"/>
        <v>-0.24784137440568002</v>
      </c>
      <c r="CO23" s="46">
        <f t="shared" si="37"/>
        <v>-0.25766098096145762</v>
      </c>
      <c r="CP23" s="46">
        <f t="shared" si="37"/>
        <v>0.10215513143156887</v>
      </c>
      <c r="CU23" s="23">
        <v>22</v>
      </c>
      <c r="CV23" s="25">
        <f t="shared" si="6"/>
        <v>0.80973839297736105</v>
      </c>
      <c r="CW23" s="25">
        <f t="shared" si="7"/>
        <v>-1.8415027126643091</v>
      </c>
      <c r="CX23" s="25">
        <f t="shared" si="8"/>
        <v>0.14248468929974017</v>
      </c>
      <c r="CY23" s="25">
        <f t="shared" si="9"/>
        <v>0.22062856174811854</v>
      </c>
      <c r="CZ23" s="25">
        <f t="shared" si="10"/>
        <v>0.14012886993131957</v>
      </c>
      <c r="DA23" s="25">
        <f t="shared" si="11"/>
        <v>1.756202837339401</v>
      </c>
      <c r="DB23" s="25">
        <f t="shared" si="12"/>
        <v>1.4243635512236041</v>
      </c>
      <c r="DC23" s="25">
        <f t="shared" si="13"/>
        <v>-2.6627366374575296</v>
      </c>
      <c r="DF23" s="20">
        <v>22</v>
      </c>
      <c r="DG23" s="21">
        <f t="shared" si="36"/>
        <v>-0.24784137440568002</v>
      </c>
      <c r="DH23" s="21">
        <f t="shared" si="14"/>
        <v>8.4198260868823621E-2</v>
      </c>
      <c r="DI23" s="21">
        <f t="shared" si="15"/>
        <v>-0.25766098096145762</v>
      </c>
      <c r="DJ23" s="21">
        <f t="shared" si="16"/>
        <v>7.1323131788320976E-2</v>
      </c>
      <c r="DK23" s="21">
        <f t="shared" si="17"/>
        <v>-0.24860523549797398</v>
      </c>
      <c r="DL23" s="21">
        <f t="shared" si="18"/>
        <v>8.5664855009306762E-2</v>
      </c>
      <c r="DM23" s="21">
        <f t="shared" si="19"/>
        <v>-0.45082289722627589</v>
      </c>
      <c r="DN23" s="21">
        <f t="shared" si="20"/>
        <v>-0.11819889088047658</v>
      </c>
      <c r="DO23" s="21">
        <f t="shared" si="21"/>
        <v>-0.40653606569891798</v>
      </c>
      <c r="DP23" s="21">
        <f t="shared" si="22"/>
        <v>-8.0261575335262778E-2</v>
      </c>
      <c r="DQ23" s="21">
        <f t="shared" si="23"/>
        <v>0.10215513143156887</v>
      </c>
      <c r="DR23" s="21">
        <f t="shared" si="24"/>
        <v>0.43482132122107658</v>
      </c>
      <c r="DS23" s="21">
        <f t="shared" si="25"/>
        <v>-0.33219129030557243</v>
      </c>
      <c r="DT23" s="21">
        <f t="shared" si="26"/>
        <v>0.33219129030557243</v>
      </c>
      <c r="DX23">
        <v>22</v>
      </c>
      <c r="DY23" s="9">
        <f t="shared" si="4"/>
        <v>4.0871001886811342</v>
      </c>
      <c r="EM23" s="11">
        <v>22</v>
      </c>
      <c r="EN23" s="8">
        <f t="shared" si="27"/>
        <v>0.80973839297736105</v>
      </c>
      <c r="EO23" s="8">
        <f t="shared" si="5"/>
        <v>-1.8415027126643091</v>
      </c>
      <c r="EP23" s="8">
        <f t="shared" si="28"/>
        <v>0.14248468929974017</v>
      </c>
      <c r="EQ23" s="8">
        <f t="shared" si="29"/>
        <v>0.22062856174811854</v>
      </c>
      <c r="ER23" s="8">
        <f t="shared" si="30"/>
        <v>0.14012886993131957</v>
      </c>
      <c r="ES23" s="8">
        <f t="shared" si="31"/>
        <v>1.756202837339401</v>
      </c>
      <c r="ET23" s="8">
        <f t="shared" si="32"/>
        <v>1.4243635512236041</v>
      </c>
      <c r="EU23" s="8">
        <f t="shared" si="33"/>
        <v>-2.6627366374575296</v>
      </c>
      <c r="EW23" s="50"/>
      <c r="EX23" s="51"/>
      <c r="EY23" s="48"/>
      <c r="EZ23" s="48"/>
      <c r="FA23" s="48"/>
      <c r="FB23" s="48"/>
      <c r="FK23" s="10"/>
      <c r="FL23" s="10"/>
    </row>
    <row r="24" spans="1:168" ht="18.600000000000001" thickBot="1" x14ac:dyDescent="0.4">
      <c r="A24" s="12" t="s">
        <v>50</v>
      </c>
      <c r="B24" s="13">
        <v>22</v>
      </c>
      <c r="C24" s="30">
        <v>0.67142999999999997</v>
      </c>
      <c r="D24" s="31">
        <v>1.1019099999999999</v>
      </c>
      <c r="E24" s="32">
        <v>98.313000000000002</v>
      </c>
      <c r="F24" s="31">
        <v>0.57940000000000003</v>
      </c>
      <c r="G24" s="31">
        <v>0.91710000000000003</v>
      </c>
      <c r="H24" s="31">
        <v>1.10693</v>
      </c>
      <c r="I24" s="31">
        <v>1.5119100000000001</v>
      </c>
      <c r="J24" s="31">
        <v>0.85277000000000003</v>
      </c>
      <c r="K24" s="31">
        <v>0.95521</v>
      </c>
      <c r="L24" s="32">
        <v>162.077</v>
      </c>
      <c r="M24" s="31">
        <v>1.64859</v>
      </c>
      <c r="N24" s="31">
        <v>1.8166199999999999</v>
      </c>
      <c r="O24" s="31">
        <v>1.29802</v>
      </c>
      <c r="P24" s="31">
        <v>1.9332</v>
      </c>
      <c r="Q24" s="31">
        <v>2.1302300000000001</v>
      </c>
      <c r="R24" s="31">
        <v>1.7729299999999999</v>
      </c>
      <c r="S24" s="31">
        <v>1.12012</v>
      </c>
      <c r="T24" s="32">
        <v>190.06100000000001</v>
      </c>
      <c r="U24" s="32">
        <v>89.212000000000003</v>
      </c>
      <c r="V24" s="31">
        <v>0.52576999999999996</v>
      </c>
      <c r="W24" s="31">
        <v>0.60928000000000004</v>
      </c>
      <c r="X24" s="31">
        <v>0.83218000000000003</v>
      </c>
      <c r="Y24" s="32">
        <v>107.2</v>
      </c>
      <c r="Z24" s="31">
        <v>0.63177000000000005</v>
      </c>
      <c r="AA24" s="32">
        <v>169.67500000000001</v>
      </c>
      <c r="AB24" s="31">
        <v>1.3659399999999999</v>
      </c>
      <c r="AC24" s="31">
        <v>0.86295999999999995</v>
      </c>
      <c r="AD24" s="33">
        <v>146.42400000000001</v>
      </c>
      <c r="AH24" s="23">
        <v>23</v>
      </c>
      <c r="AI24" s="41">
        <f t="shared" si="40"/>
        <v>-2.6801268593390357E-2</v>
      </c>
      <c r="AJ24" s="41">
        <f t="shared" si="40"/>
        <v>-3.6287432754847186E-2</v>
      </c>
      <c r="AK24" s="41">
        <f t="shared" si="40"/>
        <v>1.3224821973555676E-2</v>
      </c>
      <c r="AL24" s="41">
        <f t="shared" si="40"/>
        <v>-8.2775746706202136E-2</v>
      </c>
      <c r="AM24" s="41">
        <f t="shared" si="40"/>
        <v>7.966214520335764E-2</v>
      </c>
      <c r="AN24" s="41">
        <f t="shared" si="40"/>
        <v>3.2532962216571558E-2</v>
      </c>
      <c r="AO24" s="41">
        <f t="shared" si="40"/>
        <v>0.138427097269883</v>
      </c>
      <c r="AP24" s="41">
        <f t="shared" si="40"/>
        <v>8.2152874763814471E-2</v>
      </c>
      <c r="AQ24" s="41">
        <f t="shared" si="40"/>
        <v>-2.0933421253700294E-2</v>
      </c>
      <c r="AR24" s="41">
        <f t="shared" si="40"/>
        <v>6.9768590550986359E-2</v>
      </c>
      <c r="AS24" s="41">
        <f t="shared" si="40"/>
        <v>5.8872798339417783E-2</v>
      </c>
      <c r="AT24" s="41">
        <f t="shared" si="40"/>
        <v>2.2023763640966181E-2</v>
      </c>
      <c r="AU24" s="41">
        <f t="shared" si="40"/>
        <v>-5.0051206234073276E-2</v>
      </c>
      <c r="AV24" s="41">
        <f t="shared" si="40"/>
        <v>-2.3789083913402818E-2</v>
      </c>
      <c r="AW24" s="41">
        <f t="shared" si="40"/>
        <v>-6.0051325116933431E-2</v>
      </c>
      <c r="AX24" s="41">
        <f t="shared" si="40"/>
        <v>5.5870966285530226E-2</v>
      </c>
      <c r="AY24" s="41">
        <f t="shared" si="39"/>
        <v>-0.10523499509497537</v>
      </c>
      <c r="AZ24" s="41">
        <f t="shared" si="39"/>
        <v>-8.9436967981543925E-3</v>
      </c>
      <c r="BA24" s="41">
        <f t="shared" si="39"/>
        <v>4.3735211330785638E-2</v>
      </c>
      <c r="BB24" s="41">
        <f t="shared" si="39"/>
        <v>-5.1326895293132176E-2</v>
      </c>
      <c r="BC24" s="41">
        <f t="shared" si="39"/>
        <v>4.9240869922175653E-3</v>
      </c>
      <c r="BD24" s="41">
        <f t="shared" si="39"/>
        <v>0.10826676931960494</v>
      </c>
      <c r="BE24" s="41">
        <f t="shared" si="39"/>
        <v>-6.5255896336341171E-2</v>
      </c>
      <c r="BF24" s="41">
        <f t="shared" si="39"/>
        <v>-0.16276864728191773</v>
      </c>
      <c r="BG24" s="41">
        <f t="shared" si="39"/>
        <v>9.3205991139540853E-2</v>
      </c>
      <c r="BH24" s="41">
        <f t="shared" si="39"/>
        <v>0.1070004690431532</v>
      </c>
      <c r="BI24" s="41">
        <f t="shared" si="39"/>
        <v>-5.3276505061269831E-2</v>
      </c>
      <c r="BJ24" s="41">
        <f t="shared" si="39"/>
        <v>4.0310183445494141E-2</v>
      </c>
      <c r="BN24" s="26">
        <v>23</v>
      </c>
      <c r="BO24" s="45">
        <f t="shared" si="35"/>
        <v>0.36592946082932143</v>
      </c>
      <c r="BP24" s="45">
        <f t="shared" si="2"/>
        <v>-3.0829111232222553E-2</v>
      </c>
      <c r="BQ24" s="45">
        <f t="shared" ref="BQ24:CC28" si="42">AK24+SUM(AK25:AK59)</f>
        <v>0.41530035141330846</v>
      </c>
      <c r="BR24" s="45">
        <f t="shared" si="42"/>
        <v>9.5116615465752202E-2</v>
      </c>
      <c r="BS24" s="45">
        <f t="shared" si="42"/>
        <v>0.18893708903276218</v>
      </c>
      <c r="BT24" s="45">
        <f t="shared" si="42"/>
        <v>0.29244171264483543</v>
      </c>
      <c r="BU24" s="45">
        <f t="shared" si="42"/>
        <v>0.11594618237209009</v>
      </c>
      <c r="BV24" s="45">
        <f t="shared" si="42"/>
        <v>5.9866574112934015E-2</v>
      </c>
      <c r="BW24" s="45">
        <f t="shared" si="42"/>
        <v>2.5259962432891716E-2</v>
      </c>
      <c r="BX24" s="45">
        <f t="shared" si="42"/>
        <v>0.343506699158726</v>
      </c>
      <c r="BY24" s="45">
        <f t="shared" si="42"/>
        <v>-7.2098890273891936E-2</v>
      </c>
      <c r="BZ24" s="45">
        <f t="shared" si="42"/>
        <v>-0.10228048958261106</v>
      </c>
      <c r="CA24" s="45">
        <f t="shared" si="42"/>
        <v>0.23627876903367157</v>
      </c>
      <c r="CB24" s="45">
        <f t="shared" si="42"/>
        <v>-0.12816149126084828</v>
      </c>
      <c r="CC24" s="45">
        <f t="shared" si="42"/>
        <v>-0.15849522324476656</v>
      </c>
      <c r="CD24" s="45">
        <f t="shared" si="41"/>
        <v>6.04283942288876E-2</v>
      </c>
      <c r="CE24" s="45">
        <f t="shared" si="41"/>
        <v>-3.1969202364752813E-2</v>
      </c>
      <c r="CF24" s="45">
        <f t="shared" si="41"/>
        <v>0.28714148518071958</v>
      </c>
      <c r="CG24" s="45">
        <f t="shared" si="41"/>
        <v>0.43861433851620635</v>
      </c>
      <c r="CH24" s="45">
        <f t="shared" si="41"/>
        <v>0.11998366216611472</v>
      </c>
      <c r="CI24" s="45">
        <f t="shared" si="41"/>
        <v>0.39012325057286945</v>
      </c>
      <c r="CJ24" s="45">
        <f t="shared" si="41"/>
        <v>0.21187024605163196</v>
      </c>
      <c r="CK24" s="45">
        <f t="shared" si="41"/>
        <v>0.22648847607131223</v>
      </c>
      <c r="CL24" s="45">
        <f t="shared" si="41"/>
        <v>-9.3000882634024978E-2</v>
      </c>
      <c r="CM24" s="45">
        <f t="shared" si="37"/>
        <v>0.31733587190994644</v>
      </c>
      <c r="CN24" s="45">
        <f t="shared" si="37"/>
        <v>-0.17463171658762872</v>
      </c>
      <c r="CO24" s="45">
        <f t="shared" si="37"/>
        <v>-0.26693139905732305</v>
      </c>
      <c r="CP24" s="45">
        <f t="shared" si="37"/>
        <v>5.0251071987766349E-2</v>
      </c>
      <c r="CU24" s="23">
        <v>23</v>
      </c>
      <c r="CV24" s="24">
        <f t="shared" si="6"/>
        <v>0.66264175086497423</v>
      </c>
      <c r="CW24" s="24">
        <f t="shared" si="7"/>
        <v>-1.6760852367378831</v>
      </c>
      <c r="CX24" s="24">
        <f t="shared" si="8"/>
        <v>-0.26906260166045581</v>
      </c>
      <c r="CY24" s="24">
        <f t="shared" si="9"/>
        <v>0.37587623326726372</v>
      </c>
      <c r="CZ24" s="24">
        <f t="shared" si="10"/>
        <v>0.2053561574599771</v>
      </c>
      <c r="DA24" s="24">
        <f t="shared" si="11"/>
        <v>1.2347147870436619</v>
      </c>
      <c r="DB24" s="24">
        <f t="shared" si="12"/>
        <v>1.4521963213664226</v>
      </c>
      <c r="DC24" s="24">
        <f t="shared" si="13"/>
        <v>-2.0786382942379853</v>
      </c>
      <c r="DF24" s="18">
        <v>23</v>
      </c>
      <c r="DG24" s="19">
        <f t="shared" si="36"/>
        <v>-0.17463171658762872</v>
      </c>
      <c r="DH24" s="19">
        <f t="shared" si="14"/>
        <v>0.11594618237209009</v>
      </c>
      <c r="DI24" s="19">
        <f t="shared" si="15"/>
        <v>-0.26693139905732305</v>
      </c>
      <c r="DJ24" s="19">
        <f t="shared" si="16"/>
        <v>2.5259962432891716E-2</v>
      </c>
      <c r="DK24" s="19">
        <f t="shared" si="17"/>
        <v>-0.23627876903367157</v>
      </c>
      <c r="DL24" s="19">
        <f t="shared" si="18"/>
        <v>5.9866574112934015E-2</v>
      </c>
      <c r="DM24" s="19">
        <f t="shared" si="19"/>
        <v>-0.36592946082932143</v>
      </c>
      <c r="DN24" s="19">
        <f t="shared" si="20"/>
        <v>-7.2098890273891936E-2</v>
      </c>
      <c r="DO24" s="19">
        <f t="shared" si="21"/>
        <v>-0.39012325057286945</v>
      </c>
      <c r="DP24" s="19">
        <f t="shared" si="22"/>
        <v>-0.10228048958261106</v>
      </c>
      <c r="DQ24" s="19">
        <f t="shared" si="23"/>
        <v>5.0251071987766349E-2</v>
      </c>
      <c r="DR24" s="19">
        <f t="shared" si="24"/>
        <v>0.343506699158726</v>
      </c>
      <c r="DS24" s="19">
        <f t="shared" si="25"/>
        <v>-0.29244171264483543</v>
      </c>
      <c r="DT24" s="19">
        <f t="shared" si="26"/>
        <v>0.29244171264483543</v>
      </c>
      <c r="DX24">
        <v>23</v>
      </c>
      <c r="DY24" s="9">
        <f t="shared" si="4"/>
        <v>3.5308346156044079</v>
      </c>
      <c r="EM24" s="11">
        <v>23</v>
      </c>
      <c r="EN24" s="8">
        <f t="shared" si="27"/>
        <v>0.66264175086497423</v>
      </c>
      <c r="EO24" s="8">
        <f t="shared" si="5"/>
        <v>-1.6760852367378831</v>
      </c>
      <c r="EP24" s="8">
        <f t="shared" si="28"/>
        <v>-0.26906260166045581</v>
      </c>
      <c r="EQ24" s="8">
        <f t="shared" si="29"/>
        <v>0.37587623326726372</v>
      </c>
      <c r="ER24" s="8">
        <f t="shared" si="30"/>
        <v>0.2053561574599771</v>
      </c>
      <c r="ES24" s="8">
        <f t="shared" si="31"/>
        <v>1.2347147870436619</v>
      </c>
      <c r="ET24" s="8">
        <f t="shared" si="32"/>
        <v>1.4521963213664226</v>
      </c>
      <c r="EU24" s="8">
        <f t="shared" si="33"/>
        <v>-2.0786382942379853</v>
      </c>
      <c r="EW24" s="50"/>
      <c r="EX24" s="51"/>
      <c r="EY24" s="48"/>
      <c r="EZ24" s="48"/>
      <c r="FA24" s="48"/>
      <c r="FB24" s="48"/>
      <c r="FK24" s="10"/>
      <c r="FL24" s="10"/>
    </row>
    <row r="25" spans="1:168" ht="18.600000000000001" thickBot="1" x14ac:dyDescent="0.4">
      <c r="A25" s="12" t="s">
        <v>50</v>
      </c>
      <c r="B25" s="13">
        <v>23</v>
      </c>
      <c r="C25" s="30">
        <v>0.67161000000000004</v>
      </c>
      <c r="D25" s="31">
        <v>1.1023099999999999</v>
      </c>
      <c r="E25" s="32">
        <v>98.3</v>
      </c>
      <c r="F25" s="31">
        <v>0.57987999999999995</v>
      </c>
      <c r="G25" s="31">
        <v>0.91637000000000002</v>
      </c>
      <c r="H25" s="31">
        <v>1.1065700000000001</v>
      </c>
      <c r="I25" s="31">
        <v>1.5098199999999999</v>
      </c>
      <c r="J25" s="31">
        <v>0.85206999999999999</v>
      </c>
      <c r="K25" s="31">
        <v>0.95540999999999998</v>
      </c>
      <c r="L25" s="32">
        <v>161.964</v>
      </c>
      <c r="M25" s="31">
        <v>1.6476200000000001</v>
      </c>
      <c r="N25" s="31">
        <v>1.8162199999999999</v>
      </c>
      <c r="O25" s="31">
        <v>1.29867</v>
      </c>
      <c r="P25" s="31">
        <v>1.9336599999999999</v>
      </c>
      <c r="Q25" s="31">
        <v>2.13151</v>
      </c>
      <c r="R25" s="31">
        <v>1.7719400000000001</v>
      </c>
      <c r="S25" s="31">
        <v>1.1213</v>
      </c>
      <c r="T25" s="32">
        <v>190.078</v>
      </c>
      <c r="U25" s="32">
        <v>89.173000000000002</v>
      </c>
      <c r="V25" s="31">
        <v>0.52603999999999995</v>
      </c>
      <c r="W25" s="31">
        <v>0.60924999999999996</v>
      </c>
      <c r="X25" s="31">
        <v>0.83128000000000002</v>
      </c>
      <c r="Y25" s="32">
        <v>107.27</v>
      </c>
      <c r="Z25" s="31">
        <v>0.63280000000000003</v>
      </c>
      <c r="AA25" s="32">
        <v>169.517</v>
      </c>
      <c r="AB25" s="31">
        <v>1.3644799999999999</v>
      </c>
      <c r="AC25" s="31">
        <v>0.86341999999999997</v>
      </c>
      <c r="AD25" s="33">
        <v>146.36500000000001</v>
      </c>
      <c r="AH25" s="23">
        <v>24</v>
      </c>
      <c r="AI25" s="42">
        <f t="shared" si="40"/>
        <v>0.22683520124163575</v>
      </c>
      <c r="AJ25" s="42">
        <f t="shared" si="40"/>
        <v>1.723950205058546E-2</v>
      </c>
      <c r="AK25" s="42">
        <f t="shared" si="40"/>
        <v>0.20591653244714284</v>
      </c>
      <c r="AL25" s="42">
        <f t="shared" si="40"/>
        <v>6.5573770491792222E-2</v>
      </c>
      <c r="AM25" s="42">
        <f t="shared" si="40"/>
        <v>0.10159049200384365</v>
      </c>
      <c r="AN25" s="42">
        <f t="shared" si="40"/>
        <v>0.19104358691125584</v>
      </c>
      <c r="AO25" s="42">
        <f t="shared" si="40"/>
        <v>6.2961023812522374E-2</v>
      </c>
      <c r="AP25" s="42">
        <f t="shared" si="40"/>
        <v>5.8684068449090972E-3</v>
      </c>
      <c r="AQ25" s="42">
        <f t="shared" si="40"/>
        <v>2.8268107293170894E-2</v>
      </c>
      <c r="AR25" s="42">
        <f t="shared" si="40"/>
        <v>0.17317730882462157</v>
      </c>
      <c r="AS25" s="42">
        <f t="shared" si="40"/>
        <v>-3.6402907378865319E-2</v>
      </c>
      <c r="AT25" s="42">
        <f t="shared" si="40"/>
        <v>-1.5414258188827855E-2</v>
      </c>
      <c r="AU25" s="42">
        <f t="shared" si="40"/>
        <v>0.18669238187078796</v>
      </c>
      <c r="AV25" s="42">
        <f t="shared" si="40"/>
        <v>-3.6187679645988589E-2</v>
      </c>
      <c r="AW25" s="42">
        <f t="shared" si="40"/>
        <v>-1.8762518117554493E-2</v>
      </c>
      <c r="AX25" s="42">
        <f t="shared" si="39"/>
        <v>6.0422278315185554E-2</v>
      </c>
      <c r="AY25" s="42">
        <f t="shared" si="39"/>
        <v>2.5869528371727409E-2</v>
      </c>
      <c r="AZ25" s="42">
        <f t="shared" si="39"/>
        <v>0.16546868742226814</v>
      </c>
      <c r="BA25" s="42">
        <f t="shared" si="39"/>
        <v>0.19213051392104277</v>
      </c>
      <c r="BB25" s="42">
        <f t="shared" si="39"/>
        <v>5.1353253323695246E-2</v>
      </c>
      <c r="BC25" s="42">
        <f t="shared" si="39"/>
        <v>0.21383337445513081</v>
      </c>
      <c r="BD25" s="42">
        <f t="shared" si="39"/>
        <v>8.5483463163849929E-2</v>
      </c>
      <c r="BE25" s="42">
        <f t="shared" si="39"/>
        <v>0.10638694986747368</v>
      </c>
      <c r="BF25" s="42">
        <f t="shared" si="39"/>
        <v>-3.4754036207386492E-2</v>
      </c>
      <c r="BG25" s="42">
        <f t="shared" si="39"/>
        <v>0.14118786847670953</v>
      </c>
      <c r="BH25" s="42">
        <f t="shared" si="39"/>
        <v>-0.12882070500058437</v>
      </c>
      <c r="BI25" s="42">
        <f t="shared" si="39"/>
        <v>-0.16419222052635027</v>
      </c>
      <c r="BJ25" s="42">
        <f t="shared" si="39"/>
        <v>-2.1858371414702669E-2</v>
      </c>
      <c r="BN25" s="26">
        <v>24</v>
      </c>
      <c r="BO25" s="46">
        <f t="shared" si="35"/>
        <v>0.39273072942271187</v>
      </c>
      <c r="BP25" s="46">
        <f t="shared" si="2"/>
        <v>5.4583215226246314E-3</v>
      </c>
      <c r="BQ25" s="46">
        <f t="shared" si="42"/>
        <v>0.40207552943975278</v>
      </c>
      <c r="BR25" s="46">
        <f t="shared" si="42"/>
        <v>0.17789236217195437</v>
      </c>
      <c r="BS25" s="46">
        <f t="shared" si="42"/>
        <v>0.10927494382940452</v>
      </c>
      <c r="BT25" s="46">
        <f t="shared" si="42"/>
        <v>0.25990875042826389</v>
      </c>
      <c r="BU25" s="46">
        <f t="shared" si="42"/>
        <v>-2.2480914897792928E-2</v>
      </c>
      <c r="BV25" s="46">
        <f t="shared" si="42"/>
        <v>-2.2286300650880456E-2</v>
      </c>
      <c r="BW25" s="46">
        <f t="shared" si="42"/>
        <v>4.6193383686591996E-2</v>
      </c>
      <c r="BX25" s="46">
        <f t="shared" si="42"/>
        <v>0.27373810860773962</v>
      </c>
      <c r="BY25" s="46">
        <f t="shared" si="42"/>
        <v>-0.13097168861330971</v>
      </c>
      <c r="BZ25" s="46">
        <f t="shared" si="42"/>
        <v>-0.12430425322357724</v>
      </c>
      <c r="CA25" s="46">
        <f t="shared" si="42"/>
        <v>0.28632997526774484</v>
      </c>
      <c r="CB25" s="46">
        <f t="shared" si="42"/>
        <v>-0.10437240734744546</v>
      </c>
      <c r="CC25" s="46">
        <f t="shared" si="42"/>
        <v>-9.8443898127833107E-2</v>
      </c>
      <c r="CD25" s="46">
        <f t="shared" si="41"/>
        <v>4.5574279433573811E-3</v>
      </c>
      <c r="CE25" s="46">
        <f t="shared" si="41"/>
        <v>7.3265792730222545E-2</v>
      </c>
      <c r="CF25" s="46">
        <f t="shared" si="41"/>
        <v>0.29608518197887401</v>
      </c>
      <c r="CG25" s="46">
        <f t="shared" si="41"/>
        <v>0.39487912718542073</v>
      </c>
      <c r="CH25" s="46">
        <f t="shared" si="41"/>
        <v>0.17131055745924689</v>
      </c>
      <c r="CI25" s="46">
        <f t="shared" si="41"/>
        <v>0.38519916358065187</v>
      </c>
      <c r="CJ25" s="46">
        <f t="shared" si="41"/>
        <v>0.10360347673202702</v>
      </c>
      <c r="CK25" s="46">
        <f t="shared" si="41"/>
        <v>0.29174437240765339</v>
      </c>
      <c r="CL25" s="46">
        <f t="shared" si="41"/>
        <v>6.9767764647892749E-2</v>
      </c>
      <c r="CM25" s="46">
        <f t="shared" si="37"/>
        <v>0.22412988077040563</v>
      </c>
      <c r="CN25" s="46">
        <f t="shared" si="37"/>
        <v>-0.28163218563078191</v>
      </c>
      <c r="CO25" s="46">
        <f t="shared" si="37"/>
        <v>-0.2136548939960532</v>
      </c>
      <c r="CP25" s="46">
        <f t="shared" si="37"/>
        <v>9.9408885422721874E-3</v>
      </c>
      <c r="CU25" s="23">
        <v>24</v>
      </c>
      <c r="CV25" s="25">
        <f t="shared" si="6"/>
        <v>0.27979708533703518</v>
      </c>
      <c r="CW25" s="25">
        <f t="shared" si="7"/>
        <v>-1.8095148097839351</v>
      </c>
      <c r="CX25" s="25">
        <f t="shared" si="8"/>
        <v>0.44818938907933203</v>
      </c>
      <c r="CY25" s="25">
        <f t="shared" si="9"/>
        <v>-3.0877321281556958E-2</v>
      </c>
      <c r="CZ25" s="25">
        <f t="shared" si="10"/>
        <v>0.47970837309580067</v>
      </c>
      <c r="DA25" s="25">
        <f t="shared" si="11"/>
        <v>1.3227759823472034</v>
      </c>
      <c r="DB25" s="25">
        <f t="shared" si="12"/>
        <v>1.272282154786132</v>
      </c>
      <c r="DC25" s="25">
        <f t="shared" si="13"/>
        <v>-1.8925930889321185</v>
      </c>
      <c r="DF25" s="20">
        <v>24</v>
      </c>
      <c r="DG25" s="21">
        <f t="shared" si="36"/>
        <v>-0.28163218563078191</v>
      </c>
      <c r="DH25" s="21">
        <f t="shared" si="14"/>
        <v>-2.2480914897792928E-2</v>
      </c>
      <c r="DI25" s="21">
        <f t="shared" si="15"/>
        <v>-0.2136548939960532</v>
      </c>
      <c r="DJ25" s="21">
        <f t="shared" si="16"/>
        <v>4.6193383686591996E-2</v>
      </c>
      <c r="DK25" s="21">
        <f t="shared" si="17"/>
        <v>-0.28632997526774484</v>
      </c>
      <c r="DL25" s="21">
        <f t="shared" si="18"/>
        <v>-2.2286300650880456E-2</v>
      </c>
      <c r="DM25" s="21">
        <f t="shared" si="19"/>
        <v>-0.39273072942271187</v>
      </c>
      <c r="DN25" s="21">
        <f t="shared" si="20"/>
        <v>-0.13097168861330971</v>
      </c>
      <c r="DO25" s="21">
        <f t="shared" si="21"/>
        <v>-0.38519916358065187</v>
      </c>
      <c r="DP25" s="21">
        <f t="shared" si="22"/>
        <v>-0.12430425322357724</v>
      </c>
      <c r="DQ25" s="21">
        <f t="shared" si="23"/>
        <v>9.9408885422721874E-3</v>
      </c>
      <c r="DR25" s="21">
        <f t="shared" si="24"/>
        <v>0.27373810860773962</v>
      </c>
      <c r="DS25" s="21">
        <f t="shared" si="25"/>
        <v>-0.25990875042826389</v>
      </c>
      <c r="DT25" s="21">
        <f t="shared" si="26"/>
        <v>0.25990875042826389</v>
      </c>
      <c r="DX25">
        <v>24</v>
      </c>
      <c r="DY25" s="9">
        <f t="shared" si="4"/>
        <v>3.1648752437182504</v>
      </c>
      <c r="EM25" s="11">
        <v>24</v>
      </c>
      <c r="EN25" s="8">
        <f t="shared" si="27"/>
        <v>0.27979708533703518</v>
      </c>
      <c r="EO25" s="8">
        <f t="shared" si="5"/>
        <v>-1.8095148097839351</v>
      </c>
      <c r="EP25" s="8">
        <f t="shared" si="28"/>
        <v>0.44818938907933203</v>
      </c>
      <c r="EQ25" s="8">
        <f t="shared" si="29"/>
        <v>-3.0877321281556958E-2</v>
      </c>
      <c r="ER25" s="8">
        <f t="shared" si="30"/>
        <v>0.47970837309580067</v>
      </c>
      <c r="ES25" s="8">
        <f t="shared" si="31"/>
        <v>1.3227759823472034</v>
      </c>
      <c r="ET25" s="8">
        <f t="shared" si="32"/>
        <v>1.272282154786132</v>
      </c>
      <c r="EU25" s="8">
        <f t="shared" si="33"/>
        <v>-1.8925930889321185</v>
      </c>
      <c r="EW25" s="50"/>
      <c r="EX25" s="51"/>
      <c r="EY25" s="48"/>
      <c r="EZ25" s="48"/>
      <c r="FA25" s="48"/>
      <c r="FB25" s="48"/>
      <c r="FK25" s="10"/>
      <c r="FL25" s="10"/>
    </row>
    <row r="26" spans="1:168" ht="18.600000000000001" thickBot="1" x14ac:dyDescent="0.4">
      <c r="A26" s="12" t="s">
        <v>50</v>
      </c>
      <c r="B26" s="13">
        <v>24</v>
      </c>
      <c r="C26" s="30">
        <v>0.67008999999999996</v>
      </c>
      <c r="D26" s="31">
        <v>1.10212</v>
      </c>
      <c r="E26" s="32">
        <v>98.097999999999999</v>
      </c>
      <c r="F26" s="31">
        <v>0.57950000000000002</v>
      </c>
      <c r="G26" s="31">
        <v>0.91544000000000003</v>
      </c>
      <c r="H26" s="31">
        <v>1.10446</v>
      </c>
      <c r="I26" s="31">
        <v>1.5088699999999999</v>
      </c>
      <c r="J26" s="31">
        <v>0.85202</v>
      </c>
      <c r="K26" s="31">
        <v>0.95513999999999999</v>
      </c>
      <c r="L26" s="32">
        <v>161.684</v>
      </c>
      <c r="M26" s="31">
        <v>1.64822</v>
      </c>
      <c r="N26" s="31">
        <v>1.8165</v>
      </c>
      <c r="O26" s="31">
        <v>1.2962499999999999</v>
      </c>
      <c r="P26" s="31">
        <v>1.9343600000000001</v>
      </c>
      <c r="Q26" s="31">
        <v>2.13191</v>
      </c>
      <c r="R26" s="31">
        <v>1.7708699999999999</v>
      </c>
      <c r="S26" s="31">
        <v>1.1210100000000001</v>
      </c>
      <c r="T26" s="32">
        <v>189.76400000000001</v>
      </c>
      <c r="U26" s="32">
        <v>89.001999999999995</v>
      </c>
      <c r="V26" s="31">
        <v>0.52576999999999996</v>
      </c>
      <c r="W26" s="31">
        <v>0.60794999999999999</v>
      </c>
      <c r="X26" s="31">
        <v>0.83057000000000003</v>
      </c>
      <c r="Y26" s="32">
        <v>107.15600000000001</v>
      </c>
      <c r="Z26" s="31">
        <v>0.63302000000000003</v>
      </c>
      <c r="AA26" s="32">
        <v>169.27799999999999</v>
      </c>
      <c r="AB26" s="31">
        <v>1.3662399999999999</v>
      </c>
      <c r="AC26" s="31">
        <v>0.86484000000000005</v>
      </c>
      <c r="AD26" s="33">
        <v>146.39699999999999</v>
      </c>
      <c r="AH26" s="23">
        <v>25</v>
      </c>
      <c r="AI26" s="41">
        <f t="shared" si="40"/>
        <v>6.1223270815898699E-2</v>
      </c>
      <c r="AJ26" s="41">
        <f t="shared" si="40"/>
        <v>-4.2626905740118307E-2</v>
      </c>
      <c r="AK26" s="41">
        <f t="shared" si="40"/>
        <v>0.18382728405399681</v>
      </c>
      <c r="AL26" s="41">
        <f t="shared" si="40"/>
        <v>-3.4511319712900333E-3</v>
      </c>
      <c r="AM26" s="41">
        <f t="shared" si="40"/>
        <v>-1.6382878799460838E-2</v>
      </c>
      <c r="AN26" s="41">
        <f t="shared" si="40"/>
        <v>5.0729232720345491E-2</v>
      </c>
      <c r="AO26" s="41">
        <f t="shared" si="40"/>
        <v>-2.4515650261057318E-2</v>
      </c>
      <c r="AP26" s="41">
        <f t="shared" si="40"/>
        <v>-3.9889248674269906E-2</v>
      </c>
      <c r="AQ26" s="41">
        <f t="shared" si="40"/>
        <v>-1.2562024998430689E-2</v>
      </c>
      <c r="AR26" s="41">
        <f t="shared" si="40"/>
        <v>0.17099524187153703</v>
      </c>
      <c r="AS26" s="41">
        <f t="shared" si="40"/>
        <v>-9.7064997148678077E-3</v>
      </c>
      <c r="AT26" s="41">
        <f t="shared" si="40"/>
        <v>-5.5020632737270425E-2</v>
      </c>
      <c r="AU26" s="41">
        <f t="shared" si="40"/>
        <v>9.0341909380107277E-2</v>
      </c>
      <c r="AV26" s="41">
        <f t="shared" si="40"/>
        <v>2.5337794164039022E-2</v>
      </c>
      <c r="AW26" s="41">
        <f t="shared" si="40"/>
        <v>-1.6883415327333687E-2</v>
      </c>
      <c r="AX26" s="41">
        <f t="shared" si="39"/>
        <v>1.3554497551719896E-2</v>
      </c>
      <c r="AY26" s="41">
        <f t="shared" si="39"/>
        <v>2.5876222428449881E-2</v>
      </c>
      <c r="AZ26" s="41">
        <f t="shared" si="39"/>
        <v>0.21229180088931002</v>
      </c>
      <c r="BA26" s="41">
        <f t="shared" si="39"/>
        <v>0.22296292959775832</v>
      </c>
      <c r="BB26" s="41">
        <f t="shared" si="39"/>
        <v>3.6150538452740293E-2</v>
      </c>
      <c r="BC26" s="41">
        <f t="shared" si="39"/>
        <v>0.10043797543385903</v>
      </c>
      <c r="BD26" s="41">
        <f t="shared" si="39"/>
        <v>2.6494851568615398E-2</v>
      </c>
      <c r="BE26" s="41">
        <f t="shared" si="39"/>
        <v>0.19729767637571904</v>
      </c>
      <c r="BF26" s="41">
        <f t="shared" si="39"/>
        <v>1.1059325381154039E-2</v>
      </c>
      <c r="BG26" s="41">
        <f t="shared" si="39"/>
        <v>0.18643134887519619</v>
      </c>
      <c r="BH26" s="41">
        <f t="shared" si="39"/>
        <v>-7.387090875846973E-2</v>
      </c>
      <c r="BI26" s="41">
        <f t="shared" si="39"/>
        <v>-6.124547881252175E-2</v>
      </c>
      <c r="BJ26" s="41">
        <f t="shared" si="39"/>
        <v>0.12241994829638078</v>
      </c>
      <c r="BN26" s="26">
        <v>25</v>
      </c>
      <c r="BO26" s="45">
        <f t="shared" si="35"/>
        <v>0.16589552818107611</v>
      </c>
      <c r="BP26" s="45">
        <f t="shared" si="2"/>
        <v>-1.1781180527960827E-2</v>
      </c>
      <c r="BQ26" s="45">
        <f t="shared" si="42"/>
        <v>0.19615899699260997</v>
      </c>
      <c r="BR26" s="45">
        <f t="shared" si="42"/>
        <v>0.11231859168016214</v>
      </c>
      <c r="BS26" s="45">
        <f t="shared" si="42"/>
        <v>7.6844518255608681E-3</v>
      </c>
      <c r="BT26" s="45">
        <f t="shared" si="42"/>
        <v>6.8865163517008054E-2</v>
      </c>
      <c r="BU26" s="45">
        <f t="shared" si="42"/>
        <v>-8.5441938710315302E-2</v>
      </c>
      <c r="BV26" s="45">
        <f t="shared" si="42"/>
        <v>-2.8154707495789553E-2</v>
      </c>
      <c r="BW26" s="45">
        <f t="shared" si="42"/>
        <v>1.7925276393421105E-2</v>
      </c>
      <c r="BX26" s="45">
        <f t="shared" si="42"/>
        <v>0.10056079978311802</v>
      </c>
      <c r="BY26" s="45">
        <f t="shared" si="42"/>
        <v>-9.4568781234444385E-2</v>
      </c>
      <c r="BZ26" s="45">
        <f t="shared" si="42"/>
        <v>-0.10888999503474939</v>
      </c>
      <c r="CA26" s="45">
        <f t="shared" si="42"/>
        <v>9.9637593396956894E-2</v>
      </c>
      <c r="CB26" s="45">
        <f t="shared" si="42"/>
        <v>-6.8184727701456865E-2</v>
      </c>
      <c r="CC26" s="45">
        <f t="shared" si="42"/>
        <v>-7.9681380010278621E-2</v>
      </c>
      <c r="CD26" s="45">
        <f t="shared" si="41"/>
        <v>-5.586485037182818E-2</v>
      </c>
      <c r="CE26" s="45">
        <f t="shared" si="41"/>
        <v>4.739626435849513E-2</v>
      </c>
      <c r="CF26" s="45">
        <f t="shared" si="41"/>
        <v>0.13061649455660582</v>
      </c>
      <c r="CG26" s="45">
        <f t="shared" si="41"/>
        <v>0.20274861326437799</v>
      </c>
      <c r="CH26" s="45">
        <f t="shared" si="41"/>
        <v>0.11995730413555164</v>
      </c>
      <c r="CI26" s="45">
        <f t="shared" si="41"/>
        <v>0.17136578912552103</v>
      </c>
      <c r="CJ26" s="45">
        <f t="shared" si="41"/>
        <v>1.81200135681771E-2</v>
      </c>
      <c r="CK26" s="45">
        <f t="shared" si="41"/>
        <v>0.1853574225401797</v>
      </c>
      <c r="CL26" s="45">
        <f t="shared" si="41"/>
        <v>0.10452180085527923</v>
      </c>
      <c r="CM26" s="45">
        <f t="shared" si="37"/>
        <v>8.2942012293696105E-2</v>
      </c>
      <c r="CN26" s="45">
        <f t="shared" si="37"/>
        <v>-0.15281148063019756</v>
      </c>
      <c r="CO26" s="45">
        <f t="shared" si="37"/>
        <v>-4.9462673469702914E-2</v>
      </c>
      <c r="CP26" s="45">
        <f t="shared" si="37"/>
        <v>3.1799259956974871E-2</v>
      </c>
      <c r="CU26" s="23">
        <v>25</v>
      </c>
      <c r="CV26" s="24">
        <f t="shared" si="6"/>
        <v>-0.12970418278175144</v>
      </c>
      <c r="CW26" s="24">
        <f t="shared" si="7"/>
        <v>-0.67623896836348774</v>
      </c>
      <c r="CX26" s="24">
        <f t="shared" si="8"/>
        <v>0.55819302771406198</v>
      </c>
      <c r="CY26" s="24">
        <f t="shared" si="9"/>
        <v>-0.16519275080423099</v>
      </c>
      <c r="CZ26" s="24">
        <f t="shared" si="10"/>
        <v>0.10207410172428373</v>
      </c>
      <c r="DA26" s="24">
        <f t="shared" si="11"/>
        <v>0.63302989708734947</v>
      </c>
      <c r="DB26" s="24">
        <f t="shared" si="12"/>
        <v>0.71254427566661649</v>
      </c>
      <c r="DC26" s="24">
        <f t="shared" si="13"/>
        <v>-0.93018359938756257</v>
      </c>
      <c r="DF26" s="18">
        <v>25</v>
      </c>
      <c r="DG26" s="19">
        <f t="shared" si="36"/>
        <v>-0.15281148063019756</v>
      </c>
      <c r="DH26" s="19">
        <f t="shared" si="14"/>
        <v>-8.5441938710315302E-2</v>
      </c>
      <c r="DI26" s="19">
        <f t="shared" si="15"/>
        <v>-4.9462673469702914E-2</v>
      </c>
      <c r="DJ26" s="19">
        <f t="shared" si="16"/>
        <v>1.7925276393421105E-2</v>
      </c>
      <c r="DK26" s="19">
        <f t="shared" si="17"/>
        <v>-9.9637593396956894E-2</v>
      </c>
      <c r="DL26" s="19">
        <f t="shared" si="18"/>
        <v>-2.8154707495789553E-2</v>
      </c>
      <c r="DM26" s="19">
        <f t="shared" si="19"/>
        <v>-0.16589552818107611</v>
      </c>
      <c r="DN26" s="19">
        <f t="shared" si="20"/>
        <v>-9.4568781234444385E-2</v>
      </c>
      <c r="DO26" s="19">
        <f t="shared" si="21"/>
        <v>-0.17136578912552103</v>
      </c>
      <c r="DP26" s="19">
        <f t="shared" si="22"/>
        <v>-0.10888999503474939</v>
      </c>
      <c r="DQ26" s="19">
        <f t="shared" si="23"/>
        <v>3.1799259956974871E-2</v>
      </c>
      <c r="DR26" s="19">
        <f t="shared" si="24"/>
        <v>0.10056079978311802</v>
      </c>
      <c r="DS26" s="19">
        <f t="shared" si="25"/>
        <v>-6.8865163517008054E-2</v>
      </c>
      <c r="DT26" s="19">
        <f t="shared" si="26"/>
        <v>6.8865163517008054E-2</v>
      </c>
      <c r="DX26">
        <v>25</v>
      </c>
      <c r="DY26" s="9">
        <f t="shared" si="4"/>
        <v>1.6427278750541792</v>
      </c>
      <c r="EM26" s="11">
        <v>25</v>
      </c>
      <c r="EN26" s="8">
        <f t="shared" si="27"/>
        <v>-0.12970418278175144</v>
      </c>
      <c r="EO26" s="8">
        <f t="shared" si="5"/>
        <v>-0.67623896836348774</v>
      </c>
      <c r="EP26" s="8">
        <f t="shared" si="28"/>
        <v>0.55819302771406198</v>
      </c>
      <c r="EQ26" s="8">
        <f t="shared" si="29"/>
        <v>-0.16519275080423099</v>
      </c>
      <c r="ER26" s="8">
        <f t="shared" si="30"/>
        <v>0.10207410172428373</v>
      </c>
      <c r="ES26" s="8">
        <f t="shared" si="31"/>
        <v>0.63302989708734947</v>
      </c>
      <c r="ET26" s="8">
        <f t="shared" si="32"/>
        <v>0.71254427566661649</v>
      </c>
      <c r="EU26" s="8">
        <f t="shared" si="33"/>
        <v>-0.93018359938756257</v>
      </c>
      <c r="EW26" s="50"/>
      <c r="EX26" s="51"/>
      <c r="EY26" s="48"/>
      <c r="EZ26" s="48"/>
      <c r="FA26" s="48"/>
      <c r="FB26" s="48"/>
      <c r="FK26" s="10"/>
      <c r="FL26" s="10"/>
    </row>
    <row r="27" spans="1:168" ht="18.600000000000001" thickBot="1" x14ac:dyDescent="0.4">
      <c r="A27" s="12" t="s">
        <v>50</v>
      </c>
      <c r="B27" s="13">
        <v>25</v>
      </c>
      <c r="C27" s="30">
        <v>0.66968000000000005</v>
      </c>
      <c r="D27" s="31">
        <v>1.10259</v>
      </c>
      <c r="E27" s="32">
        <v>97.918000000000006</v>
      </c>
      <c r="F27" s="31">
        <v>0.57952000000000004</v>
      </c>
      <c r="G27" s="31">
        <v>0.91559000000000001</v>
      </c>
      <c r="H27" s="31">
        <v>1.1039000000000001</v>
      </c>
      <c r="I27" s="31">
        <v>1.5092399999999999</v>
      </c>
      <c r="J27" s="31">
        <v>0.85236000000000001</v>
      </c>
      <c r="K27" s="31">
        <v>0.95526</v>
      </c>
      <c r="L27" s="32">
        <v>161.40799999999999</v>
      </c>
      <c r="M27" s="31">
        <v>1.64838</v>
      </c>
      <c r="N27" s="31">
        <v>1.8174999999999999</v>
      </c>
      <c r="O27" s="31">
        <v>1.29508</v>
      </c>
      <c r="P27" s="31">
        <v>1.93387</v>
      </c>
      <c r="Q27" s="31">
        <v>2.1322700000000001</v>
      </c>
      <c r="R27" s="31">
        <v>1.7706299999999999</v>
      </c>
      <c r="S27" s="31">
        <v>1.1207199999999999</v>
      </c>
      <c r="T27" s="32">
        <v>189.36199999999999</v>
      </c>
      <c r="U27" s="32">
        <v>88.804000000000002</v>
      </c>
      <c r="V27" s="31">
        <v>0.52558000000000005</v>
      </c>
      <c r="W27" s="31">
        <v>0.60733999999999999</v>
      </c>
      <c r="X27" s="31">
        <v>0.83035000000000003</v>
      </c>
      <c r="Y27" s="32">
        <v>106.94499999999999</v>
      </c>
      <c r="Z27" s="31">
        <v>0.63295000000000001</v>
      </c>
      <c r="AA27" s="32">
        <v>168.96299999999999</v>
      </c>
      <c r="AB27" s="31">
        <v>1.3672500000000001</v>
      </c>
      <c r="AC27" s="31">
        <v>0.86536999999999997</v>
      </c>
      <c r="AD27" s="33">
        <v>146.21799999999999</v>
      </c>
      <c r="AH27" s="23">
        <v>26</v>
      </c>
      <c r="AI27" s="42">
        <f t="shared" si="40"/>
        <v>-2.687128653747917E-2</v>
      </c>
      <c r="AJ27" s="42">
        <f t="shared" si="40"/>
        <v>2.9938490011425747E-2</v>
      </c>
      <c r="AK27" s="42">
        <f t="shared" si="40"/>
        <v>9.3021354022926384E-2</v>
      </c>
      <c r="AL27" s="42">
        <f t="shared" si="40"/>
        <v>0.13304535637149864</v>
      </c>
      <c r="AM27" s="42">
        <f t="shared" si="40"/>
        <v>-4.6942206502033852E-2</v>
      </c>
      <c r="AN27" s="42">
        <f t="shared" si="40"/>
        <v>-3.0790407882345047E-2</v>
      </c>
      <c r="AO27" s="42">
        <f t="shared" si="40"/>
        <v>-4.9669203107307228E-2</v>
      </c>
      <c r="AP27" s="42">
        <f t="shared" si="40"/>
        <v>1.7601295455343575E-2</v>
      </c>
      <c r="AQ27" s="42">
        <f t="shared" si="40"/>
        <v>0.12577825294006445</v>
      </c>
      <c r="AR27" s="42">
        <f t="shared" si="40"/>
        <v>8.9915231640228577E-2</v>
      </c>
      <c r="AS27" s="42">
        <f t="shared" si="40"/>
        <v>-3.0331891557485312E-3</v>
      </c>
      <c r="AT27" s="42">
        <f t="shared" si="40"/>
        <v>2.6967380476710608E-2</v>
      </c>
      <c r="AU27" s="42">
        <f t="shared" si="40"/>
        <v>-4.9393387460251743E-2</v>
      </c>
      <c r="AV27" s="42">
        <f t="shared" si="40"/>
        <v>-2.1196517567261278E-2</v>
      </c>
      <c r="AW27" s="42">
        <f t="shared" si="40"/>
        <v>8.9114854977258105E-3</v>
      </c>
      <c r="AX27" s="42">
        <f t="shared" si="39"/>
        <v>-6.8290590572520959E-2</v>
      </c>
      <c r="AY27" s="42">
        <f t="shared" si="39"/>
        <v>0.11165998195574454</v>
      </c>
      <c r="AZ27" s="42">
        <f t="shared" si="39"/>
        <v>7.2400581318536383E-2</v>
      </c>
      <c r="BA27" s="42">
        <f t="shared" si="39"/>
        <v>6.1972529267943104E-2</v>
      </c>
      <c r="BB27" s="42">
        <f t="shared" si="39"/>
        <v>0.10284930671950633</v>
      </c>
      <c r="BC27" s="42">
        <f t="shared" si="39"/>
        <v>-5.9239756458783439E-2</v>
      </c>
      <c r="BD27" s="42">
        <f t="shared" si="39"/>
        <v>-7.8219013237055171E-2</v>
      </c>
      <c r="BE27" s="42">
        <f t="shared" si="39"/>
        <v>0.14045601385831871</v>
      </c>
      <c r="BF27" s="42">
        <f t="shared" si="39"/>
        <v>0.18201962646406841</v>
      </c>
      <c r="BG27" s="42">
        <f t="shared" si="39"/>
        <v>-3.3723819666321361E-2</v>
      </c>
      <c r="BH27" s="42">
        <f t="shared" si="39"/>
        <v>-2.1205961068773233E-2</v>
      </c>
      <c r="BI27" s="42">
        <f t="shared" si="39"/>
        <v>0.15624638318557005</v>
      </c>
      <c r="BJ27" s="42">
        <f t="shared" si="39"/>
        <v>0.12119884142123959</v>
      </c>
      <c r="BN27" s="26">
        <v>26</v>
      </c>
      <c r="BO27" s="46">
        <f t="shared" si="35"/>
        <v>0.10467225736517741</v>
      </c>
      <c r="BP27" s="46">
        <f t="shared" si="2"/>
        <v>3.084572521215748E-2</v>
      </c>
      <c r="BQ27" s="46">
        <f t="shared" si="42"/>
        <v>1.233171293861314E-2</v>
      </c>
      <c r="BR27" s="46">
        <f t="shared" si="42"/>
        <v>0.11576972365145217</v>
      </c>
      <c r="BS27" s="46">
        <f t="shared" si="42"/>
        <v>2.4067330625021706E-2</v>
      </c>
      <c r="BT27" s="46">
        <f t="shared" si="42"/>
        <v>1.8135930796662567E-2</v>
      </c>
      <c r="BU27" s="46">
        <f t="shared" si="42"/>
        <v>-6.092628844925798E-2</v>
      </c>
      <c r="BV27" s="46">
        <f t="shared" si="42"/>
        <v>1.1734541178480353E-2</v>
      </c>
      <c r="BW27" s="46">
        <f t="shared" si="42"/>
        <v>3.0487301391851795E-2</v>
      </c>
      <c r="BX27" s="46">
        <f t="shared" si="42"/>
        <v>-7.0434442088419008E-2</v>
      </c>
      <c r="BY27" s="46">
        <f t="shared" si="42"/>
        <v>-8.4862281519576574E-2</v>
      </c>
      <c r="BZ27" s="46">
        <f t="shared" si="42"/>
        <v>-5.3869362297478955E-2</v>
      </c>
      <c r="CA27" s="46">
        <f t="shared" si="42"/>
        <v>9.2956840168496174E-3</v>
      </c>
      <c r="CB27" s="46">
        <f t="shared" si="42"/>
        <v>-9.3522521865495895E-2</v>
      </c>
      <c r="CC27" s="46">
        <f t="shared" si="42"/>
        <v>-6.2797964682944935E-2</v>
      </c>
      <c r="CD27" s="46">
        <f t="shared" si="41"/>
        <v>-6.9419347923548078E-2</v>
      </c>
      <c r="CE27" s="46">
        <f t="shared" si="41"/>
        <v>2.1520041930045253E-2</v>
      </c>
      <c r="CF27" s="46">
        <f t="shared" si="41"/>
        <v>-8.1675306332704201E-2</v>
      </c>
      <c r="CG27" s="46">
        <f t="shared" si="41"/>
        <v>-2.0214316333380326E-2</v>
      </c>
      <c r="CH27" s="46">
        <f t="shared" si="41"/>
        <v>8.3806765682811354E-2</v>
      </c>
      <c r="CI27" s="46">
        <f t="shared" si="41"/>
        <v>7.0927813691662012E-2</v>
      </c>
      <c r="CJ27" s="46">
        <f t="shared" si="41"/>
        <v>-8.3748380004382977E-3</v>
      </c>
      <c r="CK27" s="46">
        <f t="shared" si="41"/>
        <v>-1.1940253835539344E-2</v>
      </c>
      <c r="CL27" s="46">
        <f t="shared" si="41"/>
        <v>9.3462475474125201E-2</v>
      </c>
      <c r="CM27" s="46">
        <f t="shared" si="41"/>
        <v>-0.10348933658150009</v>
      </c>
      <c r="CN27" s="46">
        <f t="shared" si="41"/>
        <v>-7.8940571871727816E-2</v>
      </c>
      <c r="CO27" s="46">
        <f t="shared" si="41"/>
        <v>1.1782805342818836E-2</v>
      </c>
      <c r="CP27" s="46">
        <f t="shared" si="41"/>
        <v>-9.0620688339405911E-2</v>
      </c>
      <c r="CU27" s="23">
        <v>26</v>
      </c>
      <c r="CV27" s="25">
        <f t="shared" si="6"/>
        <v>-0.2097346009877378</v>
      </c>
      <c r="CW27" s="25">
        <f t="shared" si="7"/>
        <v>-0.36081014073866646</v>
      </c>
      <c r="CX27" s="25">
        <f t="shared" si="8"/>
        <v>0.27511593725853634</v>
      </c>
      <c r="CY27" s="25">
        <f t="shared" si="9"/>
        <v>-0.36685597458047947</v>
      </c>
      <c r="CZ27" s="25">
        <f t="shared" si="10"/>
        <v>-0.28833395603627859</v>
      </c>
      <c r="DA27" s="25">
        <f t="shared" si="11"/>
        <v>0.46607155317749438</v>
      </c>
      <c r="DB27" s="25">
        <f t="shared" si="12"/>
        <v>0.21196702680892116</v>
      </c>
      <c r="DC27" s="25">
        <f t="shared" si="13"/>
        <v>0.36604263057233571</v>
      </c>
      <c r="DF27" s="20">
        <v>26</v>
      </c>
      <c r="DG27" s="21">
        <f t="shared" si="36"/>
        <v>-7.8940571871727816E-2</v>
      </c>
      <c r="DH27" s="21">
        <f t="shared" si="14"/>
        <v>-6.092628844925798E-2</v>
      </c>
      <c r="DI27" s="21">
        <f t="shared" si="15"/>
        <v>1.1782805342818836E-2</v>
      </c>
      <c r="DJ27" s="21">
        <f t="shared" si="16"/>
        <v>3.0487301391851795E-2</v>
      </c>
      <c r="DK27" s="21">
        <f t="shared" si="17"/>
        <v>-9.2956840168496174E-3</v>
      </c>
      <c r="DL27" s="21">
        <f t="shared" si="18"/>
        <v>1.1734541178480353E-2</v>
      </c>
      <c r="DM27" s="21">
        <f t="shared" si="19"/>
        <v>-0.10467225736517741</v>
      </c>
      <c r="DN27" s="21">
        <f t="shared" si="20"/>
        <v>-8.4862281519576574E-2</v>
      </c>
      <c r="DO27" s="21">
        <f t="shared" si="21"/>
        <v>-7.0927813691662012E-2</v>
      </c>
      <c r="DP27" s="21">
        <f t="shared" si="22"/>
        <v>-5.3869362297478955E-2</v>
      </c>
      <c r="DQ27" s="21">
        <f t="shared" si="23"/>
        <v>-9.0620688339405911E-2</v>
      </c>
      <c r="DR27" s="21">
        <f t="shared" si="24"/>
        <v>-7.0434442088419008E-2</v>
      </c>
      <c r="DS27" s="21">
        <f t="shared" si="25"/>
        <v>-1.8135930796662567E-2</v>
      </c>
      <c r="DT27" s="21">
        <f t="shared" si="26"/>
        <v>1.8135930796662567E-2</v>
      </c>
      <c r="DX27">
        <v>26</v>
      </c>
      <c r="DY27" s="9">
        <f t="shared" si="4"/>
        <v>-0.15407560376341456</v>
      </c>
      <c r="EM27" s="7">
        <v>26</v>
      </c>
      <c r="EN27" s="8">
        <f t="shared" si="27"/>
        <v>-0.2097346009877378</v>
      </c>
      <c r="EO27" s="8">
        <f t="shared" si="5"/>
        <v>-0.36081014073866646</v>
      </c>
      <c r="EP27" s="8">
        <f t="shared" si="28"/>
        <v>0.27511593725853634</v>
      </c>
      <c r="EQ27" s="8">
        <f t="shared" si="29"/>
        <v>-0.36685597458047947</v>
      </c>
      <c r="ER27" s="8">
        <f t="shared" si="30"/>
        <v>-0.28833395603627859</v>
      </c>
      <c r="ES27" s="8">
        <f t="shared" si="31"/>
        <v>0.46607155317749438</v>
      </c>
      <c r="ET27" s="8">
        <f t="shared" si="32"/>
        <v>0.21196702680892116</v>
      </c>
      <c r="EU27" s="8">
        <f t="shared" si="33"/>
        <v>0.36604263057233571</v>
      </c>
      <c r="EW27" s="50"/>
      <c r="EX27" s="51"/>
      <c r="EY27" s="48"/>
      <c r="EZ27" s="48"/>
      <c r="FA27" s="48"/>
      <c r="FB27" s="48"/>
      <c r="FK27" s="10"/>
      <c r="FL27" s="10"/>
    </row>
    <row r="28" spans="1:168" ht="18.600000000000001" thickBot="1" x14ac:dyDescent="0.4">
      <c r="A28" s="12" t="s">
        <v>50</v>
      </c>
      <c r="B28" s="13">
        <v>26</v>
      </c>
      <c r="C28" s="30">
        <v>0.66986000000000001</v>
      </c>
      <c r="D28" s="31">
        <v>1.10226</v>
      </c>
      <c r="E28" s="32">
        <v>97.826999999999998</v>
      </c>
      <c r="F28" s="31">
        <v>0.57874999999999999</v>
      </c>
      <c r="G28" s="31">
        <v>0.91601999999999995</v>
      </c>
      <c r="H28" s="31">
        <v>1.1042400000000001</v>
      </c>
      <c r="I28" s="31">
        <v>1.5099899999999999</v>
      </c>
      <c r="J28" s="31">
        <v>0.85221000000000002</v>
      </c>
      <c r="K28" s="31">
        <v>0.95406000000000002</v>
      </c>
      <c r="L28" s="32">
        <v>161.26300000000001</v>
      </c>
      <c r="M28" s="31">
        <v>1.6484300000000001</v>
      </c>
      <c r="N28" s="31">
        <v>1.81701</v>
      </c>
      <c r="O28" s="31">
        <v>1.29572</v>
      </c>
      <c r="P28" s="31">
        <v>1.93428</v>
      </c>
      <c r="Q28" s="31">
        <v>2.1320800000000002</v>
      </c>
      <c r="R28" s="31">
        <v>1.7718400000000001</v>
      </c>
      <c r="S28" s="31">
        <v>1.11947</v>
      </c>
      <c r="T28" s="32">
        <v>189.22499999999999</v>
      </c>
      <c r="U28" s="32">
        <v>88.748999999999995</v>
      </c>
      <c r="V28" s="31">
        <v>0.52503999999999995</v>
      </c>
      <c r="W28" s="31">
        <v>0.60770000000000002</v>
      </c>
      <c r="X28" s="31">
        <v>0.83099999999999996</v>
      </c>
      <c r="Y28" s="32">
        <v>106.795</v>
      </c>
      <c r="Z28" s="31">
        <v>0.63180000000000003</v>
      </c>
      <c r="AA28" s="32">
        <v>169.02</v>
      </c>
      <c r="AB28" s="31">
        <v>1.36754</v>
      </c>
      <c r="AC28" s="31">
        <v>0.86402000000000001</v>
      </c>
      <c r="AD28" s="33">
        <v>146.041</v>
      </c>
      <c r="AH28" s="23">
        <v>27</v>
      </c>
      <c r="AI28" s="41">
        <f>IF(C28=0,0,(C28-C29)*100/C29)</f>
        <v>0.13154354390265657</v>
      </c>
      <c r="AJ28" s="41">
        <f t="shared" si="40"/>
        <v>9.0723520073173163E-4</v>
      </c>
      <c r="AK28" s="41">
        <f t="shared" si="40"/>
        <v>-8.0689641084313243E-2</v>
      </c>
      <c r="AL28" s="41">
        <f t="shared" si="40"/>
        <v>-1.7275632720046469E-2</v>
      </c>
      <c r="AM28" s="41">
        <f t="shared" si="40"/>
        <v>7.1009537127055558E-2</v>
      </c>
      <c r="AN28" s="41">
        <f t="shared" si="40"/>
        <v>4.8926338679007614E-2</v>
      </c>
      <c r="AO28" s="41">
        <f t="shared" si="40"/>
        <v>-1.1257085341950752E-2</v>
      </c>
      <c r="AP28" s="41">
        <f t="shared" si="40"/>
        <v>-5.8667542768632217E-3</v>
      </c>
      <c r="AQ28" s="41">
        <f t="shared" si="40"/>
        <v>-9.5290951548212655E-2</v>
      </c>
      <c r="AR28" s="41">
        <f t="shared" si="40"/>
        <v>-0.16034967372864758</v>
      </c>
      <c r="AS28" s="41">
        <f t="shared" si="40"/>
        <v>-8.1829092363828043E-2</v>
      </c>
      <c r="AT28" s="41">
        <f t="shared" si="40"/>
        <v>-8.0836742774189563E-2</v>
      </c>
      <c r="AU28" s="41">
        <f t="shared" si="40"/>
        <v>5.8689071477101361E-2</v>
      </c>
      <c r="AV28" s="41">
        <f t="shared" si="40"/>
        <v>-7.2326004298234617E-2</v>
      </c>
      <c r="AW28" s="41">
        <f t="shared" si="40"/>
        <v>-7.170945018067075E-2</v>
      </c>
      <c r="AX28" s="41">
        <f t="shared" si="39"/>
        <v>-1.1287573510271117E-3</v>
      </c>
      <c r="AY28" s="41">
        <f t="shared" si="39"/>
        <v>-9.0139940025699292E-2</v>
      </c>
      <c r="AZ28" s="41">
        <f t="shared" si="39"/>
        <v>-0.15407588765124058</v>
      </c>
      <c r="BA28" s="41">
        <f t="shared" si="39"/>
        <v>-8.218684560132343E-2</v>
      </c>
      <c r="BB28" s="41">
        <f t="shared" si="39"/>
        <v>-1.9042541036694977E-2</v>
      </c>
      <c r="BC28" s="41">
        <f t="shared" si="39"/>
        <v>0.13016757015044544</v>
      </c>
      <c r="BD28" s="41">
        <f t="shared" si="39"/>
        <v>6.9844175236616873E-2</v>
      </c>
      <c r="BE28" s="41">
        <f t="shared" si="39"/>
        <v>-0.15239626769385806</v>
      </c>
      <c r="BF28" s="41">
        <f t="shared" si="39"/>
        <v>-8.8557150989943212E-2</v>
      </c>
      <c r="BG28" s="41">
        <f t="shared" si="39"/>
        <v>-6.9765516915178724E-2</v>
      </c>
      <c r="BH28" s="41">
        <f t="shared" si="39"/>
        <v>-5.7734610802954577E-2</v>
      </c>
      <c r="BI28" s="41">
        <f t="shared" si="39"/>
        <v>-0.14446357784275121</v>
      </c>
      <c r="BJ28" s="41">
        <f t="shared" si="39"/>
        <v>-0.2118195297606455</v>
      </c>
      <c r="BN28" s="26">
        <v>27</v>
      </c>
      <c r="BO28" s="45">
        <f t="shared" si="35"/>
        <v>0.13154354390265657</v>
      </c>
      <c r="BP28" s="45">
        <f t="shared" si="2"/>
        <v>9.0723520073173163E-4</v>
      </c>
      <c r="BQ28" s="45">
        <f t="shared" si="42"/>
        <v>-8.0689641084313243E-2</v>
      </c>
      <c r="BR28" s="45">
        <f t="shared" si="42"/>
        <v>-1.7275632720046469E-2</v>
      </c>
      <c r="BS28" s="45">
        <f t="shared" si="42"/>
        <v>7.1009537127055558E-2</v>
      </c>
      <c r="BT28" s="45">
        <f t="shared" si="42"/>
        <v>4.8926338679007614E-2</v>
      </c>
      <c r="BU28" s="45">
        <f t="shared" si="42"/>
        <v>-1.1257085341950752E-2</v>
      </c>
      <c r="BV28" s="45">
        <f t="shared" si="42"/>
        <v>-5.8667542768632217E-3</v>
      </c>
      <c r="BW28" s="45">
        <f t="shared" si="42"/>
        <v>-9.5290951548212655E-2</v>
      </c>
      <c r="BX28" s="45">
        <f t="shared" si="42"/>
        <v>-0.16034967372864758</v>
      </c>
      <c r="BY28" s="45">
        <f t="shared" si="42"/>
        <v>-8.1829092363828043E-2</v>
      </c>
      <c r="BZ28" s="45">
        <f t="shared" si="42"/>
        <v>-8.0836742774189563E-2</v>
      </c>
      <c r="CA28" s="45">
        <f t="shared" si="42"/>
        <v>5.8689071477101361E-2</v>
      </c>
      <c r="CB28" s="45">
        <f t="shared" si="42"/>
        <v>-7.2326004298234617E-2</v>
      </c>
      <c r="CC28" s="45">
        <f t="shared" si="42"/>
        <v>-7.170945018067075E-2</v>
      </c>
      <c r="CD28" s="45">
        <f t="shared" si="41"/>
        <v>-1.1287573510271117E-3</v>
      </c>
      <c r="CE28" s="45">
        <f t="shared" si="41"/>
        <v>-9.0139940025699292E-2</v>
      </c>
      <c r="CF28" s="45">
        <f t="shared" si="41"/>
        <v>-0.15407588765124058</v>
      </c>
      <c r="CG28" s="45">
        <f t="shared" si="41"/>
        <v>-8.218684560132343E-2</v>
      </c>
      <c r="CH28" s="45">
        <f t="shared" si="41"/>
        <v>-1.9042541036694977E-2</v>
      </c>
      <c r="CI28" s="45">
        <f t="shared" si="41"/>
        <v>0.13016757015044544</v>
      </c>
      <c r="CJ28" s="45">
        <f t="shared" si="41"/>
        <v>6.9844175236616873E-2</v>
      </c>
      <c r="CK28" s="45">
        <f t="shared" si="41"/>
        <v>-0.15239626769385806</v>
      </c>
      <c r="CL28" s="45">
        <f t="shared" si="41"/>
        <v>-8.8557150989943212E-2</v>
      </c>
      <c r="CM28" s="45">
        <f t="shared" si="41"/>
        <v>-6.9765516915178724E-2</v>
      </c>
      <c r="CN28" s="45">
        <f t="shared" si="41"/>
        <v>-5.7734610802954577E-2</v>
      </c>
      <c r="CO28" s="45">
        <f t="shared" si="41"/>
        <v>-0.14446357784275121</v>
      </c>
      <c r="CP28" s="45">
        <f t="shared" si="41"/>
        <v>-0.2118195297606455</v>
      </c>
      <c r="CU28" s="23">
        <v>27</v>
      </c>
      <c r="CV28" s="24">
        <f t="shared" si="6"/>
        <v>-0.38650396135468418</v>
      </c>
      <c r="CW28" s="24">
        <f t="shared" si="7"/>
        <v>-0.78334424261556224</v>
      </c>
      <c r="CX28" s="24">
        <f t="shared" si="8"/>
        <v>-0.31168667755154122</v>
      </c>
      <c r="CY28" s="24">
        <f t="shared" si="9"/>
        <v>0.29644712625822583</v>
      </c>
      <c r="CZ28" s="24">
        <f t="shared" si="10"/>
        <v>-0.32482421375290776</v>
      </c>
      <c r="DA28" s="24">
        <f t="shared" si="11"/>
        <v>0.25965013908814683</v>
      </c>
      <c r="DB28" s="24">
        <f t="shared" si="12"/>
        <v>0.25042131650317251</v>
      </c>
      <c r="DC28" s="24">
        <f t="shared" si="13"/>
        <v>0.91128336243520724</v>
      </c>
      <c r="DF28" s="18">
        <v>27</v>
      </c>
      <c r="DG28" s="19">
        <f t="shared" si="36"/>
        <v>-5.7734610802954577E-2</v>
      </c>
      <c r="DH28" s="19">
        <f t="shared" si="14"/>
        <v>-1.1257085341950752E-2</v>
      </c>
      <c r="DI28" s="19">
        <f t="shared" si="15"/>
        <v>-0.14446357784275121</v>
      </c>
      <c r="DJ28" s="19">
        <f t="shared" si="16"/>
        <v>-9.5290951548212655E-2</v>
      </c>
      <c r="DK28" s="19">
        <f t="shared" si="17"/>
        <v>-5.8689071477101361E-2</v>
      </c>
      <c r="DL28" s="19">
        <f t="shared" si="18"/>
        <v>-5.8667542768632217E-3</v>
      </c>
      <c r="DM28" s="19">
        <f t="shared" si="19"/>
        <v>-0.13154354390265657</v>
      </c>
      <c r="DN28" s="19">
        <f t="shared" si="20"/>
        <v>-8.1829092363828043E-2</v>
      </c>
      <c r="DO28" s="19">
        <f t="shared" si="21"/>
        <v>-0.13016757015044544</v>
      </c>
      <c r="DP28" s="19">
        <f t="shared" si="22"/>
        <v>-8.0836742774189563E-2</v>
      </c>
      <c r="DQ28" s="19">
        <f t="shared" si="23"/>
        <v>-0.2118195297606455</v>
      </c>
      <c r="DR28" s="19">
        <f t="shared" si="24"/>
        <v>-0.16034967372864758</v>
      </c>
      <c r="DS28" s="19">
        <f t="shared" si="25"/>
        <v>-4.8926338679007614E-2</v>
      </c>
      <c r="DT28" s="19">
        <f t="shared" si="26"/>
        <v>4.8926338679007614E-2</v>
      </c>
      <c r="DX28">
        <v>27</v>
      </c>
      <c r="DY28" s="9">
        <f t="shared" si="4"/>
        <v>-0.66086204593203468</v>
      </c>
      <c r="EM28" s="11">
        <v>27</v>
      </c>
      <c r="EN28" s="8">
        <f t="shared" si="27"/>
        <v>-0.38650396135468418</v>
      </c>
      <c r="EO28" s="8">
        <f t="shared" si="5"/>
        <v>-0.78334424261556224</v>
      </c>
      <c r="EP28" s="8">
        <f t="shared" si="28"/>
        <v>-0.31168667755154122</v>
      </c>
      <c r="EQ28" s="8">
        <f t="shared" si="29"/>
        <v>0.29644712625822583</v>
      </c>
      <c r="ER28" s="8">
        <f t="shared" si="30"/>
        <v>-0.32482421375290776</v>
      </c>
      <c r="ES28" s="8">
        <f t="shared" si="31"/>
        <v>0.25965013908814683</v>
      </c>
      <c r="ET28" s="8">
        <f t="shared" si="32"/>
        <v>0.25042131650317251</v>
      </c>
      <c r="EU28" s="8">
        <f t="shared" si="33"/>
        <v>0.91128336243520724</v>
      </c>
      <c r="EW28" s="50"/>
      <c r="EX28" s="51"/>
      <c r="EY28" s="48"/>
      <c r="EZ28" s="48"/>
      <c r="FA28" s="48"/>
      <c r="FB28" s="48"/>
      <c r="FK28" s="10"/>
      <c r="FL28" s="10"/>
    </row>
    <row r="29" spans="1:168" ht="18.600000000000001" thickBot="1" x14ac:dyDescent="0.4">
      <c r="A29" s="12" t="s">
        <v>50</v>
      </c>
      <c r="B29" s="13">
        <v>27</v>
      </c>
      <c r="C29" s="30">
        <v>0.66898000000000002</v>
      </c>
      <c r="D29" s="31">
        <v>1.10225</v>
      </c>
      <c r="E29" s="32">
        <v>97.906000000000006</v>
      </c>
      <c r="F29" s="31">
        <v>0.57884999999999998</v>
      </c>
      <c r="G29" s="31">
        <v>0.91537000000000002</v>
      </c>
      <c r="H29" s="31">
        <v>1.1036999999999999</v>
      </c>
      <c r="I29" s="31">
        <v>1.5101599999999999</v>
      </c>
      <c r="J29" s="31">
        <v>0.85226000000000002</v>
      </c>
      <c r="K29" s="31">
        <v>0.95496999999999999</v>
      </c>
      <c r="L29" s="32">
        <v>161.52199999999999</v>
      </c>
      <c r="M29" s="31">
        <v>1.64978</v>
      </c>
      <c r="N29" s="31">
        <v>1.8184800000000001</v>
      </c>
      <c r="O29" s="31">
        <v>1.2949600000000001</v>
      </c>
      <c r="P29" s="31">
        <v>1.9356800000000001</v>
      </c>
      <c r="Q29" s="31">
        <v>2.13361</v>
      </c>
      <c r="R29" s="31">
        <v>1.77186</v>
      </c>
      <c r="S29" s="31">
        <v>1.1204799999999999</v>
      </c>
      <c r="T29" s="32">
        <v>189.517</v>
      </c>
      <c r="U29" s="32">
        <v>88.822000000000003</v>
      </c>
      <c r="V29" s="31">
        <v>0.52514000000000005</v>
      </c>
      <c r="W29" s="31">
        <v>0.60690999999999995</v>
      </c>
      <c r="X29" s="31">
        <v>0.83042000000000005</v>
      </c>
      <c r="Y29" s="32">
        <v>106.958</v>
      </c>
      <c r="Z29" s="31">
        <v>0.63236000000000003</v>
      </c>
      <c r="AA29" s="32">
        <v>169.13800000000001</v>
      </c>
      <c r="AB29" s="31">
        <v>1.36833</v>
      </c>
      <c r="AC29" s="31">
        <v>0.86526999999999998</v>
      </c>
      <c r="AD29" s="33">
        <v>146.351</v>
      </c>
      <c r="AH29" s="23">
        <v>28</v>
      </c>
      <c r="AI29" s="42">
        <f>0</f>
        <v>0</v>
      </c>
      <c r="AJ29" s="42">
        <f>0</f>
        <v>0</v>
      </c>
      <c r="AK29" s="42">
        <f>0</f>
        <v>0</v>
      </c>
      <c r="AL29" s="42">
        <f>0</f>
        <v>0</v>
      </c>
      <c r="AM29" s="42">
        <f>0</f>
        <v>0</v>
      </c>
      <c r="AN29" s="42">
        <f>0</f>
        <v>0</v>
      </c>
      <c r="AO29" s="42">
        <f>0</f>
        <v>0</v>
      </c>
      <c r="AP29" s="42">
        <f>0</f>
        <v>0</v>
      </c>
      <c r="AQ29" s="42">
        <f>0</f>
        <v>0</v>
      </c>
      <c r="AR29" s="42">
        <f>0</f>
        <v>0</v>
      </c>
      <c r="AS29" s="42">
        <f>0</f>
        <v>0</v>
      </c>
      <c r="AT29" s="42">
        <f>0</f>
        <v>0</v>
      </c>
      <c r="AU29" s="42">
        <f>0</f>
        <v>0</v>
      </c>
      <c r="AV29" s="42">
        <f>0</f>
        <v>0</v>
      </c>
      <c r="AW29" s="42">
        <f>0</f>
        <v>0</v>
      </c>
      <c r="AX29" s="42">
        <f>0</f>
        <v>0</v>
      </c>
      <c r="AY29" s="42">
        <f>0</f>
        <v>0</v>
      </c>
      <c r="AZ29" s="42">
        <f>0</f>
        <v>0</v>
      </c>
      <c r="BA29" s="42">
        <f>0</f>
        <v>0</v>
      </c>
      <c r="BB29" s="42">
        <f>0</f>
        <v>0</v>
      </c>
      <c r="BC29" s="42">
        <f>0</f>
        <v>0</v>
      </c>
      <c r="BD29" s="42">
        <f>0</f>
        <v>0</v>
      </c>
      <c r="BE29" s="42">
        <f>0</f>
        <v>0</v>
      </c>
      <c r="BF29" s="42">
        <f>0</f>
        <v>0</v>
      </c>
      <c r="BG29" s="42">
        <f>0</f>
        <v>0</v>
      </c>
      <c r="BH29" s="42">
        <f>0</f>
        <v>0</v>
      </c>
      <c r="BI29" s="42">
        <f>0</f>
        <v>0</v>
      </c>
      <c r="BJ29" s="42">
        <f>0</f>
        <v>0</v>
      </c>
      <c r="BN29" s="26">
        <v>28</v>
      </c>
      <c r="BO29" s="46">
        <f t="shared" ref="BO29:BO37" si="43">AI29+SUM(AI30:AI130)</f>
        <v>0</v>
      </c>
      <c r="BP29" s="46">
        <f t="shared" ref="BP29:BP37" si="44">AJ29+SUM(AJ30:AJ130)</f>
        <v>0</v>
      </c>
      <c r="BQ29" s="46">
        <f t="shared" ref="BQ29:CP37" si="45">AK29+SUM(AK30:AK130)</f>
        <v>0</v>
      </c>
      <c r="BR29" s="46">
        <f t="shared" si="45"/>
        <v>0</v>
      </c>
      <c r="BS29" s="46">
        <f t="shared" si="45"/>
        <v>0</v>
      </c>
      <c r="BT29" s="46">
        <f t="shared" si="45"/>
        <v>0</v>
      </c>
      <c r="BU29" s="46">
        <f t="shared" si="45"/>
        <v>0</v>
      </c>
      <c r="BV29" s="46">
        <f t="shared" si="45"/>
        <v>0</v>
      </c>
      <c r="BW29" s="46">
        <f t="shared" si="45"/>
        <v>0</v>
      </c>
      <c r="BX29" s="46">
        <f t="shared" si="45"/>
        <v>0</v>
      </c>
      <c r="BY29" s="46">
        <f t="shared" si="45"/>
        <v>0</v>
      </c>
      <c r="BZ29" s="46">
        <f t="shared" si="45"/>
        <v>0</v>
      </c>
      <c r="CA29" s="46">
        <f t="shared" si="45"/>
        <v>0</v>
      </c>
      <c r="CB29" s="46">
        <f t="shared" si="45"/>
        <v>0</v>
      </c>
      <c r="CC29" s="46">
        <f t="shared" si="45"/>
        <v>0</v>
      </c>
      <c r="CD29" s="46">
        <f t="shared" si="45"/>
        <v>0</v>
      </c>
      <c r="CE29" s="46">
        <f t="shared" si="45"/>
        <v>0</v>
      </c>
      <c r="CF29" s="46">
        <f t="shared" si="45"/>
        <v>0</v>
      </c>
      <c r="CG29" s="46">
        <f t="shared" si="45"/>
        <v>0</v>
      </c>
      <c r="CH29" s="46">
        <f t="shared" si="45"/>
        <v>0</v>
      </c>
      <c r="CI29" s="46">
        <f t="shared" si="45"/>
        <v>0</v>
      </c>
      <c r="CJ29" s="46">
        <f t="shared" si="45"/>
        <v>0</v>
      </c>
      <c r="CK29" s="46">
        <f t="shared" si="45"/>
        <v>0</v>
      </c>
      <c r="CL29" s="46">
        <f t="shared" si="45"/>
        <v>0</v>
      </c>
      <c r="CM29" s="46">
        <f t="shared" si="45"/>
        <v>0</v>
      </c>
      <c r="CN29" s="46">
        <f t="shared" si="45"/>
        <v>0</v>
      </c>
      <c r="CO29" s="46">
        <f t="shared" si="45"/>
        <v>0</v>
      </c>
      <c r="CP29" s="46">
        <f t="shared" si="45"/>
        <v>0</v>
      </c>
      <c r="CU29" s="23">
        <v>28</v>
      </c>
      <c r="CV29" s="25">
        <f t="shared" si="6"/>
        <v>0</v>
      </c>
      <c r="CW29" s="25">
        <f t="shared" si="7"/>
        <v>0</v>
      </c>
      <c r="CX29" s="25">
        <f t="shared" si="8"/>
        <v>0</v>
      </c>
      <c r="CY29" s="25">
        <f t="shared" si="9"/>
        <v>0</v>
      </c>
      <c r="CZ29" s="25">
        <f t="shared" si="10"/>
        <v>0</v>
      </c>
      <c r="DA29" s="25">
        <f t="shared" si="11"/>
        <v>0</v>
      </c>
      <c r="DB29" s="25">
        <f t="shared" si="12"/>
        <v>0</v>
      </c>
      <c r="DC29" s="25">
        <f t="shared" si="13"/>
        <v>0</v>
      </c>
      <c r="DF29" s="18">
        <v>28</v>
      </c>
      <c r="DG29" s="21">
        <f t="shared" si="36"/>
        <v>0</v>
      </c>
      <c r="DH29" s="21">
        <f t="shared" si="14"/>
        <v>0</v>
      </c>
      <c r="DI29" s="21">
        <f t="shared" si="15"/>
        <v>0</v>
      </c>
      <c r="DJ29" s="21">
        <f t="shared" si="16"/>
        <v>0</v>
      </c>
      <c r="DK29" s="21">
        <f t="shared" si="17"/>
        <v>0</v>
      </c>
      <c r="DL29" s="21">
        <f t="shared" si="18"/>
        <v>0</v>
      </c>
      <c r="DM29" s="21">
        <f t="shared" si="19"/>
        <v>0</v>
      </c>
      <c r="DN29" s="21">
        <f t="shared" si="20"/>
        <v>0</v>
      </c>
      <c r="DO29" s="21">
        <f t="shared" si="21"/>
        <v>0</v>
      </c>
      <c r="DP29" s="21">
        <f t="shared" si="22"/>
        <v>0</v>
      </c>
      <c r="DQ29" s="21">
        <f t="shared" si="23"/>
        <v>0</v>
      </c>
      <c r="DR29" s="21">
        <f t="shared" si="24"/>
        <v>0</v>
      </c>
      <c r="DS29" s="21">
        <f t="shared" si="25"/>
        <v>0</v>
      </c>
      <c r="DT29" s="21">
        <f t="shared" si="26"/>
        <v>0</v>
      </c>
      <c r="DX29">
        <v>28</v>
      </c>
      <c r="DY29" s="9">
        <f t="shared" si="4"/>
        <v>0</v>
      </c>
      <c r="EM29" s="11">
        <v>28</v>
      </c>
      <c r="EN29" s="8">
        <f t="shared" si="27"/>
        <v>0</v>
      </c>
      <c r="EO29" s="8">
        <f t="shared" si="5"/>
        <v>0</v>
      </c>
      <c r="EP29" s="8">
        <f t="shared" si="28"/>
        <v>0</v>
      </c>
      <c r="EQ29" s="8">
        <f t="shared" si="29"/>
        <v>0</v>
      </c>
      <c r="ER29" s="8">
        <f t="shared" si="30"/>
        <v>0</v>
      </c>
      <c r="ES29" s="8">
        <f t="shared" si="31"/>
        <v>0</v>
      </c>
      <c r="ET29" s="8">
        <f t="shared" si="32"/>
        <v>0</v>
      </c>
      <c r="EU29" s="8">
        <f t="shared" si="33"/>
        <v>0</v>
      </c>
      <c r="EW29" s="50"/>
      <c r="EX29" s="51"/>
      <c r="EY29" s="48"/>
      <c r="EZ29" s="48"/>
      <c r="FA29" s="48"/>
      <c r="FB29" s="48"/>
      <c r="FK29" s="10"/>
      <c r="FL29" s="10"/>
    </row>
    <row r="30" spans="1:168" ht="18.600000000000001" thickBot="1" x14ac:dyDescent="0.4">
      <c r="C30" s="34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6">
        <v>0</v>
      </c>
      <c r="AH30" s="23">
        <v>29</v>
      </c>
      <c r="AI30" s="41">
        <f t="shared" ref="AI30:AX36" si="46">IF(C30=0,0,(C30-C31)*100/C31)</f>
        <v>0</v>
      </c>
      <c r="AJ30" s="41">
        <f t="shared" si="46"/>
        <v>0</v>
      </c>
      <c r="AK30" s="41">
        <f t="shared" si="46"/>
        <v>0</v>
      </c>
      <c r="AL30" s="41">
        <f t="shared" si="46"/>
        <v>0</v>
      </c>
      <c r="AM30" s="41">
        <f t="shared" si="46"/>
        <v>0</v>
      </c>
      <c r="AN30" s="41">
        <f t="shared" si="46"/>
        <v>0</v>
      </c>
      <c r="AO30" s="41">
        <f t="shared" si="46"/>
        <v>0</v>
      </c>
      <c r="AP30" s="41">
        <f t="shared" si="46"/>
        <v>0</v>
      </c>
      <c r="AQ30" s="41">
        <f t="shared" si="46"/>
        <v>0</v>
      </c>
      <c r="AR30" s="41">
        <f t="shared" si="46"/>
        <v>0</v>
      </c>
      <c r="AS30" s="41">
        <f t="shared" si="46"/>
        <v>0</v>
      </c>
      <c r="AT30" s="41">
        <f t="shared" si="46"/>
        <v>0</v>
      </c>
      <c r="AU30" s="41">
        <f t="shared" si="46"/>
        <v>0</v>
      </c>
      <c r="AV30" s="41">
        <f t="shared" si="46"/>
        <v>0</v>
      </c>
      <c r="AW30" s="41">
        <f t="shared" si="46"/>
        <v>0</v>
      </c>
      <c r="AX30" s="41">
        <f t="shared" si="46"/>
        <v>0</v>
      </c>
      <c r="AY30" s="41">
        <f t="shared" ref="AY30:BJ36" si="47">IF(S30=0,0,(S30-S31)*100/S31)</f>
        <v>0</v>
      </c>
      <c r="AZ30" s="41">
        <f t="shared" si="47"/>
        <v>0</v>
      </c>
      <c r="BA30" s="41">
        <f t="shared" si="47"/>
        <v>0</v>
      </c>
      <c r="BB30" s="41">
        <f t="shared" si="47"/>
        <v>0</v>
      </c>
      <c r="BC30" s="41">
        <f t="shared" si="47"/>
        <v>0</v>
      </c>
      <c r="BD30" s="41">
        <f t="shared" si="47"/>
        <v>0</v>
      </c>
      <c r="BE30" s="41">
        <f t="shared" si="47"/>
        <v>0</v>
      </c>
      <c r="BF30" s="41">
        <f t="shared" si="47"/>
        <v>0</v>
      </c>
      <c r="BG30" s="41">
        <f t="shared" si="47"/>
        <v>0</v>
      </c>
      <c r="BH30" s="41">
        <f t="shared" si="47"/>
        <v>0</v>
      </c>
      <c r="BI30" s="41">
        <f t="shared" si="47"/>
        <v>0</v>
      </c>
      <c r="BJ30" s="41">
        <f t="shared" si="47"/>
        <v>0</v>
      </c>
      <c r="BN30" s="26">
        <v>29</v>
      </c>
      <c r="BO30" s="45">
        <f t="shared" si="43"/>
        <v>0</v>
      </c>
      <c r="BP30" s="45">
        <f t="shared" si="44"/>
        <v>0</v>
      </c>
      <c r="BQ30" s="45">
        <f t="shared" si="45"/>
        <v>0</v>
      </c>
      <c r="BR30" s="45">
        <f t="shared" si="45"/>
        <v>0</v>
      </c>
      <c r="BS30" s="45">
        <f t="shared" si="45"/>
        <v>0</v>
      </c>
      <c r="BT30" s="45">
        <f t="shared" si="45"/>
        <v>0</v>
      </c>
      <c r="BU30" s="45">
        <f t="shared" si="45"/>
        <v>0</v>
      </c>
      <c r="BV30" s="45">
        <f t="shared" si="45"/>
        <v>0</v>
      </c>
      <c r="BW30" s="45">
        <f t="shared" si="45"/>
        <v>0</v>
      </c>
      <c r="BX30" s="45">
        <f t="shared" si="45"/>
        <v>0</v>
      </c>
      <c r="BY30" s="45">
        <f t="shared" si="45"/>
        <v>0</v>
      </c>
      <c r="BZ30" s="45">
        <f t="shared" si="45"/>
        <v>0</v>
      </c>
      <c r="CA30" s="45">
        <f t="shared" si="45"/>
        <v>0</v>
      </c>
      <c r="CB30" s="45">
        <f t="shared" si="45"/>
        <v>0</v>
      </c>
      <c r="CC30" s="45">
        <f t="shared" si="45"/>
        <v>0</v>
      </c>
      <c r="CD30" s="45">
        <f t="shared" si="45"/>
        <v>0</v>
      </c>
      <c r="CE30" s="45">
        <f t="shared" si="45"/>
        <v>0</v>
      </c>
      <c r="CF30" s="45">
        <f t="shared" si="45"/>
        <v>0</v>
      </c>
      <c r="CG30" s="45">
        <f t="shared" si="45"/>
        <v>0</v>
      </c>
      <c r="CH30" s="45">
        <f t="shared" si="45"/>
        <v>0</v>
      </c>
      <c r="CI30" s="45">
        <f t="shared" si="45"/>
        <v>0</v>
      </c>
      <c r="CJ30" s="45">
        <f t="shared" si="45"/>
        <v>0</v>
      </c>
      <c r="CK30" s="45">
        <f t="shared" si="45"/>
        <v>0</v>
      </c>
      <c r="CL30" s="45">
        <f t="shared" si="45"/>
        <v>0</v>
      </c>
      <c r="CM30" s="45">
        <f t="shared" si="45"/>
        <v>0</v>
      </c>
      <c r="CN30" s="45">
        <f t="shared" si="45"/>
        <v>0</v>
      </c>
      <c r="CO30" s="45">
        <f t="shared" si="45"/>
        <v>0</v>
      </c>
      <c r="CP30" s="45">
        <f t="shared" si="45"/>
        <v>0</v>
      </c>
      <c r="CU30" s="23">
        <v>29</v>
      </c>
      <c r="CV30" s="24">
        <f t="shared" si="6"/>
        <v>0</v>
      </c>
      <c r="CW30" s="24">
        <f t="shared" si="7"/>
        <v>0</v>
      </c>
      <c r="CX30" s="24">
        <f t="shared" si="8"/>
        <v>0</v>
      </c>
      <c r="CY30" s="24">
        <f t="shared" si="9"/>
        <v>0</v>
      </c>
      <c r="CZ30" s="24">
        <f t="shared" si="10"/>
        <v>0</v>
      </c>
      <c r="DA30" s="24">
        <f t="shared" si="11"/>
        <v>0</v>
      </c>
      <c r="DB30" s="24">
        <f t="shared" si="12"/>
        <v>0</v>
      </c>
      <c r="DC30" s="24">
        <f t="shared" si="13"/>
        <v>0</v>
      </c>
      <c r="DF30" s="20">
        <v>29</v>
      </c>
      <c r="DG30" s="19">
        <f t="shared" si="36"/>
        <v>0</v>
      </c>
      <c r="DH30" s="19">
        <f t="shared" si="14"/>
        <v>0</v>
      </c>
      <c r="DI30" s="19">
        <f t="shared" si="15"/>
        <v>0</v>
      </c>
      <c r="DJ30" s="19">
        <f t="shared" si="16"/>
        <v>0</v>
      </c>
      <c r="DK30" s="19">
        <f t="shared" si="17"/>
        <v>0</v>
      </c>
      <c r="DL30" s="19">
        <f t="shared" si="18"/>
        <v>0</v>
      </c>
      <c r="DM30" s="19">
        <f t="shared" si="19"/>
        <v>0</v>
      </c>
      <c r="DN30" s="19">
        <f t="shared" si="20"/>
        <v>0</v>
      </c>
      <c r="DO30" s="19">
        <f t="shared" si="21"/>
        <v>0</v>
      </c>
      <c r="DP30" s="19">
        <f t="shared" si="22"/>
        <v>0</v>
      </c>
      <c r="DQ30" s="19">
        <f t="shared" si="23"/>
        <v>0</v>
      </c>
      <c r="DR30" s="19">
        <f t="shared" si="24"/>
        <v>0</v>
      </c>
      <c r="DS30" s="19">
        <f t="shared" si="25"/>
        <v>0</v>
      </c>
      <c r="DT30" s="19">
        <f t="shared" si="26"/>
        <v>0</v>
      </c>
      <c r="DX30">
        <v>29</v>
      </c>
      <c r="DY30" s="9">
        <f t="shared" si="4"/>
        <v>0</v>
      </c>
      <c r="EM30" s="11">
        <v>29</v>
      </c>
      <c r="EN30" s="8">
        <f t="shared" si="27"/>
        <v>0</v>
      </c>
      <c r="EO30" s="8">
        <f t="shared" si="5"/>
        <v>0</v>
      </c>
      <c r="EP30" s="8">
        <f t="shared" si="28"/>
        <v>0</v>
      </c>
      <c r="EQ30" s="8">
        <f t="shared" si="29"/>
        <v>0</v>
      </c>
      <c r="ER30" s="8">
        <f t="shared" si="30"/>
        <v>0</v>
      </c>
      <c r="ES30" s="8">
        <f t="shared" si="31"/>
        <v>0</v>
      </c>
      <c r="ET30" s="8">
        <f t="shared" si="32"/>
        <v>0</v>
      </c>
      <c r="EU30" s="8">
        <f t="shared" si="33"/>
        <v>0</v>
      </c>
      <c r="EW30" s="50"/>
      <c r="EX30" s="51"/>
      <c r="EY30" s="48"/>
      <c r="EZ30" s="48"/>
      <c r="FA30" s="48"/>
      <c r="FB30" s="48"/>
      <c r="FK30" s="10"/>
      <c r="FL30" s="10"/>
    </row>
    <row r="31" spans="1:168" ht="14.4" thickBot="1" x14ac:dyDescent="0.35"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6">
        <v>0</v>
      </c>
      <c r="AH31" s="23">
        <v>30</v>
      </c>
      <c r="AI31" s="42">
        <f t="shared" si="46"/>
        <v>0</v>
      </c>
      <c r="AJ31" s="42">
        <f t="shared" si="46"/>
        <v>0</v>
      </c>
      <c r="AK31" s="42">
        <f t="shared" si="46"/>
        <v>0</v>
      </c>
      <c r="AL31" s="42">
        <f t="shared" si="46"/>
        <v>0</v>
      </c>
      <c r="AM31" s="42">
        <f t="shared" si="46"/>
        <v>0</v>
      </c>
      <c r="AN31" s="42">
        <f t="shared" si="46"/>
        <v>0</v>
      </c>
      <c r="AO31" s="42">
        <f t="shared" si="46"/>
        <v>0</v>
      </c>
      <c r="AP31" s="42">
        <f t="shared" si="46"/>
        <v>0</v>
      </c>
      <c r="AQ31" s="42">
        <f t="shared" si="46"/>
        <v>0</v>
      </c>
      <c r="AR31" s="42">
        <f t="shared" si="46"/>
        <v>0</v>
      </c>
      <c r="AS31" s="42">
        <f t="shared" si="46"/>
        <v>0</v>
      </c>
      <c r="AT31" s="42">
        <f t="shared" si="46"/>
        <v>0</v>
      </c>
      <c r="AU31" s="42">
        <f t="shared" si="46"/>
        <v>0</v>
      </c>
      <c r="AV31" s="42">
        <f t="shared" si="46"/>
        <v>0</v>
      </c>
      <c r="AW31" s="42">
        <f t="shared" si="46"/>
        <v>0</v>
      </c>
      <c r="AX31" s="42">
        <f t="shared" si="46"/>
        <v>0</v>
      </c>
      <c r="AY31" s="42">
        <f t="shared" si="47"/>
        <v>0</v>
      </c>
      <c r="AZ31" s="42">
        <f t="shared" si="47"/>
        <v>0</v>
      </c>
      <c r="BA31" s="42">
        <f t="shared" si="47"/>
        <v>0</v>
      </c>
      <c r="BB31" s="42">
        <f t="shared" si="47"/>
        <v>0</v>
      </c>
      <c r="BC31" s="42">
        <f t="shared" si="47"/>
        <v>0</v>
      </c>
      <c r="BD31" s="42">
        <f t="shared" si="47"/>
        <v>0</v>
      </c>
      <c r="BE31" s="42">
        <f t="shared" si="47"/>
        <v>0</v>
      </c>
      <c r="BF31" s="42">
        <f t="shared" si="47"/>
        <v>0</v>
      </c>
      <c r="BG31" s="42">
        <f t="shared" si="47"/>
        <v>0</v>
      </c>
      <c r="BH31" s="42">
        <f t="shared" si="47"/>
        <v>0</v>
      </c>
      <c r="BI31" s="42">
        <f t="shared" si="47"/>
        <v>0</v>
      </c>
      <c r="BJ31" s="42">
        <f t="shared" si="47"/>
        <v>0</v>
      </c>
      <c r="BN31" s="26">
        <v>30</v>
      </c>
      <c r="BO31" s="46">
        <f t="shared" si="43"/>
        <v>0</v>
      </c>
      <c r="BP31" s="46">
        <f t="shared" si="44"/>
        <v>0</v>
      </c>
      <c r="BQ31" s="46">
        <f t="shared" si="45"/>
        <v>0</v>
      </c>
      <c r="BR31" s="46">
        <f t="shared" si="45"/>
        <v>0</v>
      </c>
      <c r="BS31" s="46">
        <f t="shared" si="45"/>
        <v>0</v>
      </c>
      <c r="BT31" s="46">
        <f t="shared" si="45"/>
        <v>0</v>
      </c>
      <c r="BU31" s="46">
        <f t="shared" si="45"/>
        <v>0</v>
      </c>
      <c r="BV31" s="46">
        <f t="shared" si="45"/>
        <v>0</v>
      </c>
      <c r="BW31" s="46">
        <f t="shared" si="45"/>
        <v>0</v>
      </c>
      <c r="BX31" s="46">
        <f t="shared" si="45"/>
        <v>0</v>
      </c>
      <c r="BY31" s="46">
        <f t="shared" si="45"/>
        <v>0</v>
      </c>
      <c r="BZ31" s="46">
        <f t="shared" si="45"/>
        <v>0</v>
      </c>
      <c r="CA31" s="46">
        <f t="shared" si="45"/>
        <v>0</v>
      </c>
      <c r="CB31" s="46">
        <f t="shared" si="45"/>
        <v>0</v>
      </c>
      <c r="CC31" s="46">
        <f t="shared" si="45"/>
        <v>0</v>
      </c>
      <c r="CD31" s="46">
        <f t="shared" si="45"/>
        <v>0</v>
      </c>
      <c r="CE31" s="46">
        <f t="shared" si="45"/>
        <v>0</v>
      </c>
      <c r="CF31" s="46">
        <f t="shared" si="45"/>
        <v>0</v>
      </c>
      <c r="CG31" s="46">
        <f t="shared" si="45"/>
        <v>0</v>
      </c>
      <c r="CH31" s="46">
        <f t="shared" si="45"/>
        <v>0</v>
      </c>
      <c r="CI31" s="46">
        <f t="shared" si="45"/>
        <v>0</v>
      </c>
      <c r="CJ31" s="46">
        <f t="shared" si="45"/>
        <v>0</v>
      </c>
      <c r="CK31" s="46">
        <f t="shared" si="45"/>
        <v>0</v>
      </c>
      <c r="CL31" s="46">
        <f t="shared" si="45"/>
        <v>0</v>
      </c>
      <c r="CM31" s="46">
        <f t="shared" si="45"/>
        <v>0</v>
      </c>
      <c r="CN31" s="46">
        <f t="shared" si="45"/>
        <v>0</v>
      </c>
      <c r="CO31" s="46">
        <f t="shared" si="45"/>
        <v>0</v>
      </c>
      <c r="CP31" s="46">
        <f t="shared" si="45"/>
        <v>0</v>
      </c>
      <c r="CU31" s="23">
        <v>30</v>
      </c>
      <c r="CV31" s="25">
        <f t="shared" si="6"/>
        <v>0</v>
      </c>
      <c r="CW31" s="25">
        <f t="shared" si="7"/>
        <v>0</v>
      </c>
      <c r="CX31" s="25">
        <f t="shared" si="8"/>
        <v>0</v>
      </c>
      <c r="CY31" s="25">
        <f t="shared" si="9"/>
        <v>0</v>
      </c>
      <c r="CZ31" s="25">
        <f t="shared" si="10"/>
        <v>0</v>
      </c>
      <c r="DA31" s="25">
        <f t="shared" si="11"/>
        <v>0</v>
      </c>
      <c r="DB31" s="25">
        <f t="shared" si="12"/>
        <v>0</v>
      </c>
      <c r="DC31" s="25">
        <f t="shared" si="13"/>
        <v>0</v>
      </c>
      <c r="DF31" s="18">
        <v>30</v>
      </c>
      <c r="DG31" s="21">
        <f t="shared" si="36"/>
        <v>0</v>
      </c>
      <c r="DH31" s="21">
        <f t="shared" si="14"/>
        <v>0</v>
      </c>
      <c r="DI31" s="21">
        <f t="shared" si="15"/>
        <v>0</v>
      </c>
      <c r="DJ31" s="21">
        <f t="shared" si="16"/>
        <v>0</v>
      </c>
      <c r="DK31" s="21">
        <f t="shared" si="17"/>
        <v>0</v>
      </c>
      <c r="DL31" s="21">
        <f t="shared" si="18"/>
        <v>0</v>
      </c>
      <c r="DM31" s="21">
        <f t="shared" si="19"/>
        <v>0</v>
      </c>
      <c r="DN31" s="21">
        <f t="shared" si="20"/>
        <v>0</v>
      </c>
      <c r="DO31" s="21">
        <f t="shared" si="21"/>
        <v>0</v>
      </c>
      <c r="DP31" s="21">
        <f t="shared" si="22"/>
        <v>0</v>
      </c>
      <c r="DQ31" s="21">
        <f t="shared" si="23"/>
        <v>0</v>
      </c>
      <c r="DR31" s="21">
        <f t="shared" si="24"/>
        <v>0</v>
      </c>
      <c r="DS31" s="21">
        <f t="shared" si="25"/>
        <v>0</v>
      </c>
      <c r="DT31" s="21">
        <f t="shared" si="26"/>
        <v>0</v>
      </c>
      <c r="DX31">
        <v>30</v>
      </c>
      <c r="DY31" s="9">
        <f t="shared" si="4"/>
        <v>0</v>
      </c>
      <c r="EM31" s="11">
        <v>30</v>
      </c>
      <c r="EN31" s="8">
        <f t="shared" si="27"/>
        <v>0</v>
      </c>
      <c r="EO31" s="8">
        <f t="shared" si="5"/>
        <v>0</v>
      </c>
      <c r="EP31" s="8">
        <f t="shared" si="28"/>
        <v>0</v>
      </c>
      <c r="EQ31" s="8">
        <f t="shared" si="29"/>
        <v>0</v>
      </c>
      <c r="ER31" s="8">
        <f t="shared" si="30"/>
        <v>0</v>
      </c>
      <c r="ES31" s="8">
        <f t="shared" si="31"/>
        <v>0</v>
      </c>
      <c r="ET31" s="8">
        <f t="shared" si="32"/>
        <v>0</v>
      </c>
      <c r="EU31" s="8">
        <f t="shared" si="33"/>
        <v>0</v>
      </c>
      <c r="EW31" s="48"/>
      <c r="EX31" s="48"/>
      <c r="EY31" s="48"/>
      <c r="EZ31" s="48"/>
      <c r="FA31" s="48"/>
      <c r="FB31" s="48"/>
      <c r="FK31" s="10"/>
      <c r="FL31" s="10"/>
    </row>
    <row r="32" spans="1:168" ht="14.4" thickBot="1" x14ac:dyDescent="0.35"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6">
        <v>0</v>
      </c>
      <c r="AH32" s="23">
        <v>31</v>
      </c>
      <c r="AI32" s="41">
        <f t="shared" si="46"/>
        <v>0</v>
      </c>
      <c r="AJ32" s="41">
        <f t="shared" si="46"/>
        <v>0</v>
      </c>
      <c r="AK32" s="41">
        <f t="shared" si="46"/>
        <v>0</v>
      </c>
      <c r="AL32" s="41">
        <f t="shared" si="46"/>
        <v>0</v>
      </c>
      <c r="AM32" s="41">
        <f t="shared" si="46"/>
        <v>0</v>
      </c>
      <c r="AN32" s="41">
        <f t="shared" si="46"/>
        <v>0</v>
      </c>
      <c r="AO32" s="41">
        <f t="shared" si="46"/>
        <v>0</v>
      </c>
      <c r="AP32" s="41">
        <f t="shared" si="46"/>
        <v>0</v>
      </c>
      <c r="AQ32" s="41">
        <f t="shared" si="46"/>
        <v>0</v>
      </c>
      <c r="AR32" s="41">
        <f t="shared" si="46"/>
        <v>0</v>
      </c>
      <c r="AS32" s="41">
        <f t="shared" si="46"/>
        <v>0</v>
      </c>
      <c r="AT32" s="41">
        <f t="shared" si="46"/>
        <v>0</v>
      </c>
      <c r="AU32" s="41">
        <f t="shared" si="46"/>
        <v>0</v>
      </c>
      <c r="AV32" s="41">
        <f t="shared" si="46"/>
        <v>0</v>
      </c>
      <c r="AW32" s="41">
        <f t="shared" si="46"/>
        <v>0</v>
      </c>
      <c r="AX32" s="41">
        <f t="shared" si="46"/>
        <v>0</v>
      </c>
      <c r="AY32" s="41">
        <f t="shared" si="47"/>
        <v>0</v>
      </c>
      <c r="AZ32" s="41">
        <f t="shared" si="47"/>
        <v>0</v>
      </c>
      <c r="BA32" s="41">
        <f t="shared" si="47"/>
        <v>0</v>
      </c>
      <c r="BB32" s="41">
        <f t="shared" si="47"/>
        <v>0</v>
      </c>
      <c r="BC32" s="41">
        <f t="shared" si="47"/>
        <v>0</v>
      </c>
      <c r="BD32" s="41">
        <f t="shared" si="47"/>
        <v>0</v>
      </c>
      <c r="BE32" s="41">
        <f t="shared" si="47"/>
        <v>0</v>
      </c>
      <c r="BF32" s="41">
        <f t="shared" si="47"/>
        <v>0</v>
      </c>
      <c r="BG32" s="41">
        <f t="shared" si="47"/>
        <v>0</v>
      </c>
      <c r="BH32" s="41">
        <f t="shared" si="47"/>
        <v>0</v>
      </c>
      <c r="BI32" s="41">
        <f t="shared" si="47"/>
        <v>0</v>
      </c>
      <c r="BJ32" s="41">
        <f t="shared" si="47"/>
        <v>0</v>
      </c>
      <c r="BN32" s="26">
        <v>31</v>
      </c>
      <c r="BO32" s="45">
        <f t="shared" si="43"/>
        <v>0</v>
      </c>
      <c r="BP32" s="45">
        <f t="shared" si="44"/>
        <v>0</v>
      </c>
      <c r="BQ32" s="45">
        <f t="shared" si="45"/>
        <v>0</v>
      </c>
      <c r="BR32" s="45">
        <f t="shared" si="45"/>
        <v>0</v>
      </c>
      <c r="BS32" s="45">
        <f t="shared" si="45"/>
        <v>0</v>
      </c>
      <c r="BT32" s="45">
        <f t="shared" si="45"/>
        <v>0</v>
      </c>
      <c r="BU32" s="45">
        <f t="shared" si="45"/>
        <v>0</v>
      </c>
      <c r="BV32" s="45">
        <f t="shared" si="45"/>
        <v>0</v>
      </c>
      <c r="BW32" s="45">
        <f t="shared" si="45"/>
        <v>0</v>
      </c>
      <c r="BX32" s="45">
        <f t="shared" si="45"/>
        <v>0</v>
      </c>
      <c r="BY32" s="45">
        <f t="shared" si="45"/>
        <v>0</v>
      </c>
      <c r="BZ32" s="45">
        <f t="shared" si="45"/>
        <v>0</v>
      </c>
      <c r="CA32" s="45">
        <f t="shared" si="45"/>
        <v>0</v>
      </c>
      <c r="CB32" s="45">
        <f t="shared" si="45"/>
        <v>0</v>
      </c>
      <c r="CC32" s="45">
        <f t="shared" si="45"/>
        <v>0</v>
      </c>
      <c r="CD32" s="45">
        <f t="shared" si="45"/>
        <v>0</v>
      </c>
      <c r="CE32" s="45">
        <f t="shared" si="45"/>
        <v>0</v>
      </c>
      <c r="CF32" s="45">
        <f t="shared" si="45"/>
        <v>0</v>
      </c>
      <c r="CG32" s="45">
        <f t="shared" si="45"/>
        <v>0</v>
      </c>
      <c r="CH32" s="45">
        <f t="shared" si="45"/>
        <v>0</v>
      </c>
      <c r="CI32" s="45">
        <f t="shared" si="45"/>
        <v>0</v>
      </c>
      <c r="CJ32" s="45">
        <f t="shared" si="45"/>
        <v>0</v>
      </c>
      <c r="CK32" s="45">
        <f t="shared" si="45"/>
        <v>0</v>
      </c>
      <c r="CL32" s="45">
        <f t="shared" si="45"/>
        <v>0</v>
      </c>
      <c r="CM32" s="45">
        <f t="shared" si="45"/>
        <v>0</v>
      </c>
      <c r="CN32" s="45">
        <f t="shared" si="45"/>
        <v>0</v>
      </c>
      <c r="CO32" s="45">
        <f t="shared" si="45"/>
        <v>0</v>
      </c>
      <c r="CP32" s="45">
        <f t="shared" si="45"/>
        <v>0</v>
      </c>
      <c r="CU32" s="23">
        <v>31</v>
      </c>
      <c r="CV32" s="24">
        <f t="shared" si="6"/>
        <v>0</v>
      </c>
      <c r="CW32" s="24">
        <f t="shared" si="7"/>
        <v>0</v>
      </c>
      <c r="CX32" s="24">
        <f t="shared" si="8"/>
        <v>0</v>
      </c>
      <c r="CY32" s="24">
        <f t="shared" si="9"/>
        <v>0</v>
      </c>
      <c r="CZ32" s="24">
        <f t="shared" si="10"/>
        <v>0</v>
      </c>
      <c r="DA32" s="24">
        <f t="shared" si="11"/>
        <v>0</v>
      </c>
      <c r="DB32" s="24">
        <f t="shared" si="12"/>
        <v>0</v>
      </c>
      <c r="DC32" s="24">
        <f t="shared" si="13"/>
        <v>0</v>
      </c>
      <c r="DF32" s="20">
        <v>31</v>
      </c>
      <c r="DG32" s="19">
        <f t="shared" si="36"/>
        <v>0</v>
      </c>
      <c r="DH32" s="19">
        <f t="shared" si="14"/>
        <v>0</v>
      </c>
      <c r="DI32" s="19">
        <f t="shared" si="15"/>
        <v>0</v>
      </c>
      <c r="DJ32" s="19">
        <f t="shared" si="16"/>
        <v>0</v>
      </c>
      <c r="DK32" s="19">
        <f t="shared" si="17"/>
        <v>0</v>
      </c>
      <c r="DL32" s="19">
        <f t="shared" si="18"/>
        <v>0</v>
      </c>
      <c r="DM32" s="19">
        <f t="shared" si="19"/>
        <v>0</v>
      </c>
      <c r="DN32" s="19">
        <f t="shared" si="20"/>
        <v>0</v>
      </c>
      <c r="DO32" s="19">
        <f t="shared" si="21"/>
        <v>0</v>
      </c>
      <c r="DP32" s="19">
        <f t="shared" si="22"/>
        <v>0</v>
      </c>
      <c r="DQ32" s="19">
        <f t="shared" si="23"/>
        <v>0</v>
      </c>
      <c r="DR32" s="19">
        <f t="shared" si="24"/>
        <v>0</v>
      </c>
      <c r="DS32" s="19">
        <f t="shared" si="25"/>
        <v>0</v>
      </c>
      <c r="DT32" s="19">
        <f t="shared" si="26"/>
        <v>0</v>
      </c>
      <c r="DX32">
        <v>31</v>
      </c>
      <c r="DY32" s="9">
        <f t="shared" si="4"/>
        <v>0</v>
      </c>
      <c r="EM32" s="7">
        <v>31</v>
      </c>
      <c r="EN32" s="8">
        <f t="shared" si="27"/>
        <v>0</v>
      </c>
      <c r="EO32" s="8">
        <f t="shared" si="5"/>
        <v>0</v>
      </c>
      <c r="EP32" s="8">
        <f t="shared" si="28"/>
        <v>0</v>
      </c>
      <c r="EQ32" s="8">
        <f t="shared" si="29"/>
        <v>0</v>
      </c>
      <c r="ER32" s="8">
        <f t="shared" si="30"/>
        <v>0</v>
      </c>
      <c r="ES32" s="8">
        <f t="shared" si="31"/>
        <v>0</v>
      </c>
      <c r="ET32" s="8">
        <f t="shared" si="32"/>
        <v>0</v>
      </c>
      <c r="EU32" s="8">
        <f t="shared" si="33"/>
        <v>0</v>
      </c>
      <c r="EW32" s="48"/>
      <c r="EX32" s="48"/>
      <c r="EY32" s="48"/>
      <c r="EZ32" s="48"/>
      <c r="FA32" s="48"/>
      <c r="FB32" s="48"/>
      <c r="FK32" s="10"/>
      <c r="FL32" s="10"/>
    </row>
    <row r="33" spans="3:168" ht="14.4" thickBot="1" x14ac:dyDescent="0.35"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6">
        <v>0</v>
      </c>
      <c r="AH33" s="23">
        <v>32</v>
      </c>
      <c r="AI33" s="42">
        <f t="shared" si="46"/>
        <v>0</v>
      </c>
      <c r="AJ33" s="42">
        <f t="shared" si="46"/>
        <v>0</v>
      </c>
      <c r="AK33" s="42">
        <f t="shared" si="46"/>
        <v>0</v>
      </c>
      <c r="AL33" s="42">
        <f t="shared" si="46"/>
        <v>0</v>
      </c>
      <c r="AM33" s="42">
        <f t="shared" si="46"/>
        <v>0</v>
      </c>
      <c r="AN33" s="42">
        <f t="shared" si="46"/>
        <v>0</v>
      </c>
      <c r="AO33" s="42">
        <f t="shared" si="46"/>
        <v>0</v>
      </c>
      <c r="AP33" s="42">
        <f t="shared" si="46"/>
        <v>0</v>
      </c>
      <c r="AQ33" s="42">
        <f t="shared" si="46"/>
        <v>0</v>
      </c>
      <c r="AR33" s="42">
        <f t="shared" si="46"/>
        <v>0</v>
      </c>
      <c r="AS33" s="42">
        <f t="shared" si="46"/>
        <v>0</v>
      </c>
      <c r="AT33" s="42">
        <f t="shared" si="46"/>
        <v>0</v>
      </c>
      <c r="AU33" s="42">
        <f t="shared" si="46"/>
        <v>0</v>
      </c>
      <c r="AV33" s="42">
        <f t="shared" si="46"/>
        <v>0</v>
      </c>
      <c r="AW33" s="42">
        <f t="shared" si="46"/>
        <v>0</v>
      </c>
      <c r="AX33" s="42">
        <f t="shared" si="46"/>
        <v>0</v>
      </c>
      <c r="AY33" s="42">
        <f t="shared" si="47"/>
        <v>0</v>
      </c>
      <c r="AZ33" s="42">
        <f t="shared" si="47"/>
        <v>0</v>
      </c>
      <c r="BA33" s="42">
        <f t="shared" si="47"/>
        <v>0</v>
      </c>
      <c r="BB33" s="42">
        <f t="shared" si="47"/>
        <v>0</v>
      </c>
      <c r="BC33" s="42">
        <f t="shared" si="47"/>
        <v>0</v>
      </c>
      <c r="BD33" s="42">
        <f t="shared" si="47"/>
        <v>0</v>
      </c>
      <c r="BE33" s="42">
        <f t="shared" si="47"/>
        <v>0</v>
      </c>
      <c r="BF33" s="42">
        <f t="shared" si="47"/>
        <v>0</v>
      </c>
      <c r="BG33" s="42">
        <f t="shared" si="47"/>
        <v>0</v>
      </c>
      <c r="BH33" s="42">
        <f t="shared" si="47"/>
        <v>0</v>
      </c>
      <c r="BI33" s="42">
        <f t="shared" si="47"/>
        <v>0</v>
      </c>
      <c r="BJ33" s="42">
        <f t="shared" si="47"/>
        <v>0</v>
      </c>
      <c r="BN33" s="26">
        <v>32</v>
      </c>
      <c r="BO33" s="46">
        <f t="shared" si="43"/>
        <v>0</v>
      </c>
      <c r="BP33" s="46">
        <f t="shared" si="44"/>
        <v>0</v>
      </c>
      <c r="BQ33" s="46">
        <f t="shared" si="45"/>
        <v>0</v>
      </c>
      <c r="BR33" s="46">
        <f t="shared" si="45"/>
        <v>0</v>
      </c>
      <c r="BS33" s="46">
        <f t="shared" si="45"/>
        <v>0</v>
      </c>
      <c r="BT33" s="46">
        <f t="shared" si="45"/>
        <v>0</v>
      </c>
      <c r="BU33" s="46">
        <f t="shared" si="45"/>
        <v>0</v>
      </c>
      <c r="BV33" s="46">
        <f t="shared" si="45"/>
        <v>0</v>
      </c>
      <c r="BW33" s="46">
        <f t="shared" si="45"/>
        <v>0</v>
      </c>
      <c r="BX33" s="46">
        <f t="shared" si="45"/>
        <v>0</v>
      </c>
      <c r="BY33" s="46">
        <f t="shared" si="45"/>
        <v>0</v>
      </c>
      <c r="BZ33" s="46">
        <f t="shared" si="45"/>
        <v>0</v>
      </c>
      <c r="CA33" s="46">
        <f t="shared" si="45"/>
        <v>0</v>
      </c>
      <c r="CB33" s="46">
        <f t="shared" si="45"/>
        <v>0</v>
      </c>
      <c r="CC33" s="46">
        <f t="shared" si="45"/>
        <v>0</v>
      </c>
      <c r="CD33" s="46">
        <f t="shared" si="45"/>
        <v>0</v>
      </c>
      <c r="CE33" s="46">
        <f t="shared" si="45"/>
        <v>0</v>
      </c>
      <c r="CF33" s="46">
        <f t="shared" si="45"/>
        <v>0</v>
      </c>
      <c r="CG33" s="46">
        <f t="shared" si="45"/>
        <v>0</v>
      </c>
      <c r="CH33" s="46">
        <f t="shared" si="45"/>
        <v>0</v>
      </c>
      <c r="CI33" s="46">
        <f t="shared" si="45"/>
        <v>0</v>
      </c>
      <c r="CJ33" s="46">
        <f t="shared" si="45"/>
        <v>0</v>
      </c>
      <c r="CK33" s="46">
        <f t="shared" si="45"/>
        <v>0</v>
      </c>
      <c r="CL33" s="46">
        <f t="shared" si="45"/>
        <v>0</v>
      </c>
      <c r="CM33" s="46">
        <f t="shared" si="45"/>
        <v>0</v>
      </c>
      <c r="CN33" s="46">
        <f t="shared" si="45"/>
        <v>0</v>
      </c>
      <c r="CO33" s="46">
        <f t="shared" si="45"/>
        <v>0</v>
      </c>
      <c r="CP33" s="46">
        <f t="shared" si="45"/>
        <v>0</v>
      </c>
      <c r="CU33" s="23">
        <v>32</v>
      </c>
      <c r="CV33" s="25">
        <f t="shared" si="6"/>
        <v>0</v>
      </c>
      <c r="CW33" s="25">
        <f t="shared" si="7"/>
        <v>0</v>
      </c>
      <c r="CX33" s="25">
        <f t="shared" si="8"/>
        <v>0</v>
      </c>
      <c r="CY33" s="25">
        <f t="shared" si="9"/>
        <v>0</v>
      </c>
      <c r="CZ33" s="25">
        <f t="shared" si="10"/>
        <v>0</v>
      </c>
      <c r="DA33" s="25">
        <f t="shared" si="11"/>
        <v>0</v>
      </c>
      <c r="DB33" s="25">
        <f t="shared" si="12"/>
        <v>0</v>
      </c>
      <c r="DC33" s="25">
        <f t="shared" si="13"/>
        <v>0</v>
      </c>
      <c r="DF33" s="18">
        <v>32</v>
      </c>
      <c r="DG33" s="21">
        <f t="shared" si="36"/>
        <v>0</v>
      </c>
      <c r="DH33" s="21">
        <f t="shared" si="14"/>
        <v>0</v>
      </c>
      <c r="DI33" s="21">
        <f t="shared" si="15"/>
        <v>0</v>
      </c>
      <c r="DJ33" s="21">
        <f t="shared" si="16"/>
        <v>0</v>
      </c>
      <c r="DK33" s="21">
        <f t="shared" si="17"/>
        <v>0</v>
      </c>
      <c r="DL33" s="21">
        <f t="shared" si="18"/>
        <v>0</v>
      </c>
      <c r="DM33" s="21">
        <f t="shared" si="19"/>
        <v>0</v>
      </c>
      <c r="DN33" s="21">
        <f t="shared" si="20"/>
        <v>0</v>
      </c>
      <c r="DO33" s="21">
        <f t="shared" si="21"/>
        <v>0</v>
      </c>
      <c r="DP33" s="21">
        <f t="shared" si="22"/>
        <v>0</v>
      </c>
      <c r="DQ33" s="21">
        <f t="shared" si="23"/>
        <v>0</v>
      </c>
      <c r="DR33" s="21">
        <f t="shared" si="24"/>
        <v>0</v>
      </c>
      <c r="DS33" s="21">
        <f t="shared" si="25"/>
        <v>0</v>
      </c>
      <c r="DT33" s="21">
        <f t="shared" si="26"/>
        <v>0</v>
      </c>
      <c r="DX33">
        <v>32</v>
      </c>
      <c r="DY33" s="9">
        <f t="shared" si="4"/>
        <v>0</v>
      </c>
      <c r="EM33" s="11">
        <v>32</v>
      </c>
      <c r="EN33" s="8">
        <f t="shared" si="27"/>
        <v>0</v>
      </c>
      <c r="EO33" s="8">
        <f t="shared" si="5"/>
        <v>0</v>
      </c>
      <c r="EP33" s="8">
        <f t="shared" si="28"/>
        <v>0</v>
      </c>
      <c r="EQ33" s="8">
        <f t="shared" si="29"/>
        <v>0</v>
      </c>
      <c r="ER33" s="8">
        <f t="shared" si="30"/>
        <v>0</v>
      </c>
      <c r="ES33" s="8">
        <f t="shared" si="31"/>
        <v>0</v>
      </c>
      <c r="ET33" s="8">
        <f t="shared" si="32"/>
        <v>0</v>
      </c>
      <c r="EU33" s="8">
        <f t="shared" si="33"/>
        <v>0</v>
      </c>
      <c r="EW33" s="48"/>
      <c r="EX33" s="48"/>
      <c r="EY33" s="48"/>
      <c r="EZ33" s="48"/>
      <c r="FA33" s="48"/>
      <c r="FB33" s="48"/>
      <c r="FK33" s="10"/>
      <c r="FL33" s="10"/>
    </row>
    <row r="34" spans="3:168" ht="14.4" thickBot="1" x14ac:dyDescent="0.35">
      <c r="C34" s="34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6">
        <v>0</v>
      </c>
      <c r="AH34" s="23">
        <v>33</v>
      </c>
      <c r="AI34" s="41">
        <f t="shared" si="46"/>
        <v>0</v>
      </c>
      <c r="AJ34" s="41">
        <f t="shared" si="46"/>
        <v>0</v>
      </c>
      <c r="AK34" s="41">
        <f t="shared" si="46"/>
        <v>0</v>
      </c>
      <c r="AL34" s="41">
        <f t="shared" si="46"/>
        <v>0</v>
      </c>
      <c r="AM34" s="41">
        <f t="shared" si="46"/>
        <v>0</v>
      </c>
      <c r="AN34" s="41">
        <f t="shared" si="46"/>
        <v>0</v>
      </c>
      <c r="AO34" s="41">
        <f t="shared" si="46"/>
        <v>0</v>
      </c>
      <c r="AP34" s="41">
        <f t="shared" si="46"/>
        <v>0</v>
      </c>
      <c r="AQ34" s="41">
        <f t="shared" si="46"/>
        <v>0</v>
      </c>
      <c r="AR34" s="41">
        <f t="shared" si="46"/>
        <v>0</v>
      </c>
      <c r="AS34" s="41">
        <f t="shared" si="46"/>
        <v>0</v>
      </c>
      <c r="AT34" s="41">
        <f t="shared" si="46"/>
        <v>0</v>
      </c>
      <c r="AU34" s="41">
        <f t="shared" si="46"/>
        <v>0</v>
      </c>
      <c r="AV34" s="41">
        <f t="shared" si="46"/>
        <v>0</v>
      </c>
      <c r="AW34" s="41">
        <f t="shared" si="46"/>
        <v>0</v>
      </c>
      <c r="AX34" s="41">
        <f t="shared" si="46"/>
        <v>0</v>
      </c>
      <c r="AY34" s="41">
        <f t="shared" si="47"/>
        <v>0</v>
      </c>
      <c r="AZ34" s="41">
        <f t="shared" si="47"/>
        <v>0</v>
      </c>
      <c r="BA34" s="41">
        <f t="shared" si="47"/>
        <v>0</v>
      </c>
      <c r="BB34" s="41">
        <f t="shared" si="47"/>
        <v>0</v>
      </c>
      <c r="BC34" s="41">
        <f t="shared" si="47"/>
        <v>0</v>
      </c>
      <c r="BD34" s="41">
        <f t="shared" si="47"/>
        <v>0</v>
      </c>
      <c r="BE34" s="41">
        <f t="shared" si="47"/>
        <v>0</v>
      </c>
      <c r="BF34" s="41">
        <f t="shared" si="47"/>
        <v>0</v>
      </c>
      <c r="BG34" s="41">
        <f t="shared" si="47"/>
        <v>0</v>
      </c>
      <c r="BH34" s="41">
        <f t="shared" si="47"/>
        <v>0</v>
      </c>
      <c r="BI34" s="41">
        <f t="shared" si="47"/>
        <v>0</v>
      </c>
      <c r="BJ34" s="41">
        <f t="shared" si="47"/>
        <v>0</v>
      </c>
      <c r="BN34" s="26">
        <v>33</v>
      </c>
      <c r="BO34" s="45">
        <f t="shared" si="43"/>
        <v>0</v>
      </c>
      <c r="BP34" s="45">
        <f t="shared" si="44"/>
        <v>0</v>
      </c>
      <c r="BQ34" s="45">
        <f t="shared" si="45"/>
        <v>0</v>
      </c>
      <c r="BR34" s="45">
        <f t="shared" si="45"/>
        <v>0</v>
      </c>
      <c r="BS34" s="45">
        <f t="shared" si="45"/>
        <v>0</v>
      </c>
      <c r="BT34" s="45">
        <f t="shared" si="45"/>
        <v>0</v>
      </c>
      <c r="BU34" s="45">
        <f t="shared" si="45"/>
        <v>0</v>
      </c>
      <c r="BV34" s="45">
        <f t="shared" si="45"/>
        <v>0</v>
      </c>
      <c r="BW34" s="45">
        <f t="shared" si="45"/>
        <v>0</v>
      </c>
      <c r="BX34" s="45">
        <f t="shared" si="45"/>
        <v>0</v>
      </c>
      <c r="BY34" s="45">
        <f t="shared" si="45"/>
        <v>0</v>
      </c>
      <c r="BZ34" s="45">
        <f t="shared" si="45"/>
        <v>0</v>
      </c>
      <c r="CA34" s="45">
        <f t="shared" si="45"/>
        <v>0</v>
      </c>
      <c r="CB34" s="45">
        <f t="shared" si="45"/>
        <v>0</v>
      </c>
      <c r="CC34" s="45">
        <f t="shared" si="45"/>
        <v>0</v>
      </c>
      <c r="CD34" s="45">
        <f t="shared" si="45"/>
        <v>0</v>
      </c>
      <c r="CE34" s="45">
        <f t="shared" si="45"/>
        <v>0</v>
      </c>
      <c r="CF34" s="45">
        <f t="shared" si="45"/>
        <v>0</v>
      </c>
      <c r="CG34" s="45">
        <f t="shared" si="45"/>
        <v>0</v>
      </c>
      <c r="CH34" s="45">
        <f t="shared" si="45"/>
        <v>0</v>
      </c>
      <c r="CI34" s="45">
        <f t="shared" si="45"/>
        <v>0</v>
      </c>
      <c r="CJ34" s="45">
        <f t="shared" si="45"/>
        <v>0</v>
      </c>
      <c r="CK34" s="45">
        <f t="shared" si="45"/>
        <v>0</v>
      </c>
      <c r="CL34" s="45">
        <f t="shared" si="45"/>
        <v>0</v>
      </c>
      <c r="CM34" s="45">
        <f t="shared" si="45"/>
        <v>0</v>
      </c>
      <c r="CN34" s="45">
        <f t="shared" si="45"/>
        <v>0</v>
      </c>
      <c r="CO34" s="45">
        <f t="shared" si="45"/>
        <v>0</v>
      </c>
      <c r="CP34" s="45">
        <f t="shared" si="45"/>
        <v>0</v>
      </c>
      <c r="CU34" s="23">
        <v>33</v>
      </c>
      <c r="CV34" s="24">
        <f t="shared" si="6"/>
        <v>0</v>
      </c>
      <c r="CW34" s="24">
        <f t="shared" si="7"/>
        <v>0</v>
      </c>
      <c r="CX34" s="24">
        <f t="shared" si="8"/>
        <v>0</v>
      </c>
      <c r="CY34" s="24">
        <f t="shared" si="9"/>
        <v>0</v>
      </c>
      <c r="CZ34" s="24">
        <f t="shared" si="10"/>
        <v>0</v>
      </c>
      <c r="DA34" s="24">
        <f t="shared" si="11"/>
        <v>0</v>
      </c>
      <c r="DB34" s="24">
        <f t="shared" si="12"/>
        <v>0</v>
      </c>
      <c r="DC34" s="24">
        <f t="shared" si="13"/>
        <v>0</v>
      </c>
      <c r="DF34" s="20">
        <v>33</v>
      </c>
      <c r="DG34" s="19">
        <f t="shared" si="36"/>
        <v>0</v>
      </c>
      <c r="DH34" s="19">
        <f t="shared" si="14"/>
        <v>0</v>
      </c>
      <c r="DI34" s="19">
        <f t="shared" si="15"/>
        <v>0</v>
      </c>
      <c r="DJ34" s="19">
        <f t="shared" si="16"/>
        <v>0</v>
      </c>
      <c r="DK34" s="19">
        <f t="shared" si="17"/>
        <v>0</v>
      </c>
      <c r="DL34" s="19">
        <f t="shared" si="18"/>
        <v>0</v>
      </c>
      <c r="DM34" s="19">
        <f t="shared" si="19"/>
        <v>0</v>
      </c>
      <c r="DN34" s="19">
        <f t="shared" si="20"/>
        <v>0</v>
      </c>
      <c r="DO34" s="19">
        <f t="shared" si="21"/>
        <v>0</v>
      </c>
      <c r="DP34" s="19">
        <f t="shared" si="22"/>
        <v>0</v>
      </c>
      <c r="DQ34" s="19">
        <f t="shared" si="23"/>
        <v>0</v>
      </c>
      <c r="DR34" s="19">
        <f t="shared" si="24"/>
        <v>0</v>
      </c>
      <c r="DS34" s="19">
        <f t="shared" si="25"/>
        <v>0</v>
      </c>
      <c r="DT34" s="19">
        <f t="shared" si="26"/>
        <v>0</v>
      </c>
      <c r="DX34">
        <v>33</v>
      </c>
      <c r="DY34" s="9">
        <f t="shared" si="4"/>
        <v>0</v>
      </c>
      <c r="EM34" s="11">
        <v>33</v>
      </c>
      <c r="EN34" s="8">
        <f t="shared" si="27"/>
        <v>0</v>
      </c>
      <c r="EO34" s="8">
        <f t="shared" si="5"/>
        <v>0</v>
      </c>
      <c r="EP34" s="8">
        <f t="shared" si="28"/>
        <v>0</v>
      </c>
      <c r="EQ34" s="8">
        <f t="shared" si="29"/>
        <v>0</v>
      </c>
      <c r="ER34" s="8">
        <f t="shared" si="30"/>
        <v>0</v>
      </c>
      <c r="ES34" s="8">
        <f t="shared" si="31"/>
        <v>0</v>
      </c>
      <c r="ET34" s="8">
        <f t="shared" si="32"/>
        <v>0</v>
      </c>
      <c r="EU34" s="8">
        <f t="shared" si="33"/>
        <v>0</v>
      </c>
      <c r="EW34" s="48"/>
      <c r="EX34" s="48"/>
      <c r="EY34" s="48"/>
      <c r="EZ34" s="48"/>
      <c r="FA34" s="48"/>
      <c r="FB34" s="48"/>
      <c r="FK34" s="10"/>
      <c r="FL34" s="10"/>
    </row>
    <row r="35" spans="3:168" ht="14.4" thickBot="1" x14ac:dyDescent="0.35">
      <c r="C35" s="34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6">
        <v>0</v>
      </c>
      <c r="AH35" s="23">
        <v>34</v>
      </c>
      <c r="AI35" s="42">
        <f t="shared" si="46"/>
        <v>0</v>
      </c>
      <c r="AJ35" s="42">
        <f t="shared" si="46"/>
        <v>0</v>
      </c>
      <c r="AK35" s="42">
        <f t="shared" si="46"/>
        <v>0</v>
      </c>
      <c r="AL35" s="42">
        <f t="shared" si="46"/>
        <v>0</v>
      </c>
      <c r="AM35" s="42">
        <f t="shared" si="46"/>
        <v>0</v>
      </c>
      <c r="AN35" s="42">
        <f t="shared" si="46"/>
        <v>0</v>
      </c>
      <c r="AO35" s="42">
        <f t="shared" si="46"/>
        <v>0</v>
      </c>
      <c r="AP35" s="42">
        <f t="shared" si="46"/>
        <v>0</v>
      </c>
      <c r="AQ35" s="42">
        <f t="shared" si="46"/>
        <v>0</v>
      </c>
      <c r="AR35" s="42">
        <f t="shared" si="46"/>
        <v>0</v>
      </c>
      <c r="AS35" s="42">
        <f t="shared" si="46"/>
        <v>0</v>
      </c>
      <c r="AT35" s="42">
        <f t="shared" si="46"/>
        <v>0</v>
      </c>
      <c r="AU35" s="42">
        <f t="shared" si="46"/>
        <v>0</v>
      </c>
      <c r="AV35" s="42">
        <f t="shared" si="46"/>
        <v>0</v>
      </c>
      <c r="AW35" s="42">
        <f t="shared" si="46"/>
        <v>0</v>
      </c>
      <c r="AX35" s="42">
        <f t="shared" si="46"/>
        <v>0</v>
      </c>
      <c r="AY35" s="42">
        <f t="shared" si="47"/>
        <v>0</v>
      </c>
      <c r="AZ35" s="42">
        <f t="shared" si="47"/>
        <v>0</v>
      </c>
      <c r="BA35" s="42">
        <f t="shared" si="47"/>
        <v>0</v>
      </c>
      <c r="BB35" s="42">
        <f t="shared" si="47"/>
        <v>0</v>
      </c>
      <c r="BC35" s="42">
        <f t="shared" si="47"/>
        <v>0</v>
      </c>
      <c r="BD35" s="42">
        <f t="shared" si="47"/>
        <v>0</v>
      </c>
      <c r="BE35" s="42">
        <f t="shared" si="47"/>
        <v>0</v>
      </c>
      <c r="BF35" s="42">
        <f t="shared" si="47"/>
        <v>0</v>
      </c>
      <c r="BG35" s="42">
        <f t="shared" si="47"/>
        <v>0</v>
      </c>
      <c r="BH35" s="42">
        <f t="shared" si="47"/>
        <v>0</v>
      </c>
      <c r="BI35" s="42">
        <f t="shared" si="47"/>
        <v>0</v>
      </c>
      <c r="BJ35" s="42">
        <f t="shared" si="47"/>
        <v>0</v>
      </c>
      <c r="BN35" s="26">
        <v>34</v>
      </c>
      <c r="BO35" s="46">
        <f t="shared" si="43"/>
        <v>0</v>
      </c>
      <c r="BP35" s="46">
        <f t="shared" si="44"/>
        <v>0</v>
      </c>
      <c r="BQ35" s="46">
        <f t="shared" si="45"/>
        <v>0</v>
      </c>
      <c r="BR35" s="46">
        <f t="shared" si="45"/>
        <v>0</v>
      </c>
      <c r="BS35" s="46">
        <f t="shared" si="45"/>
        <v>0</v>
      </c>
      <c r="BT35" s="46">
        <f t="shared" si="45"/>
        <v>0</v>
      </c>
      <c r="BU35" s="46">
        <f t="shared" si="45"/>
        <v>0</v>
      </c>
      <c r="BV35" s="46">
        <f t="shared" si="45"/>
        <v>0</v>
      </c>
      <c r="BW35" s="46">
        <f t="shared" si="45"/>
        <v>0</v>
      </c>
      <c r="BX35" s="46">
        <f t="shared" si="45"/>
        <v>0</v>
      </c>
      <c r="BY35" s="46">
        <f t="shared" si="45"/>
        <v>0</v>
      </c>
      <c r="BZ35" s="46">
        <f t="shared" si="45"/>
        <v>0</v>
      </c>
      <c r="CA35" s="46">
        <f t="shared" si="45"/>
        <v>0</v>
      </c>
      <c r="CB35" s="46">
        <f t="shared" si="45"/>
        <v>0</v>
      </c>
      <c r="CC35" s="46">
        <f t="shared" si="45"/>
        <v>0</v>
      </c>
      <c r="CD35" s="46">
        <f t="shared" si="45"/>
        <v>0</v>
      </c>
      <c r="CE35" s="46">
        <f t="shared" si="45"/>
        <v>0</v>
      </c>
      <c r="CF35" s="46">
        <f t="shared" si="45"/>
        <v>0</v>
      </c>
      <c r="CG35" s="46">
        <f t="shared" si="45"/>
        <v>0</v>
      </c>
      <c r="CH35" s="46">
        <f t="shared" si="45"/>
        <v>0</v>
      </c>
      <c r="CI35" s="46">
        <f t="shared" si="45"/>
        <v>0</v>
      </c>
      <c r="CJ35" s="46">
        <f t="shared" si="45"/>
        <v>0</v>
      </c>
      <c r="CK35" s="46">
        <f t="shared" si="45"/>
        <v>0</v>
      </c>
      <c r="CL35" s="46">
        <f t="shared" si="45"/>
        <v>0</v>
      </c>
      <c r="CM35" s="46">
        <f t="shared" si="45"/>
        <v>0</v>
      </c>
      <c r="CN35" s="46">
        <f t="shared" si="45"/>
        <v>0</v>
      </c>
      <c r="CO35" s="46">
        <f t="shared" si="45"/>
        <v>0</v>
      </c>
      <c r="CP35" s="46">
        <f t="shared" si="45"/>
        <v>0</v>
      </c>
      <c r="CU35" s="23">
        <v>34</v>
      </c>
      <c r="CV35" s="25">
        <f t="shared" si="6"/>
        <v>0</v>
      </c>
      <c r="CW35" s="25">
        <f t="shared" si="7"/>
        <v>0</v>
      </c>
      <c r="CX35" s="25">
        <f t="shared" si="8"/>
        <v>0</v>
      </c>
      <c r="CY35" s="25">
        <f t="shared" si="9"/>
        <v>0</v>
      </c>
      <c r="CZ35" s="25">
        <f t="shared" si="10"/>
        <v>0</v>
      </c>
      <c r="DA35" s="25">
        <f t="shared" si="11"/>
        <v>0</v>
      </c>
      <c r="DB35" s="25">
        <f t="shared" si="12"/>
        <v>0</v>
      </c>
      <c r="DC35" s="25">
        <f t="shared" si="13"/>
        <v>0</v>
      </c>
      <c r="DF35" s="18">
        <v>34</v>
      </c>
      <c r="DG35" s="21">
        <f t="shared" si="36"/>
        <v>0</v>
      </c>
      <c r="DH35" s="21">
        <f t="shared" si="14"/>
        <v>0</v>
      </c>
      <c r="DI35" s="21">
        <f t="shared" si="15"/>
        <v>0</v>
      </c>
      <c r="DJ35" s="21">
        <f t="shared" si="16"/>
        <v>0</v>
      </c>
      <c r="DK35" s="21">
        <f t="shared" si="17"/>
        <v>0</v>
      </c>
      <c r="DL35" s="21">
        <f t="shared" si="18"/>
        <v>0</v>
      </c>
      <c r="DM35" s="21">
        <f t="shared" si="19"/>
        <v>0</v>
      </c>
      <c r="DN35" s="21">
        <f t="shared" si="20"/>
        <v>0</v>
      </c>
      <c r="DO35" s="21">
        <f t="shared" si="21"/>
        <v>0</v>
      </c>
      <c r="DP35" s="21">
        <f t="shared" si="22"/>
        <v>0</v>
      </c>
      <c r="DQ35" s="21">
        <f t="shared" si="23"/>
        <v>0</v>
      </c>
      <c r="DR35" s="21">
        <f t="shared" si="24"/>
        <v>0</v>
      </c>
      <c r="DS35" s="21">
        <f t="shared" si="25"/>
        <v>0</v>
      </c>
      <c r="DT35" s="21">
        <f t="shared" si="26"/>
        <v>0</v>
      </c>
      <c r="DX35">
        <v>34</v>
      </c>
      <c r="DY35" s="9">
        <f t="shared" si="4"/>
        <v>0</v>
      </c>
      <c r="EM35" s="11">
        <v>34</v>
      </c>
      <c r="EN35" s="8">
        <f t="shared" si="27"/>
        <v>0</v>
      </c>
      <c r="EO35" s="8">
        <f t="shared" si="5"/>
        <v>0</v>
      </c>
      <c r="EP35" s="8">
        <f t="shared" si="28"/>
        <v>0</v>
      </c>
      <c r="EQ35" s="8">
        <f t="shared" si="29"/>
        <v>0</v>
      </c>
      <c r="ER35" s="8">
        <f t="shared" si="30"/>
        <v>0</v>
      </c>
      <c r="ES35" s="8">
        <f t="shared" si="31"/>
        <v>0</v>
      </c>
      <c r="ET35" s="8">
        <f t="shared" si="32"/>
        <v>0</v>
      </c>
      <c r="EU35" s="8">
        <f t="shared" si="33"/>
        <v>0</v>
      </c>
      <c r="EW35" s="48"/>
      <c r="EX35" s="48"/>
      <c r="EY35" s="48"/>
      <c r="EZ35" s="48"/>
      <c r="FA35" s="48"/>
      <c r="FB35" s="48"/>
      <c r="FK35" s="10"/>
      <c r="FL35" s="10"/>
    </row>
    <row r="36" spans="3:168" ht="14.4" thickBot="1" x14ac:dyDescent="0.35">
      <c r="C36" s="34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6">
        <v>0</v>
      </c>
      <c r="AH36" s="23">
        <v>35</v>
      </c>
      <c r="AI36" s="41">
        <f t="shared" si="46"/>
        <v>0</v>
      </c>
      <c r="AJ36" s="41">
        <f t="shared" si="46"/>
        <v>0</v>
      </c>
      <c r="AK36" s="41">
        <f t="shared" si="46"/>
        <v>0</v>
      </c>
      <c r="AL36" s="41">
        <f t="shared" si="46"/>
        <v>0</v>
      </c>
      <c r="AM36" s="41">
        <f t="shared" si="46"/>
        <v>0</v>
      </c>
      <c r="AN36" s="41">
        <f t="shared" si="46"/>
        <v>0</v>
      </c>
      <c r="AO36" s="41">
        <f t="shared" si="46"/>
        <v>0</v>
      </c>
      <c r="AP36" s="41">
        <f t="shared" si="46"/>
        <v>0</v>
      </c>
      <c r="AQ36" s="41">
        <f t="shared" si="46"/>
        <v>0</v>
      </c>
      <c r="AR36" s="41">
        <f t="shared" si="46"/>
        <v>0</v>
      </c>
      <c r="AS36" s="41">
        <f t="shared" si="46"/>
        <v>0</v>
      </c>
      <c r="AT36" s="41">
        <f t="shared" si="46"/>
        <v>0</v>
      </c>
      <c r="AU36" s="41">
        <f t="shared" si="46"/>
        <v>0</v>
      </c>
      <c r="AV36" s="41">
        <f t="shared" si="46"/>
        <v>0</v>
      </c>
      <c r="AW36" s="41">
        <f t="shared" si="46"/>
        <v>0</v>
      </c>
      <c r="AX36" s="41">
        <f t="shared" si="46"/>
        <v>0</v>
      </c>
      <c r="AY36" s="41">
        <f t="shared" si="47"/>
        <v>0</v>
      </c>
      <c r="AZ36" s="41">
        <f t="shared" si="47"/>
        <v>0</v>
      </c>
      <c r="BA36" s="41">
        <f t="shared" si="47"/>
        <v>0</v>
      </c>
      <c r="BB36" s="41">
        <f t="shared" si="47"/>
        <v>0</v>
      </c>
      <c r="BC36" s="41">
        <f t="shared" si="47"/>
        <v>0</v>
      </c>
      <c r="BD36" s="41">
        <f t="shared" si="47"/>
        <v>0</v>
      </c>
      <c r="BE36" s="41">
        <f t="shared" si="47"/>
        <v>0</v>
      </c>
      <c r="BF36" s="41">
        <f t="shared" si="47"/>
        <v>0</v>
      </c>
      <c r="BG36" s="41">
        <f t="shared" si="47"/>
        <v>0</v>
      </c>
      <c r="BH36" s="41">
        <f t="shared" si="47"/>
        <v>0</v>
      </c>
      <c r="BI36" s="41">
        <f t="shared" si="47"/>
        <v>0</v>
      </c>
      <c r="BJ36" s="41">
        <f t="shared" si="47"/>
        <v>0</v>
      </c>
      <c r="BN36" s="26">
        <v>35</v>
      </c>
      <c r="BO36" s="45">
        <f t="shared" si="43"/>
        <v>0</v>
      </c>
      <c r="BP36" s="45">
        <f t="shared" si="44"/>
        <v>0</v>
      </c>
      <c r="BQ36" s="45">
        <f t="shared" si="45"/>
        <v>0</v>
      </c>
      <c r="BR36" s="45">
        <f t="shared" si="45"/>
        <v>0</v>
      </c>
      <c r="BS36" s="45">
        <f t="shared" si="45"/>
        <v>0</v>
      </c>
      <c r="BT36" s="45">
        <f t="shared" si="45"/>
        <v>0</v>
      </c>
      <c r="BU36" s="45">
        <f t="shared" si="45"/>
        <v>0</v>
      </c>
      <c r="BV36" s="45">
        <f t="shared" si="45"/>
        <v>0</v>
      </c>
      <c r="BW36" s="45">
        <f t="shared" si="45"/>
        <v>0</v>
      </c>
      <c r="BX36" s="45">
        <f t="shared" si="45"/>
        <v>0</v>
      </c>
      <c r="BY36" s="45">
        <f t="shared" si="45"/>
        <v>0</v>
      </c>
      <c r="BZ36" s="45">
        <f t="shared" si="45"/>
        <v>0</v>
      </c>
      <c r="CA36" s="45">
        <f t="shared" si="45"/>
        <v>0</v>
      </c>
      <c r="CB36" s="45">
        <f t="shared" si="45"/>
        <v>0</v>
      </c>
      <c r="CC36" s="45">
        <f t="shared" si="45"/>
        <v>0</v>
      </c>
      <c r="CD36" s="45">
        <f t="shared" si="45"/>
        <v>0</v>
      </c>
      <c r="CE36" s="45">
        <f t="shared" si="45"/>
        <v>0</v>
      </c>
      <c r="CF36" s="45">
        <f t="shared" si="45"/>
        <v>0</v>
      </c>
      <c r="CG36" s="45">
        <f t="shared" si="45"/>
        <v>0</v>
      </c>
      <c r="CH36" s="45">
        <f t="shared" si="45"/>
        <v>0</v>
      </c>
      <c r="CI36" s="45">
        <f t="shared" si="45"/>
        <v>0</v>
      </c>
      <c r="CJ36" s="45">
        <f t="shared" si="45"/>
        <v>0</v>
      </c>
      <c r="CK36" s="45">
        <f t="shared" si="45"/>
        <v>0</v>
      </c>
      <c r="CL36" s="45">
        <f t="shared" si="45"/>
        <v>0</v>
      </c>
      <c r="CM36" s="45">
        <f t="shared" si="45"/>
        <v>0</v>
      </c>
      <c r="CN36" s="45">
        <f t="shared" si="45"/>
        <v>0</v>
      </c>
      <c r="CO36" s="45">
        <f t="shared" si="45"/>
        <v>0</v>
      </c>
      <c r="CP36" s="45">
        <f t="shared" si="45"/>
        <v>0</v>
      </c>
      <c r="CU36" s="23">
        <v>35</v>
      </c>
      <c r="CV36" s="24">
        <f t="shared" si="6"/>
        <v>0</v>
      </c>
      <c r="CW36" s="24">
        <f t="shared" si="7"/>
        <v>0</v>
      </c>
      <c r="CX36" s="24">
        <f t="shared" si="8"/>
        <v>0</v>
      </c>
      <c r="CY36" s="24">
        <f t="shared" si="9"/>
        <v>0</v>
      </c>
      <c r="CZ36" s="24">
        <f t="shared" si="10"/>
        <v>0</v>
      </c>
      <c r="DA36" s="24">
        <f t="shared" si="11"/>
        <v>0</v>
      </c>
      <c r="DB36" s="24">
        <f t="shared" si="12"/>
        <v>0</v>
      </c>
      <c r="DC36" s="24">
        <f t="shared" si="13"/>
        <v>0</v>
      </c>
      <c r="DF36" s="20">
        <v>35</v>
      </c>
      <c r="DG36" s="19">
        <f t="shared" si="36"/>
        <v>0</v>
      </c>
      <c r="DH36" s="19">
        <f t="shared" si="14"/>
        <v>0</v>
      </c>
      <c r="DI36" s="19">
        <f t="shared" si="15"/>
        <v>0</v>
      </c>
      <c r="DJ36" s="19">
        <f t="shared" si="16"/>
        <v>0</v>
      </c>
      <c r="DK36" s="19">
        <f t="shared" si="17"/>
        <v>0</v>
      </c>
      <c r="DL36" s="19">
        <f t="shared" si="18"/>
        <v>0</v>
      </c>
      <c r="DM36" s="19">
        <f t="shared" si="19"/>
        <v>0</v>
      </c>
      <c r="DN36" s="19">
        <f t="shared" si="20"/>
        <v>0</v>
      </c>
      <c r="DO36" s="19">
        <f t="shared" si="21"/>
        <v>0</v>
      </c>
      <c r="DP36" s="19">
        <f t="shared" si="22"/>
        <v>0</v>
      </c>
      <c r="DQ36" s="19">
        <f t="shared" si="23"/>
        <v>0</v>
      </c>
      <c r="DR36" s="19">
        <f t="shared" si="24"/>
        <v>0</v>
      </c>
      <c r="DS36" s="19">
        <f t="shared" si="25"/>
        <v>0</v>
      </c>
      <c r="DT36" s="19">
        <f t="shared" si="26"/>
        <v>0</v>
      </c>
      <c r="DX36">
        <v>35</v>
      </c>
      <c r="DY36" s="9">
        <f t="shared" si="4"/>
        <v>0</v>
      </c>
      <c r="EM36" s="11">
        <v>35</v>
      </c>
      <c r="EN36" s="8">
        <f t="shared" si="27"/>
        <v>0</v>
      </c>
      <c r="EO36" s="8">
        <f t="shared" si="5"/>
        <v>0</v>
      </c>
      <c r="EP36" s="8">
        <f t="shared" si="28"/>
        <v>0</v>
      </c>
      <c r="EQ36" s="8">
        <f t="shared" si="29"/>
        <v>0</v>
      </c>
      <c r="ER36" s="8">
        <f t="shared" si="30"/>
        <v>0</v>
      </c>
      <c r="ES36" s="8">
        <f t="shared" si="31"/>
        <v>0</v>
      </c>
      <c r="ET36" s="8">
        <f t="shared" si="32"/>
        <v>0</v>
      </c>
      <c r="EU36" s="8">
        <f t="shared" si="33"/>
        <v>0</v>
      </c>
      <c r="EW36" s="48"/>
      <c r="EX36" s="48"/>
      <c r="EY36" s="48"/>
      <c r="EZ36" s="48"/>
      <c r="FA36" s="48"/>
      <c r="FB36" s="48"/>
      <c r="FK36" s="10"/>
      <c r="FL36" s="10"/>
    </row>
    <row r="37" spans="3:168" x14ac:dyDescent="0.3">
      <c r="C37" s="37">
        <v>0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9">
        <v>0</v>
      </c>
      <c r="AH37" s="23">
        <v>36</v>
      </c>
      <c r="AI37" s="42">
        <f>IF(C37=0,0,(C37-#REF!)*100/#REF!)</f>
        <v>0</v>
      </c>
      <c r="AJ37" s="42">
        <f>IF(D37=0,0,(D37-#REF!)*100/#REF!)</f>
        <v>0</v>
      </c>
      <c r="AK37" s="42">
        <f>IF(E37=0,0,(E37-#REF!)*100/#REF!)</f>
        <v>0</v>
      </c>
      <c r="AL37" s="42">
        <f>IF(F37=0,0,(F37-#REF!)*100/#REF!)</f>
        <v>0</v>
      </c>
      <c r="AM37" s="42">
        <f>IF(G37=0,0,(G37-#REF!)*100/#REF!)</f>
        <v>0</v>
      </c>
      <c r="AN37" s="42">
        <f>IF(H37=0,0,(H37-#REF!)*100/#REF!)</f>
        <v>0</v>
      </c>
      <c r="AO37" s="42">
        <f>IF(I37=0,0,(I37-#REF!)*100/#REF!)</f>
        <v>0</v>
      </c>
      <c r="AP37" s="42">
        <f>IF(J37=0,0,(J37-#REF!)*100/#REF!)</f>
        <v>0</v>
      </c>
      <c r="AQ37" s="42">
        <f>IF(K37=0,0,(K37-#REF!)*100/#REF!)</f>
        <v>0</v>
      </c>
      <c r="AR37" s="42">
        <f>IF(L37=0,0,(L37-#REF!)*100/#REF!)</f>
        <v>0</v>
      </c>
      <c r="AS37" s="42">
        <f>IF(M37=0,0,(M37-#REF!)*100/#REF!)</f>
        <v>0</v>
      </c>
      <c r="AT37" s="42">
        <f>IF(N37=0,0,(N37-#REF!)*100/#REF!)</f>
        <v>0</v>
      </c>
      <c r="AU37" s="42">
        <f>IF(O37=0,0,(O37-#REF!)*100/#REF!)</f>
        <v>0</v>
      </c>
      <c r="AV37" s="42">
        <f>IF(P37=0,0,(P37-#REF!)*100/#REF!)</f>
        <v>0</v>
      </c>
      <c r="AW37" s="42">
        <f>IF(Q37=0,0,(Q37-#REF!)*100/#REF!)</f>
        <v>0</v>
      </c>
      <c r="AX37" s="42">
        <f>IF(R37=0,0,(R37-#REF!)*100/#REF!)</f>
        <v>0</v>
      </c>
      <c r="AY37" s="42">
        <f>IF(S37=0,0,(S37-#REF!)*100/#REF!)</f>
        <v>0</v>
      </c>
      <c r="AZ37" s="42">
        <f>IF(T37=0,0,(T37-#REF!)*100/#REF!)</f>
        <v>0</v>
      </c>
      <c r="BA37" s="42">
        <f>IF(U37=0,0,(U37-#REF!)*100/#REF!)</f>
        <v>0</v>
      </c>
      <c r="BB37" s="42">
        <f>IF(V37=0,0,(V37-#REF!)*100/#REF!)</f>
        <v>0</v>
      </c>
      <c r="BC37" s="42">
        <f>IF(W37=0,0,(W37-#REF!)*100/#REF!)</f>
        <v>0</v>
      </c>
      <c r="BD37" s="42">
        <f>IF(X37=0,0,(X37-#REF!)*100/#REF!)</f>
        <v>0</v>
      </c>
      <c r="BE37" s="42">
        <f>IF(Y37=0,0,(Y37-#REF!)*100/#REF!)</f>
        <v>0</v>
      </c>
      <c r="BF37" s="42">
        <f>IF(Z37=0,0,(Z37-#REF!)*100/#REF!)</f>
        <v>0</v>
      </c>
      <c r="BG37" s="42">
        <f>IF(AA37=0,0,(AA37-#REF!)*100/#REF!)</f>
        <v>0</v>
      </c>
      <c r="BH37" s="42">
        <f>IF(AB37=0,0,(AB37-#REF!)*100/#REF!)</f>
        <v>0</v>
      </c>
      <c r="BI37" s="42">
        <f>IF(AC37=0,0,(AC37-#REF!)*100/#REF!)</f>
        <v>0</v>
      </c>
      <c r="BJ37" s="42">
        <f>IF(AD37=0,0,(AD37-#REF!)*100/#REF!)</f>
        <v>0</v>
      </c>
      <c r="BN37" s="26">
        <v>36</v>
      </c>
      <c r="BO37" s="46">
        <f t="shared" si="43"/>
        <v>0</v>
      </c>
      <c r="BP37" s="46">
        <f t="shared" si="44"/>
        <v>0</v>
      </c>
      <c r="BQ37" s="46">
        <f t="shared" si="45"/>
        <v>0</v>
      </c>
      <c r="BR37" s="46">
        <f t="shared" si="45"/>
        <v>0</v>
      </c>
      <c r="BS37" s="46">
        <f t="shared" si="45"/>
        <v>0</v>
      </c>
      <c r="BT37" s="46">
        <f t="shared" si="45"/>
        <v>0</v>
      </c>
      <c r="BU37" s="46">
        <f t="shared" si="45"/>
        <v>0</v>
      </c>
      <c r="BV37" s="46">
        <f t="shared" si="45"/>
        <v>0</v>
      </c>
      <c r="BW37" s="46">
        <f t="shared" si="45"/>
        <v>0</v>
      </c>
      <c r="BX37" s="46">
        <f t="shared" si="45"/>
        <v>0</v>
      </c>
      <c r="BY37" s="46">
        <f t="shared" si="45"/>
        <v>0</v>
      </c>
      <c r="BZ37" s="46">
        <f t="shared" si="45"/>
        <v>0</v>
      </c>
      <c r="CA37" s="46">
        <f t="shared" si="45"/>
        <v>0</v>
      </c>
      <c r="CB37" s="46">
        <f t="shared" si="45"/>
        <v>0</v>
      </c>
      <c r="CC37" s="46">
        <f t="shared" si="45"/>
        <v>0</v>
      </c>
      <c r="CD37" s="46">
        <f t="shared" si="45"/>
        <v>0</v>
      </c>
      <c r="CE37" s="46">
        <f t="shared" si="45"/>
        <v>0</v>
      </c>
      <c r="CF37" s="46">
        <f t="shared" si="45"/>
        <v>0</v>
      </c>
      <c r="CG37" s="46">
        <f t="shared" si="45"/>
        <v>0</v>
      </c>
      <c r="CH37" s="46">
        <f t="shared" si="45"/>
        <v>0</v>
      </c>
      <c r="CI37" s="46">
        <f t="shared" si="45"/>
        <v>0</v>
      </c>
      <c r="CJ37" s="46">
        <f t="shared" si="45"/>
        <v>0</v>
      </c>
      <c r="CK37" s="46">
        <f t="shared" si="45"/>
        <v>0</v>
      </c>
      <c r="CL37" s="46">
        <f t="shared" si="45"/>
        <v>0</v>
      </c>
      <c r="CM37" s="46">
        <f t="shared" si="45"/>
        <v>0</v>
      </c>
      <c r="CN37" s="46">
        <f t="shared" si="45"/>
        <v>0</v>
      </c>
      <c r="CO37" s="46">
        <f t="shared" si="45"/>
        <v>0</v>
      </c>
      <c r="CP37" s="46">
        <f t="shared" si="45"/>
        <v>0</v>
      </c>
      <c r="CU37" s="23">
        <v>36</v>
      </c>
      <c r="CV37" s="25">
        <f t="shared" si="6"/>
        <v>0</v>
      </c>
      <c r="CW37" s="25">
        <f t="shared" si="7"/>
        <v>0</v>
      </c>
      <c r="CX37" s="25">
        <f t="shared" si="8"/>
        <v>0</v>
      </c>
      <c r="CY37" s="25">
        <f t="shared" si="9"/>
        <v>0</v>
      </c>
      <c r="CZ37" s="25">
        <f t="shared" si="10"/>
        <v>0</v>
      </c>
      <c r="DA37" s="25">
        <f t="shared" si="11"/>
        <v>0</v>
      </c>
      <c r="DB37" s="25">
        <f t="shared" si="12"/>
        <v>0</v>
      </c>
      <c r="DC37" s="25">
        <f t="shared" si="13"/>
        <v>0</v>
      </c>
      <c r="DF37" s="18">
        <v>36</v>
      </c>
      <c r="DG37" s="21">
        <f t="shared" si="36"/>
        <v>0</v>
      </c>
      <c r="DH37" s="21">
        <f t="shared" si="14"/>
        <v>0</v>
      </c>
      <c r="DI37" s="21">
        <f t="shared" si="15"/>
        <v>0</v>
      </c>
      <c r="DJ37" s="21">
        <f t="shared" si="16"/>
        <v>0</v>
      </c>
      <c r="DK37" s="21">
        <f t="shared" si="17"/>
        <v>0</v>
      </c>
      <c r="DL37" s="21">
        <f t="shared" si="18"/>
        <v>0</v>
      </c>
      <c r="DM37" s="21">
        <f t="shared" si="19"/>
        <v>0</v>
      </c>
      <c r="DN37" s="21">
        <f t="shared" si="20"/>
        <v>0</v>
      </c>
      <c r="DO37" s="21">
        <f t="shared" si="21"/>
        <v>0</v>
      </c>
      <c r="DP37" s="21">
        <f t="shared" si="22"/>
        <v>0</v>
      </c>
      <c r="DQ37" s="21">
        <f t="shared" si="23"/>
        <v>0</v>
      </c>
      <c r="DR37" s="21">
        <f t="shared" si="24"/>
        <v>0</v>
      </c>
      <c r="DS37" s="21">
        <f t="shared" si="25"/>
        <v>0</v>
      </c>
      <c r="DT37" s="21">
        <f t="shared" si="26"/>
        <v>0</v>
      </c>
      <c r="DX37">
        <v>36</v>
      </c>
      <c r="DY37" s="9">
        <f t="shared" si="4"/>
        <v>0</v>
      </c>
      <c r="EM37" s="7">
        <v>36</v>
      </c>
      <c r="EN37" s="8">
        <f t="shared" si="27"/>
        <v>0</v>
      </c>
      <c r="EO37" s="8">
        <f t="shared" si="5"/>
        <v>0</v>
      </c>
      <c r="EP37" s="8">
        <f t="shared" si="28"/>
        <v>0</v>
      </c>
      <c r="EQ37" s="8">
        <f t="shared" si="29"/>
        <v>0</v>
      </c>
      <c r="ER37" s="8">
        <f t="shared" si="30"/>
        <v>0</v>
      </c>
      <c r="ES37" s="8">
        <f t="shared" si="31"/>
        <v>0</v>
      </c>
      <c r="ET37" s="8">
        <f t="shared" si="32"/>
        <v>0</v>
      </c>
      <c r="EU37" s="8">
        <f t="shared" si="33"/>
        <v>0</v>
      </c>
      <c r="FK37" s="10"/>
      <c r="FL37" s="10"/>
    </row>
    <row r="38" spans="3:168" x14ac:dyDescent="0.3">
      <c r="CU38" s="26"/>
      <c r="CV38" s="26"/>
      <c r="CW38" s="26"/>
      <c r="CX38" s="26"/>
      <c r="CY38" s="26"/>
      <c r="CZ38" s="26"/>
      <c r="DA38" s="26"/>
      <c r="DB38" s="26"/>
      <c r="DC38" s="26"/>
      <c r="FK38" s="10"/>
      <c r="FL38" s="10"/>
    </row>
    <row r="39" spans="3:168" x14ac:dyDescent="0.3">
      <c r="FK39" s="10"/>
      <c r="FL39" s="10"/>
    </row>
    <row r="40" spans="3:168" x14ac:dyDescent="0.3">
      <c r="FK40" s="10"/>
      <c r="FL40" s="10"/>
    </row>
    <row r="41" spans="3:168" x14ac:dyDescent="0.3">
      <c r="FK41" s="10"/>
      <c r="FL41" s="10"/>
    </row>
    <row r="42" spans="3:168" x14ac:dyDescent="0.3">
      <c r="FK42" s="10"/>
      <c r="FL42" s="10"/>
    </row>
    <row r="43" spans="3:168" x14ac:dyDescent="0.3">
      <c r="FK43" s="10"/>
      <c r="FL43" s="10"/>
    </row>
    <row r="44" spans="3:168" x14ac:dyDescent="0.3">
      <c r="FK44" s="10"/>
      <c r="FL44" s="10"/>
    </row>
    <row r="45" spans="3:168" x14ac:dyDescent="0.3">
      <c r="FK45" s="10"/>
      <c r="FL45" s="10"/>
    </row>
    <row r="46" spans="3:168" x14ac:dyDescent="0.3">
      <c r="FK46" s="10"/>
      <c r="FL46" s="10"/>
    </row>
    <row r="47" spans="3:168" x14ac:dyDescent="0.3">
      <c r="FK47" s="10"/>
      <c r="FL47" s="10"/>
    </row>
    <row r="48" spans="3:168" x14ac:dyDescent="0.3">
      <c r="FK48" s="10"/>
      <c r="FL48" s="10"/>
    </row>
    <row r="49" spans="167:168" x14ac:dyDescent="0.3">
      <c r="FK49" s="10"/>
      <c r="FL49" s="10"/>
    </row>
    <row r="50" spans="167:168" x14ac:dyDescent="0.3">
      <c r="FK50" s="10"/>
      <c r="FL50" s="10"/>
    </row>
    <row r="51" spans="167:168" x14ac:dyDescent="0.3">
      <c r="FK51" s="10"/>
      <c r="FL51" s="10"/>
    </row>
    <row r="52" spans="167:168" x14ac:dyDescent="0.3">
      <c r="FK52" s="10"/>
      <c r="FL52" s="10"/>
    </row>
    <row r="53" spans="167:168" x14ac:dyDescent="0.3">
      <c r="FK53" s="10"/>
      <c r="FL53" s="10"/>
    </row>
    <row r="54" spans="167:168" x14ac:dyDescent="0.3">
      <c r="FK54" s="10"/>
      <c r="FL54" s="10"/>
    </row>
    <row r="55" spans="167:168" x14ac:dyDescent="0.3">
      <c r="FK55" s="10"/>
      <c r="FL55" s="10"/>
    </row>
    <row r="56" spans="167:168" x14ac:dyDescent="0.3">
      <c r="FK56" s="10"/>
      <c r="FL56" s="10"/>
    </row>
    <row r="57" spans="167:168" x14ac:dyDescent="0.3">
      <c r="FK57" s="10"/>
      <c r="FL57" s="10"/>
    </row>
    <row r="58" spans="167:168" x14ac:dyDescent="0.3">
      <c r="FK58" s="10"/>
      <c r="FL58" s="10"/>
    </row>
    <row r="59" spans="167:168" x14ac:dyDescent="0.3">
      <c r="FK59" s="10"/>
      <c r="FL59" s="10"/>
    </row>
    <row r="60" spans="167:168" x14ac:dyDescent="0.3">
      <c r="FK60" s="10"/>
      <c r="FL60" s="10"/>
    </row>
    <row r="61" spans="167:168" x14ac:dyDescent="0.3">
      <c r="FK61" s="10"/>
      <c r="FL61" s="10"/>
    </row>
    <row r="62" spans="167:168" x14ac:dyDescent="0.3">
      <c r="FK62" s="10"/>
      <c r="FL62" s="10"/>
    </row>
    <row r="63" spans="167:168" x14ac:dyDescent="0.3">
      <c r="FK63" s="10"/>
      <c r="FL63" s="10"/>
    </row>
    <row r="64" spans="167:168" x14ac:dyDescent="0.3">
      <c r="FK64" s="10"/>
      <c r="FL64" s="10"/>
    </row>
    <row r="65" spans="167:168" x14ac:dyDescent="0.3">
      <c r="FK65" s="10"/>
      <c r="FL65" s="10"/>
    </row>
    <row r="66" spans="167:168" x14ac:dyDescent="0.3">
      <c r="FK66" s="10"/>
      <c r="FL66" s="10"/>
    </row>
    <row r="67" spans="167:168" x14ac:dyDescent="0.3">
      <c r="FK67" s="10"/>
      <c r="FL67" s="10"/>
    </row>
    <row r="68" spans="167:168" x14ac:dyDescent="0.3">
      <c r="FK68" s="10"/>
      <c r="FL68" s="10"/>
    </row>
    <row r="69" spans="167:168" x14ac:dyDescent="0.3">
      <c r="FK69" s="10"/>
      <c r="FL69" s="10"/>
    </row>
    <row r="70" spans="167:168" x14ac:dyDescent="0.3">
      <c r="FK70" s="10"/>
      <c r="FL70" s="10"/>
    </row>
    <row r="71" spans="167:168" x14ac:dyDescent="0.3">
      <c r="FK71" s="10"/>
      <c r="FL71" s="10"/>
    </row>
    <row r="72" spans="167:168" x14ac:dyDescent="0.3">
      <c r="FK72" s="10"/>
      <c r="FL72" s="10"/>
    </row>
    <row r="73" spans="167:168" x14ac:dyDescent="0.3">
      <c r="FK73" s="10"/>
      <c r="FL73" s="10"/>
    </row>
    <row r="74" spans="167:168" x14ac:dyDescent="0.3">
      <c r="FK74" s="10"/>
      <c r="FL74" s="10"/>
    </row>
    <row r="75" spans="167:168" x14ac:dyDescent="0.3">
      <c r="FK75" s="10"/>
      <c r="FL75" s="10"/>
    </row>
    <row r="76" spans="167:168" x14ac:dyDescent="0.3">
      <c r="FK76" s="10"/>
      <c r="FL76" s="10"/>
    </row>
    <row r="77" spans="167:168" x14ac:dyDescent="0.3">
      <c r="FK77" s="10"/>
      <c r="FL77" s="10"/>
    </row>
    <row r="78" spans="167:168" x14ac:dyDescent="0.3">
      <c r="FK78" s="10"/>
      <c r="FL78" s="10"/>
    </row>
    <row r="79" spans="167:168" x14ac:dyDescent="0.3">
      <c r="FK79" s="10"/>
      <c r="FL79" s="10"/>
    </row>
    <row r="80" spans="167:168" x14ac:dyDescent="0.3">
      <c r="FK80" s="10"/>
      <c r="FL80" s="10"/>
    </row>
    <row r="81" spans="167:168" x14ac:dyDescent="0.3">
      <c r="FK81" s="10"/>
      <c r="FL81" s="10"/>
    </row>
    <row r="82" spans="167:168" x14ac:dyDescent="0.3">
      <c r="FK82" s="10"/>
      <c r="FL82" s="10"/>
    </row>
    <row r="83" spans="167:168" x14ac:dyDescent="0.3">
      <c r="FK83" s="10"/>
      <c r="FL83" s="10"/>
    </row>
    <row r="84" spans="167:168" x14ac:dyDescent="0.3">
      <c r="FK84" s="10"/>
      <c r="FL84" s="10"/>
    </row>
    <row r="85" spans="167:168" x14ac:dyDescent="0.3">
      <c r="FK85" s="10"/>
      <c r="FL85" s="10"/>
    </row>
    <row r="86" spans="167:168" x14ac:dyDescent="0.3">
      <c r="FK86" s="10"/>
      <c r="FL86" s="10"/>
    </row>
    <row r="87" spans="167:168" x14ac:dyDescent="0.3">
      <c r="FK87" s="10"/>
      <c r="FL87" s="10"/>
    </row>
    <row r="88" spans="167:168" x14ac:dyDescent="0.3">
      <c r="FK88" s="10"/>
      <c r="FL88" s="10"/>
    </row>
    <row r="89" spans="167:168" x14ac:dyDescent="0.3">
      <c r="FK89" s="10"/>
      <c r="FL89" s="10"/>
    </row>
    <row r="90" spans="167:168" x14ac:dyDescent="0.3">
      <c r="FK90" s="10"/>
      <c r="FL90" s="10"/>
    </row>
    <row r="91" spans="167:168" x14ac:dyDescent="0.3">
      <c r="FK91" s="10"/>
      <c r="FL91" s="10"/>
    </row>
    <row r="92" spans="167:168" x14ac:dyDescent="0.3">
      <c r="FK92" s="10"/>
      <c r="FL92" s="10"/>
    </row>
    <row r="93" spans="167:168" x14ac:dyDescent="0.3">
      <c r="FK93" s="10"/>
      <c r="FL93" s="10"/>
    </row>
    <row r="94" spans="167:168" x14ac:dyDescent="0.3">
      <c r="FK94" s="10"/>
      <c r="FL94" s="10"/>
    </row>
    <row r="95" spans="167:168" x14ac:dyDescent="0.3">
      <c r="FK95" s="10"/>
      <c r="FL95" s="10"/>
    </row>
    <row r="96" spans="167:168" x14ac:dyDescent="0.3">
      <c r="FK96" s="10"/>
      <c r="FL96" s="10"/>
    </row>
    <row r="97" spans="167:168" x14ac:dyDescent="0.3">
      <c r="FK97" s="10"/>
      <c r="FL97" s="10"/>
    </row>
    <row r="98" spans="167:168" x14ac:dyDescent="0.3">
      <c r="FK98" s="10"/>
      <c r="FL98" s="10"/>
    </row>
    <row r="99" spans="167:168" x14ac:dyDescent="0.3">
      <c r="FK99" s="10"/>
      <c r="FL99" s="10"/>
    </row>
    <row r="100" spans="167:168" x14ac:dyDescent="0.3">
      <c r="FK100" s="10"/>
      <c r="FL100" s="10"/>
    </row>
    <row r="101" spans="167:168" x14ac:dyDescent="0.3">
      <c r="FK101" s="10"/>
      <c r="FL101" s="10"/>
    </row>
    <row r="102" spans="167:168" x14ac:dyDescent="0.3">
      <c r="FK102" s="10"/>
      <c r="FL102" s="10"/>
    </row>
    <row r="103" spans="167:168" x14ac:dyDescent="0.3">
      <c r="FK103" s="10"/>
      <c r="FL103" s="10"/>
    </row>
    <row r="104" spans="167:168" x14ac:dyDescent="0.3">
      <c r="FK104" s="10"/>
      <c r="FL104" s="10"/>
    </row>
    <row r="105" spans="167:168" x14ac:dyDescent="0.3">
      <c r="FK105" s="10"/>
      <c r="FL105" s="10"/>
    </row>
    <row r="106" spans="167:168" x14ac:dyDescent="0.3">
      <c r="FK106" s="10"/>
      <c r="FL106" s="10"/>
    </row>
    <row r="107" spans="167:168" x14ac:dyDescent="0.3">
      <c r="FK107" s="10"/>
      <c r="FL107" s="10"/>
    </row>
    <row r="108" spans="167:168" x14ac:dyDescent="0.3">
      <c r="FK108" s="10"/>
      <c r="FL108" s="10"/>
    </row>
    <row r="109" spans="167:168" x14ac:dyDescent="0.3">
      <c r="FK109" s="10"/>
      <c r="FL109" s="10"/>
    </row>
    <row r="110" spans="167:168" x14ac:dyDescent="0.3">
      <c r="FK110" s="10"/>
      <c r="FL110" s="10"/>
    </row>
    <row r="111" spans="167:168" x14ac:dyDescent="0.3">
      <c r="FK111" s="10"/>
      <c r="FL111" s="10"/>
    </row>
    <row r="112" spans="167:168" x14ac:dyDescent="0.3">
      <c r="FK112" s="10"/>
      <c r="FL112" s="10"/>
    </row>
    <row r="113" spans="167:168" x14ac:dyDescent="0.3">
      <c r="FK113" s="10"/>
      <c r="FL113" s="10"/>
    </row>
    <row r="114" spans="167:168" x14ac:dyDescent="0.3">
      <c r="FK114" s="10"/>
      <c r="FL114" s="10"/>
    </row>
    <row r="115" spans="167:168" x14ac:dyDescent="0.3">
      <c r="FK115" s="10"/>
      <c r="FL115" s="10"/>
    </row>
    <row r="116" spans="167:168" x14ac:dyDescent="0.3">
      <c r="FK116" s="10"/>
      <c r="FL116" s="10"/>
    </row>
    <row r="117" spans="167:168" x14ac:dyDescent="0.3">
      <c r="FK117" s="10"/>
      <c r="FL117" s="10"/>
    </row>
    <row r="118" spans="167:168" x14ac:dyDescent="0.3">
      <c r="FK118" s="10"/>
      <c r="FL118" s="10"/>
    </row>
    <row r="119" spans="167:168" x14ac:dyDescent="0.3">
      <c r="FK119" s="10"/>
      <c r="FL119" s="10"/>
    </row>
  </sheetData>
  <conditionalFormatting sqref="EB2:EI2">
    <cfRule type="containsText" dxfId="70" priority="1" operator="containsText" text="Sell">
      <formula>NOT(ISERROR(SEARCH("Sell",EB2)))</formula>
    </cfRule>
    <cfRule type="containsText" dxfId="69" priority="2" operator="containsText" text="Buy">
      <formula>NOT(ISERROR(SEARCH("Buy",EB2)))</formula>
    </cfRule>
    <cfRule type="expression" dxfId="68" priority="3">
      <formula>"EC2=""Buy"""</formula>
    </cfRule>
  </conditionalFormatting>
  <conditionalFormatting sqref="EW2:EW9">
    <cfRule type="top10" dxfId="67" priority="8" bottom="1" rank="2"/>
    <cfRule type="top10" dxfId="66" priority="9" rank="2"/>
  </conditionalFormatting>
  <conditionalFormatting sqref="EW13:EW20">
    <cfRule type="top10" dxfId="65" priority="6" bottom="1" rank="2"/>
    <cfRule type="top10" dxfId="64" priority="7" rank="2"/>
  </conditionalFormatting>
  <conditionalFormatting sqref="EW23:EW30">
    <cfRule type="top10" dxfId="63" priority="4" bottom="1" rank="2"/>
    <cfRule type="top10" dxfId="62" priority="5" rank="2"/>
  </conditionalFormatting>
  <dataValidations count="1">
    <dataValidation type="list" allowBlank="1" showInputMessage="1" showErrorMessage="1" sqref="EB2:EI2" xr:uid="{4DA747F9-96F6-417B-8D37-BA545B97219A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SATORI H1(RTD UP LOAD DATA)</vt:lpstr>
      <vt:lpstr>SATORI H1 (Data)</vt:lpstr>
    </vt:vector>
  </TitlesOfParts>
  <Company>Rajamangala University of Technology Lanna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ชยพล ชัยภูมิ</dc:creator>
  <cp:lastModifiedBy>ASUS</cp:lastModifiedBy>
  <dcterms:created xsi:type="dcterms:W3CDTF">2024-08-12T08:34:32Z</dcterms:created>
  <dcterms:modified xsi:type="dcterms:W3CDTF">2024-08-20T13:44:41Z</dcterms:modified>
</cp:coreProperties>
</file>