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15600" windowHeight="11700" tabRatio="922" activeTab="6"/>
  </bookViews>
  <sheets>
    <sheet name="Ativos" sheetId="59" r:id="rId1"/>
    <sheet name="1" sheetId="58" r:id="rId2"/>
    <sheet name="2" sheetId="60" r:id="rId3"/>
    <sheet name="3" sheetId="61" r:id="rId4"/>
    <sheet name="4" sheetId="62" r:id="rId5"/>
    <sheet name="5" sheetId="63" r:id="rId6"/>
    <sheet name="6" sheetId="64" r:id="rId7"/>
    <sheet name="7" sheetId="65" r:id="rId8"/>
    <sheet name="8" sheetId="66" r:id="rId9"/>
    <sheet name="9" sheetId="67" r:id="rId10"/>
    <sheet name="10" sheetId="68" r:id="rId11"/>
    <sheet name="11" sheetId="69" r:id="rId12"/>
    <sheet name="12" sheetId="70" r:id="rId13"/>
    <sheet name="CLog" sheetId="22" r:id="rId14"/>
    <sheet name="Risk" sheetId="23" r:id="rId15"/>
    <sheet name="$Aj" sheetId="26" r:id="rId16"/>
    <sheet name="GM" sheetId="27" r:id="rId17"/>
    <sheet name="PM" sheetId="28" r:id="rId18"/>
    <sheet name="FL" sheetId="29" r:id="rId19"/>
  </sheets>
  <externalReferences>
    <externalReference r:id="rId20"/>
    <externalReference r:id="rId21"/>
    <externalReference r:id="rId22"/>
  </externalReferences>
  <calcPr calcId="144525" iterate="1" iterateCount="1"/>
</workbook>
</file>

<file path=xl/calcChain.xml><?xml version="1.0" encoding="utf-8"?>
<calcChain xmlns="http://schemas.openxmlformats.org/spreadsheetml/2006/main">
  <c r="K17" i="70" l="1"/>
  <c r="K17" i="69"/>
  <c r="K17" i="68"/>
  <c r="K17" i="67"/>
  <c r="K17" i="66"/>
  <c r="K17" i="65"/>
  <c r="K17" i="64"/>
  <c r="K17" i="63"/>
  <c r="K17" i="62"/>
  <c r="K17" i="61"/>
  <c r="D15" i="70" l="1"/>
  <c r="E15" i="70"/>
  <c r="F15" i="70"/>
  <c r="G15" i="70"/>
  <c r="D15" i="69"/>
  <c r="E15" i="69"/>
  <c r="F15" i="69"/>
  <c r="G15" i="69"/>
  <c r="D15" i="68"/>
  <c r="E15" i="68"/>
  <c r="F15" i="68"/>
  <c r="G15" i="68"/>
  <c r="D15" i="67"/>
  <c r="E15" i="67"/>
  <c r="F15" i="67"/>
  <c r="G15" i="67"/>
  <c r="D15" i="66"/>
  <c r="E15" i="66"/>
  <c r="F15" i="66"/>
  <c r="G15" i="66"/>
  <c r="D15" i="65"/>
  <c r="E15" i="65"/>
  <c r="F15" i="65"/>
  <c r="G15" i="65"/>
  <c r="D15" i="64"/>
  <c r="E15" i="64"/>
  <c r="F15" i="64"/>
  <c r="G15" i="64"/>
  <c r="D15" i="63"/>
  <c r="E15" i="63"/>
  <c r="F15" i="63"/>
  <c r="G15" i="63"/>
  <c r="D15" i="62"/>
  <c r="E15" i="62"/>
  <c r="F15" i="62"/>
  <c r="G15" i="62"/>
  <c r="D15" i="61"/>
  <c r="E15" i="61"/>
  <c r="F15" i="61"/>
  <c r="G15" i="61"/>
  <c r="D15" i="60"/>
  <c r="E15" i="60"/>
  <c r="F15" i="60"/>
  <c r="G15" i="60"/>
  <c r="N5" i="70" l="1"/>
  <c r="N5" i="69"/>
  <c r="N5" i="68"/>
  <c r="N5" i="67"/>
  <c r="N5" i="66"/>
  <c r="N5" i="65"/>
  <c r="N5" i="64"/>
  <c r="N5" i="63"/>
  <c r="N5" i="62"/>
  <c r="N5" i="61"/>
  <c r="N5" i="60"/>
  <c r="N5" i="58" l="1"/>
  <c r="N20" i="70" l="1"/>
  <c r="N20" i="69"/>
  <c r="N20" i="68"/>
  <c r="N20" i="67"/>
  <c r="N20" i="66"/>
  <c r="N20" i="65"/>
  <c r="N20" i="64"/>
  <c r="N20" i="63"/>
  <c r="N20" i="62"/>
  <c r="N20" i="61"/>
  <c r="N20" i="60"/>
  <c r="P4" i="59" l="1"/>
  <c r="R4" i="59" s="1"/>
  <c r="O4" i="59"/>
  <c r="Q4" i="59" s="1"/>
  <c r="H24" i="70" l="1"/>
  <c r="H15" i="70"/>
  <c r="G14" i="70"/>
  <c r="E14" i="70"/>
  <c r="H24" i="69"/>
  <c r="H18" i="69"/>
  <c r="L17" i="69" s="1"/>
  <c r="H17" i="69"/>
  <c r="H16" i="69"/>
  <c r="F16" i="69"/>
  <c r="F17" i="69" s="1"/>
  <c r="D16" i="69"/>
  <c r="D17" i="69" s="1"/>
  <c r="H15" i="69"/>
  <c r="G14" i="69"/>
  <c r="G16" i="69" s="1"/>
  <c r="G17" i="69" s="1"/>
  <c r="E14" i="69"/>
  <c r="E16" i="69" s="1"/>
  <c r="E17" i="69" s="1"/>
  <c r="H24" i="68"/>
  <c r="H17" i="68"/>
  <c r="F16" i="68"/>
  <c r="F17" i="68" s="1"/>
  <c r="H15" i="68"/>
  <c r="G14" i="68"/>
  <c r="G16" i="68" s="1"/>
  <c r="G17" i="68" s="1"/>
  <c r="E14" i="68"/>
  <c r="H24" i="67"/>
  <c r="H18" i="67"/>
  <c r="L17" i="67" s="1"/>
  <c r="H17" i="67"/>
  <c r="H16" i="67"/>
  <c r="F16" i="67"/>
  <c r="F17" i="67" s="1"/>
  <c r="D16" i="67"/>
  <c r="D17" i="67" s="1"/>
  <c r="H15" i="67"/>
  <c r="G14" i="67"/>
  <c r="G16" i="67" s="1"/>
  <c r="G17" i="67" s="1"/>
  <c r="E14" i="67"/>
  <c r="E16" i="67" s="1"/>
  <c r="E17" i="67" s="1"/>
  <c r="H24" i="66"/>
  <c r="F16" i="66"/>
  <c r="F17" i="66" s="1"/>
  <c r="H15" i="66"/>
  <c r="G14" i="66"/>
  <c r="G16" i="66" s="1"/>
  <c r="G17" i="66" s="1"/>
  <c r="E14" i="66"/>
  <c r="H24" i="65"/>
  <c r="F16" i="65"/>
  <c r="F17" i="65" s="1"/>
  <c r="H15" i="65"/>
  <c r="G14" i="65"/>
  <c r="G16" i="65" s="1"/>
  <c r="G17" i="65" s="1"/>
  <c r="E14" i="65"/>
  <c r="H24" i="63"/>
  <c r="H18" i="63"/>
  <c r="L17" i="63" s="1"/>
  <c r="H17" i="63"/>
  <c r="H16" i="63"/>
  <c r="F16" i="63"/>
  <c r="F17" i="63" s="1"/>
  <c r="D16" i="63"/>
  <c r="D17" i="63" s="1"/>
  <c r="H15" i="63"/>
  <c r="G14" i="63"/>
  <c r="G16" i="63" s="1"/>
  <c r="G17" i="63" s="1"/>
  <c r="E14" i="63"/>
  <c r="E16" i="63" s="1"/>
  <c r="E17" i="63" s="1"/>
  <c r="H24" i="62"/>
  <c r="D16" i="62"/>
  <c r="D17" i="62" s="1"/>
  <c r="H15" i="62"/>
  <c r="G14" i="62"/>
  <c r="E14" i="62"/>
  <c r="E16" i="62" s="1"/>
  <c r="E17" i="62" s="1"/>
  <c r="H24" i="61"/>
  <c r="D16" i="61"/>
  <c r="D17" i="61" s="1"/>
  <c r="H15" i="61"/>
  <c r="G14" i="61"/>
  <c r="E14" i="61"/>
  <c r="E16" i="61" s="1"/>
  <c r="E17" i="61" s="1"/>
  <c r="H24" i="60"/>
  <c r="F16" i="60"/>
  <c r="F17" i="60" s="1"/>
  <c r="H15" i="60"/>
  <c r="G14" i="60"/>
  <c r="G16" i="60" s="1"/>
  <c r="G17" i="60" s="1"/>
  <c r="E14" i="60"/>
  <c r="H24" i="58"/>
  <c r="F16" i="58"/>
  <c r="H15" i="58"/>
  <c r="G14" i="58"/>
  <c r="G16" i="58" s="1"/>
  <c r="E14" i="58"/>
  <c r="G14" i="64"/>
  <c r="E14" i="64"/>
  <c r="H24" i="64"/>
  <c r="G18" i="69" l="1"/>
  <c r="G19" i="69" s="1"/>
  <c r="G20" i="69" s="1"/>
  <c r="G21" i="69" s="1"/>
  <c r="G22" i="69" s="1"/>
  <c r="G23" i="69" s="1"/>
  <c r="D18" i="69"/>
  <c r="D19" i="69" s="1"/>
  <c r="D20" i="69" s="1"/>
  <c r="D21" i="69" s="1"/>
  <c r="D22" i="69" s="1"/>
  <c r="D23" i="69" s="1"/>
  <c r="E18" i="69"/>
  <c r="E19" i="69" s="1"/>
  <c r="E20" i="69" s="1"/>
  <c r="E21" i="69" s="1"/>
  <c r="E22" i="69" s="1"/>
  <c r="E23" i="69" s="1"/>
  <c r="F18" i="69"/>
  <c r="F19" i="69" s="1"/>
  <c r="F20" i="69" s="1"/>
  <c r="F21" i="69" s="1"/>
  <c r="F22" i="69" s="1"/>
  <c r="F23" i="69" s="1"/>
  <c r="G18" i="68"/>
  <c r="G19" i="68" s="1"/>
  <c r="G20" i="68" s="1"/>
  <c r="G21" i="68" s="1"/>
  <c r="G22" i="68" s="1"/>
  <c r="G23" i="68" s="1"/>
  <c r="F18" i="68"/>
  <c r="F19" i="68" s="1"/>
  <c r="F20" i="68" s="1"/>
  <c r="F21" i="68" s="1"/>
  <c r="F22" i="68" s="1"/>
  <c r="F23" i="68" s="1"/>
  <c r="E18" i="67"/>
  <c r="E19" i="67" s="1"/>
  <c r="E20" i="67" s="1"/>
  <c r="E21" i="67" s="1"/>
  <c r="E22" i="67" s="1"/>
  <c r="E23" i="67" s="1"/>
  <c r="F18" i="67"/>
  <c r="F19" i="67" s="1"/>
  <c r="F20" i="67" s="1"/>
  <c r="F21" i="67" s="1"/>
  <c r="F22" i="67" s="1"/>
  <c r="F23" i="67" s="1"/>
  <c r="G18" i="67"/>
  <c r="G19" i="67" s="1"/>
  <c r="G20" i="67" s="1"/>
  <c r="G21" i="67" s="1"/>
  <c r="G22" i="67" s="1"/>
  <c r="G23" i="67" s="1"/>
  <c r="D18" i="67"/>
  <c r="D19" i="67" s="1"/>
  <c r="D20" i="67" s="1"/>
  <c r="D21" i="67" s="1"/>
  <c r="D22" i="67" s="1"/>
  <c r="D23" i="67" s="1"/>
  <c r="G18" i="66"/>
  <c r="G19" i="66" s="1"/>
  <c r="G20" i="66" s="1"/>
  <c r="G21" i="66" s="1"/>
  <c r="G22" i="66" s="1"/>
  <c r="G23" i="66" s="1"/>
  <c r="F18" i="66"/>
  <c r="F19" i="66" s="1"/>
  <c r="F20" i="66" s="1"/>
  <c r="F21" i="66" s="1"/>
  <c r="F22" i="66" s="1"/>
  <c r="F23" i="66" s="1"/>
  <c r="G18" i="65"/>
  <c r="G19" i="65" s="1"/>
  <c r="G20" i="65" s="1"/>
  <c r="G21" i="65" s="1"/>
  <c r="G22" i="65" s="1"/>
  <c r="G23" i="65" s="1"/>
  <c r="F18" i="65"/>
  <c r="F19" i="65" s="1"/>
  <c r="F20" i="65" s="1"/>
  <c r="F21" i="65" s="1"/>
  <c r="F22" i="65" s="1"/>
  <c r="F23" i="65" s="1"/>
  <c r="G18" i="63"/>
  <c r="G19" i="63" s="1"/>
  <c r="G20" i="63" s="1"/>
  <c r="G21" i="63" s="1"/>
  <c r="G22" i="63" s="1"/>
  <c r="G23" i="63" s="1"/>
  <c r="D18" i="63"/>
  <c r="D19" i="63" s="1"/>
  <c r="D20" i="63" s="1"/>
  <c r="D21" i="63" s="1"/>
  <c r="D22" i="63" s="1"/>
  <c r="D23" i="63" s="1"/>
  <c r="E18" i="63"/>
  <c r="E19" i="63" s="1"/>
  <c r="E20" i="63" s="1"/>
  <c r="E21" i="63" s="1"/>
  <c r="E22" i="63" s="1"/>
  <c r="E23" i="63" s="1"/>
  <c r="F18" i="63"/>
  <c r="F19" i="63" s="1"/>
  <c r="F20" i="63" s="1"/>
  <c r="F21" i="63" s="1"/>
  <c r="F22" i="63" s="1"/>
  <c r="F23" i="63" s="1"/>
  <c r="E18" i="62"/>
  <c r="E19" i="62" s="1"/>
  <c r="E20" i="62" s="1"/>
  <c r="E21" i="62" s="1"/>
  <c r="E22" i="62" s="1"/>
  <c r="E23" i="62" s="1"/>
  <c r="D18" i="62"/>
  <c r="D19" i="62" s="1"/>
  <c r="D20" i="62" s="1"/>
  <c r="D21" i="62" s="1"/>
  <c r="D22" i="62" s="1"/>
  <c r="D23" i="62" s="1"/>
  <c r="D18" i="61"/>
  <c r="D19" i="61" s="1"/>
  <c r="D20" i="61" s="1"/>
  <c r="D21" i="61" s="1"/>
  <c r="D22" i="61" s="1"/>
  <c r="D23" i="61" s="1"/>
  <c r="E18" i="61"/>
  <c r="E19" i="61" s="1"/>
  <c r="E20" i="61" s="1"/>
  <c r="E21" i="61" s="1"/>
  <c r="E22" i="61" s="1"/>
  <c r="E23" i="61" s="1"/>
  <c r="G18" i="60"/>
  <c r="G19" i="60" s="1"/>
  <c r="G20" i="60" s="1"/>
  <c r="G21" i="60" s="1"/>
  <c r="G22" i="60" s="1"/>
  <c r="G23" i="60" s="1"/>
  <c r="F18" i="60"/>
  <c r="F19" i="60" s="1"/>
  <c r="F20" i="60" s="1"/>
  <c r="F21" i="60" s="1"/>
  <c r="F22" i="60" s="1"/>
  <c r="F23" i="60" s="1"/>
  <c r="H19" i="67"/>
  <c r="H20" i="67" s="1"/>
  <c r="H21" i="67" s="1"/>
  <c r="H22" i="67" s="1"/>
  <c r="H23" i="67" s="1"/>
  <c r="H19" i="69"/>
  <c r="H20" i="69" s="1"/>
  <c r="H21" i="69" s="1"/>
  <c r="H22" i="69" s="1"/>
  <c r="H23" i="69" s="1"/>
  <c r="H19" i="63"/>
  <c r="H20" i="63" s="1"/>
  <c r="H21" i="63" s="1"/>
  <c r="H22" i="63" s="1"/>
  <c r="H23" i="63" s="1"/>
  <c r="N15" i="70"/>
  <c r="N15" i="69"/>
  <c r="N15" i="68"/>
  <c r="N15" i="67"/>
  <c r="N15" i="66"/>
  <c r="N15" i="65"/>
  <c r="N15" i="64"/>
  <c r="N15" i="63"/>
  <c r="N15" i="62"/>
  <c r="N15" i="61"/>
  <c r="N15" i="60" l="1"/>
  <c r="J23" i="62" l="1"/>
  <c r="J23" i="70" l="1"/>
  <c r="J23" i="69"/>
  <c r="K22" i="69"/>
  <c r="J23" i="68"/>
  <c r="K22" i="68"/>
  <c r="J23" i="67"/>
  <c r="K22" i="67"/>
  <c r="J23" i="65"/>
  <c r="K22" i="65"/>
  <c r="J23" i="61"/>
  <c r="V32" i="59" l="1"/>
  <c r="J11" i="70" s="1"/>
  <c r="L18" i="70" s="1"/>
  <c r="P32" i="59"/>
  <c r="J11" i="67" s="1"/>
  <c r="L18" i="67" s="1"/>
  <c r="N32" i="59"/>
  <c r="J11" i="66" s="1"/>
  <c r="L18" i="66" s="1"/>
  <c r="L32" i="59"/>
  <c r="J11" i="65" s="1"/>
  <c r="L18" i="65" s="1"/>
  <c r="V31" i="59"/>
  <c r="H11" i="70" s="1"/>
  <c r="T31" i="59"/>
  <c r="H11" i="69" s="1"/>
  <c r="R31" i="59"/>
  <c r="H11" i="68" s="1"/>
  <c r="P31" i="59"/>
  <c r="H11" i="67" s="1"/>
  <c r="N31" i="59"/>
  <c r="H11" i="66" s="1"/>
  <c r="L31" i="59"/>
  <c r="H11" i="65" s="1"/>
  <c r="V30" i="59"/>
  <c r="N19" i="70" s="1"/>
  <c r="T30" i="59"/>
  <c r="N19" i="69" s="1"/>
  <c r="R30" i="59"/>
  <c r="N19" i="68" s="1"/>
  <c r="P30" i="59"/>
  <c r="N19" i="67" s="1"/>
  <c r="N30" i="59"/>
  <c r="N19" i="66" s="1"/>
  <c r="L30" i="59"/>
  <c r="N19" i="65" s="1"/>
  <c r="V26" i="59"/>
  <c r="C2" i="70" s="1"/>
  <c r="T26" i="59"/>
  <c r="C2" i="69" s="1"/>
  <c r="R26" i="59"/>
  <c r="C2" i="68" s="1"/>
  <c r="P26" i="59"/>
  <c r="C2" i="67" s="1"/>
  <c r="N26" i="59"/>
  <c r="C2" i="66" s="1"/>
  <c r="L26" i="59"/>
  <c r="C2" i="65" s="1"/>
  <c r="N16" i="70"/>
  <c r="K5" i="70"/>
  <c r="J5" i="70" s="1"/>
  <c r="I5" i="70" s="1"/>
  <c r="L4" i="70"/>
  <c r="J4" i="70"/>
  <c r="K4" i="70" s="1"/>
  <c r="N16" i="69"/>
  <c r="J15" i="69"/>
  <c r="L6" i="69" s="1"/>
  <c r="K5" i="69"/>
  <c r="J5" i="69" s="1"/>
  <c r="I5" i="69" s="1"/>
  <c r="L4" i="69"/>
  <c r="J4" i="69"/>
  <c r="K4" i="69" s="1"/>
  <c r="N16" i="68"/>
  <c r="J15" i="68"/>
  <c r="K5" i="68"/>
  <c r="J5" i="68" s="1"/>
  <c r="I5" i="68" s="1"/>
  <c r="L4" i="68"/>
  <c r="J4" i="68"/>
  <c r="K4" i="68" s="1"/>
  <c r="N16" i="67"/>
  <c r="J15" i="67"/>
  <c r="K5" i="67"/>
  <c r="J5" i="67" s="1"/>
  <c r="I5" i="67" s="1"/>
  <c r="L4" i="67"/>
  <c r="J4" i="67"/>
  <c r="K4" i="67" s="1"/>
  <c r="N16" i="66"/>
  <c r="J15" i="66"/>
  <c r="K5" i="66"/>
  <c r="J5" i="66" s="1"/>
  <c r="I5" i="66" s="1"/>
  <c r="L4" i="66"/>
  <c r="J4" i="66"/>
  <c r="K4" i="66" s="1"/>
  <c r="N16" i="65"/>
  <c r="J15" i="65"/>
  <c r="K5" i="65"/>
  <c r="J5" i="65" s="1"/>
  <c r="I5" i="65" s="1"/>
  <c r="L4" i="65"/>
  <c r="J4" i="65"/>
  <c r="K4" i="65" s="1"/>
  <c r="D16" i="68" l="1"/>
  <c r="H16" i="68" s="1"/>
  <c r="E16" i="68"/>
  <c r="D16" i="65"/>
  <c r="H16" i="65" s="1"/>
  <c r="L6" i="65" s="1"/>
  <c r="E16" i="65"/>
  <c r="D16" i="66"/>
  <c r="E16" i="66"/>
  <c r="F16" i="70"/>
  <c r="D16" i="70"/>
  <c r="E16" i="70"/>
  <c r="G16" i="70"/>
  <c r="K6" i="69"/>
  <c r="J6" i="69" s="1"/>
  <c r="K22" i="66"/>
  <c r="B10" i="67"/>
  <c r="K10" i="67" s="1"/>
  <c r="G5" i="67" s="1"/>
  <c r="G6" i="67" s="1"/>
  <c r="D10" i="69"/>
  <c r="L6" i="68"/>
  <c r="D10" i="68"/>
  <c r="L6" i="67"/>
  <c r="D10" i="67"/>
  <c r="B10" i="69"/>
  <c r="K10" i="69" s="1"/>
  <c r="G5" i="69" s="1"/>
  <c r="G6" i="69" s="1"/>
  <c r="J19" i="69"/>
  <c r="E10" i="69" s="1"/>
  <c r="M10" i="69" s="1"/>
  <c r="J19" i="67"/>
  <c r="E10" i="67" s="1"/>
  <c r="M10" i="67" s="1"/>
  <c r="J15" i="58"/>
  <c r="H16" i="66" l="1"/>
  <c r="L6" i="66" s="1"/>
  <c r="H16" i="70"/>
  <c r="K6" i="67"/>
  <c r="J6" i="67" s="1"/>
  <c r="N10" i="67"/>
  <c r="I10" i="67"/>
  <c r="J10" i="67"/>
  <c r="F5" i="67" s="1"/>
  <c r="H5" i="67" s="1"/>
  <c r="C10" i="67"/>
  <c r="L10" i="67"/>
  <c r="F10" i="67"/>
  <c r="N11" i="67" s="1"/>
  <c r="N13" i="67" s="1"/>
  <c r="F10" i="69"/>
  <c r="N11" i="69" s="1"/>
  <c r="N13" i="69" s="1"/>
  <c r="C10" i="69"/>
  <c r="L10" i="69"/>
  <c r="I10" i="69"/>
  <c r="N10" i="69"/>
  <c r="J10" i="69"/>
  <c r="F5" i="69" s="1"/>
  <c r="N12" i="69" l="1"/>
  <c r="N12" i="67"/>
  <c r="H5" i="69"/>
  <c r="N16" i="61"/>
  <c r="G16" i="64"/>
  <c r="P6" i="59"/>
  <c r="O6" i="59"/>
  <c r="D103" i="22" l="1"/>
  <c r="P103" i="22" s="1"/>
  <c r="T103" i="22" s="1"/>
  <c r="C103" i="22"/>
  <c r="O103" i="22" s="1"/>
  <c r="D102" i="22"/>
  <c r="P102" i="22" s="1"/>
  <c r="T102" i="22" s="1"/>
  <c r="C102" i="22"/>
  <c r="O102" i="22" s="1"/>
  <c r="D101" i="22"/>
  <c r="P101" i="22" s="1"/>
  <c r="T101" i="22" s="1"/>
  <c r="C101" i="22"/>
  <c r="D100" i="22"/>
  <c r="J100" i="22" s="1"/>
  <c r="M100" i="22" s="1"/>
  <c r="V100" i="22" s="1"/>
  <c r="C100" i="22"/>
  <c r="O100" i="22" s="1"/>
  <c r="D99" i="22"/>
  <c r="P99" i="22" s="1"/>
  <c r="T99" i="22" s="1"/>
  <c r="C99" i="22"/>
  <c r="O99" i="22" s="1"/>
  <c r="D98" i="22"/>
  <c r="P98" i="22" s="1"/>
  <c r="T98" i="22" s="1"/>
  <c r="C98" i="22"/>
  <c r="O98" i="22" s="1"/>
  <c r="D97" i="22"/>
  <c r="P97" i="22" s="1"/>
  <c r="T97" i="22" s="1"/>
  <c r="C97" i="22"/>
  <c r="D96" i="22"/>
  <c r="J96" i="22" s="1"/>
  <c r="M96" i="22" s="1"/>
  <c r="V96" i="22" s="1"/>
  <c r="C96" i="22"/>
  <c r="O96" i="22" s="1"/>
  <c r="D95" i="22"/>
  <c r="C95" i="22"/>
  <c r="O95" i="22" s="1"/>
  <c r="D94" i="22"/>
  <c r="P94" i="22" s="1"/>
  <c r="T94" i="22" s="1"/>
  <c r="C94" i="22"/>
  <c r="D93" i="22"/>
  <c r="J93" i="22" s="1"/>
  <c r="M93" i="22" s="1"/>
  <c r="V93" i="22" s="1"/>
  <c r="C93" i="22"/>
  <c r="O93" i="22" s="1"/>
  <c r="D92" i="22"/>
  <c r="P92" i="22" s="1"/>
  <c r="T92" i="22" s="1"/>
  <c r="C92" i="22"/>
  <c r="O92" i="22" s="1"/>
  <c r="D91" i="22"/>
  <c r="P91" i="22" s="1"/>
  <c r="T91" i="22" s="1"/>
  <c r="C91" i="22"/>
  <c r="O91" i="22" s="1"/>
  <c r="D90" i="22"/>
  <c r="P90" i="22" s="1"/>
  <c r="T90" i="22" s="1"/>
  <c r="C90" i="22"/>
  <c r="D89" i="22"/>
  <c r="J89" i="22" s="1"/>
  <c r="M89" i="22" s="1"/>
  <c r="V89" i="22" s="1"/>
  <c r="C89" i="22"/>
  <c r="O89" i="22" s="1"/>
  <c r="D88" i="22"/>
  <c r="P88" i="22" s="1"/>
  <c r="T88" i="22" s="1"/>
  <c r="C88" i="22"/>
  <c r="O88" i="22" s="1"/>
  <c r="D87" i="22"/>
  <c r="P87" i="22" s="1"/>
  <c r="T87" i="22" s="1"/>
  <c r="C87" i="22"/>
  <c r="O87" i="22" s="1"/>
  <c r="D86" i="22"/>
  <c r="P86" i="22" s="1"/>
  <c r="T86" i="22" s="1"/>
  <c r="C86" i="22"/>
  <c r="D85" i="22"/>
  <c r="J85" i="22" s="1"/>
  <c r="M85" i="22" s="1"/>
  <c r="V85" i="22" s="1"/>
  <c r="C85" i="22"/>
  <c r="O85" i="22" s="1"/>
  <c r="D84" i="22"/>
  <c r="P84" i="22" s="1"/>
  <c r="T84" i="22" s="1"/>
  <c r="C84" i="22"/>
  <c r="O84" i="22" s="1"/>
  <c r="D83" i="22"/>
  <c r="P83" i="22" s="1"/>
  <c r="T83" i="22" s="1"/>
  <c r="C83" i="22"/>
  <c r="O83" i="22" s="1"/>
  <c r="D82" i="22"/>
  <c r="P82" i="22" s="1"/>
  <c r="T82" i="22" s="1"/>
  <c r="C82" i="22"/>
  <c r="D81" i="22"/>
  <c r="J81" i="22" s="1"/>
  <c r="M81" i="22" s="1"/>
  <c r="V81" i="22" s="1"/>
  <c r="C81" i="22"/>
  <c r="D80" i="22"/>
  <c r="J80" i="22" s="1"/>
  <c r="M80" i="22" s="1"/>
  <c r="V80" i="22" s="1"/>
  <c r="C80" i="22"/>
  <c r="O80" i="22" s="1"/>
  <c r="D79" i="22"/>
  <c r="P79" i="22" s="1"/>
  <c r="T79" i="22" s="1"/>
  <c r="C79" i="22"/>
  <c r="O79" i="22" s="1"/>
  <c r="D78" i="22"/>
  <c r="P78" i="22" s="1"/>
  <c r="T78" i="22" s="1"/>
  <c r="C78" i="22"/>
  <c r="O78" i="22" s="1"/>
  <c r="D77" i="22"/>
  <c r="P77" i="22" s="1"/>
  <c r="T77" i="22" s="1"/>
  <c r="C77" i="22"/>
  <c r="D76" i="22"/>
  <c r="J76" i="22" s="1"/>
  <c r="M76" i="22" s="1"/>
  <c r="V76" i="22" s="1"/>
  <c r="C76" i="22"/>
  <c r="O76" i="22" s="1"/>
  <c r="D75" i="22"/>
  <c r="P75" i="22" s="1"/>
  <c r="T75" i="22" s="1"/>
  <c r="C75" i="22"/>
  <c r="O75" i="22" s="1"/>
  <c r="D74" i="22"/>
  <c r="P74" i="22" s="1"/>
  <c r="T74" i="22" s="1"/>
  <c r="C74" i="22"/>
  <c r="O74" i="22" s="1"/>
  <c r="D73" i="22"/>
  <c r="P73" i="22" s="1"/>
  <c r="T73" i="22" s="1"/>
  <c r="C73" i="22"/>
  <c r="D72" i="22"/>
  <c r="J72" i="22" s="1"/>
  <c r="M72" i="22" s="1"/>
  <c r="V72" i="22" s="1"/>
  <c r="C72" i="22"/>
  <c r="O72" i="22" s="1"/>
  <c r="D71" i="22"/>
  <c r="P71" i="22" s="1"/>
  <c r="T71" i="22" s="1"/>
  <c r="C71" i="22"/>
  <c r="O71" i="22" s="1"/>
  <c r="D70" i="22"/>
  <c r="P70" i="22" s="1"/>
  <c r="T70" i="22" s="1"/>
  <c r="C70" i="22"/>
  <c r="O70" i="22" s="1"/>
  <c r="D69" i="22"/>
  <c r="P69" i="22" s="1"/>
  <c r="T69" i="22" s="1"/>
  <c r="C69" i="22"/>
  <c r="D68" i="22"/>
  <c r="J68" i="22" s="1"/>
  <c r="M68" i="22" s="1"/>
  <c r="V68" i="22" s="1"/>
  <c r="C68" i="22"/>
  <c r="O68" i="22" s="1"/>
  <c r="D67" i="22"/>
  <c r="P67" i="22" s="1"/>
  <c r="T67" i="22" s="1"/>
  <c r="C67" i="22"/>
  <c r="O67" i="22" s="1"/>
  <c r="D66" i="22"/>
  <c r="P66" i="22" s="1"/>
  <c r="T66" i="22" s="1"/>
  <c r="C66" i="22"/>
  <c r="O66" i="22" s="1"/>
  <c r="D65" i="22"/>
  <c r="P65" i="22" s="1"/>
  <c r="T65" i="22" s="1"/>
  <c r="C65" i="22"/>
  <c r="D64" i="22"/>
  <c r="J64" i="22" s="1"/>
  <c r="M64" i="22" s="1"/>
  <c r="V64" i="22" s="1"/>
  <c r="C64" i="22"/>
  <c r="O64" i="22" s="1"/>
  <c r="D63" i="22"/>
  <c r="P63" i="22" s="1"/>
  <c r="T63" i="22" s="1"/>
  <c r="C63" i="22"/>
  <c r="O63" i="22" s="1"/>
  <c r="D62" i="22"/>
  <c r="P62" i="22" s="1"/>
  <c r="T62" i="22" s="1"/>
  <c r="C62" i="22"/>
  <c r="O62" i="22" s="1"/>
  <c r="D61" i="22"/>
  <c r="P61" i="22" s="1"/>
  <c r="T61" i="22" s="1"/>
  <c r="C61" i="22"/>
  <c r="D60" i="22"/>
  <c r="J60" i="22" s="1"/>
  <c r="M60" i="22" s="1"/>
  <c r="V60" i="22" s="1"/>
  <c r="C60" i="22"/>
  <c r="O60" i="22" s="1"/>
  <c r="D59" i="22"/>
  <c r="P59" i="22" s="1"/>
  <c r="T59" i="22" s="1"/>
  <c r="C59" i="22"/>
  <c r="O59" i="22" s="1"/>
  <c r="D58" i="22"/>
  <c r="P58" i="22" s="1"/>
  <c r="T58" i="22" s="1"/>
  <c r="C58" i="22"/>
  <c r="O58" i="22" s="1"/>
  <c r="D57" i="22"/>
  <c r="P57" i="22" s="1"/>
  <c r="T57" i="22" s="1"/>
  <c r="C57" i="22"/>
  <c r="D56" i="22"/>
  <c r="J56" i="22" s="1"/>
  <c r="M56" i="22" s="1"/>
  <c r="V56" i="22" s="1"/>
  <c r="C56" i="22"/>
  <c r="O56" i="22" s="1"/>
  <c r="D55" i="22"/>
  <c r="P55" i="22" s="1"/>
  <c r="T55" i="22" s="1"/>
  <c r="C55" i="22"/>
  <c r="O55" i="22" s="1"/>
  <c r="D54" i="22"/>
  <c r="P54" i="22" s="1"/>
  <c r="T54" i="22" s="1"/>
  <c r="C54" i="22"/>
  <c r="O54" i="22" s="1"/>
  <c r="D53" i="22"/>
  <c r="C53" i="22"/>
  <c r="F53" i="22" s="1"/>
  <c r="G53" i="22" s="1"/>
  <c r="D52" i="22"/>
  <c r="P52" i="22" s="1"/>
  <c r="T52" i="22" s="1"/>
  <c r="C52" i="22"/>
  <c r="O52" i="22" s="1"/>
  <c r="D51" i="22"/>
  <c r="P51" i="22" s="1"/>
  <c r="T51" i="22" s="1"/>
  <c r="C51" i="22"/>
  <c r="O51" i="22" s="1"/>
  <c r="D50" i="22"/>
  <c r="P50" i="22" s="1"/>
  <c r="T50" i="22" s="1"/>
  <c r="C50" i="22"/>
  <c r="D49" i="22"/>
  <c r="J49" i="22" s="1"/>
  <c r="M49" i="22" s="1"/>
  <c r="V49" i="22" s="1"/>
  <c r="C49" i="22"/>
  <c r="O49" i="22" s="1"/>
  <c r="D48" i="22"/>
  <c r="P48" i="22" s="1"/>
  <c r="T48" i="22" s="1"/>
  <c r="C48" i="22"/>
  <c r="O48" i="22" s="1"/>
  <c r="D47" i="22"/>
  <c r="P47" i="22" s="1"/>
  <c r="T47" i="22" s="1"/>
  <c r="C47" i="22"/>
  <c r="O47" i="22" s="1"/>
  <c r="D46" i="22"/>
  <c r="P46" i="22" s="1"/>
  <c r="T46" i="22" s="1"/>
  <c r="C46" i="22"/>
  <c r="D45" i="22"/>
  <c r="J45" i="22" s="1"/>
  <c r="M45" i="22" s="1"/>
  <c r="V45" i="22" s="1"/>
  <c r="C45" i="22"/>
  <c r="O45" i="22" s="1"/>
  <c r="D44" i="22"/>
  <c r="P44" i="22" s="1"/>
  <c r="T44" i="22" s="1"/>
  <c r="C44" i="22"/>
  <c r="O44" i="22" s="1"/>
  <c r="D43" i="22"/>
  <c r="P43" i="22" s="1"/>
  <c r="T43" i="22" s="1"/>
  <c r="C43" i="22"/>
  <c r="O43" i="22" s="1"/>
  <c r="D42" i="22"/>
  <c r="P42" i="22" s="1"/>
  <c r="T42" i="22" s="1"/>
  <c r="C42" i="22"/>
  <c r="D41" i="22"/>
  <c r="J41" i="22" s="1"/>
  <c r="M41" i="22" s="1"/>
  <c r="V41" i="22" s="1"/>
  <c r="C41" i="22"/>
  <c r="O41" i="22" s="1"/>
  <c r="D40" i="22"/>
  <c r="P40" i="22" s="1"/>
  <c r="T40" i="22" s="1"/>
  <c r="C40" i="22"/>
  <c r="O40" i="22" s="1"/>
  <c r="D39" i="22"/>
  <c r="P39" i="22" s="1"/>
  <c r="T39" i="22" s="1"/>
  <c r="C39" i="22"/>
  <c r="O39" i="22" s="1"/>
  <c r="D38" i="22"/>
  <c r="C38" i="22"/>
  <c r="D37" i="22"/>
  <c r="C37" i="22"/>
  <c r="D36" i="22"/>
  <c r="C36" i="22"/>
  <c r="D35" i="22"/>
  <c r="C35" i="22"/>
  <c r="D34" i="22"/>
  <c r="C34" i="22"/>
  <c r="D33" i="22"/>
  <c r="C33" i="22"/>
  <c r="D32" i="22"/>
  <c r="C32" i="22"/>
  <c r="D31" i="22"/>
  <c r="C31" i="22"/>
  <c r="D30" i="22"/>
  <c r="C30" i="22"/>
  <c r="D29" i="22"/>
  <c r="C29" i="22"/>
  <c r="D28" i="22"/>
  <c r="C28" i="22"/>
  <c r="D27" i="22"/>
  <c r="C27" i="22"/>
  <c r="D26" i="22"/>
  <c r="C26" i="22"/>
  <c r="D25" i="22"/>
  <c r="C25" i="22"/>
  <c r="D24" i="22"/>
  <c r="C24" i="22"/>
  <c r="D23" i="22"/>
  <c r="C23" i="22"/>
  <c r="D22" i="22"/>
  <c r="C22" i="22"/>
  <c r="D21" i="22"/>
  <c r="C21" i="22"/>
  <c r="D20" i="22"/>
  <c r="C20" i="22"/>
  <c r="D19" i="22"/>
  <c r="C19" i="22"/>
  <c r="D18" i="22"/>
  <c r="C18" i="22"/>
  <c r="D17" i="22"/>
  <c r="C17" i="22"/>
  <c r="D16" i="22"/>
  <c r="C16" i="22"/>
  <c r="D15" i="22"/>
  <c r="C15" i="22"/>
  <c r="D14" i="22"/>
  <c r="C14" i="22"/>
  <c r="D13" i="22"/>
  <c r="C13" i="22"/>
  <c r="D12" i="22"/>
  <c r="C12" i="22"/>
  <c r="D11" i="22"/>
  <c r="C11" i="22"/>
  <c r="D10" i="22"/>
  <c r="C10" i="22"/>
  <c r="D9" i="22"/>
  <c r="C9" i="22"/>
  <c r="D8" i="22"/>
  <c r="C8" i="22"/>
  <c r="D7" i="22"/>
  <c r="C7" i="22"/>
  <c r="D6" i="22"/>
  <c r="C6" i="22"/>
  <c r="D5" i="22"/>
  <c r="C5" i="22"/>
  <c r="D4" i="22"/>
  <c r="P4" i="22" s="1"/>
  <c r="C4" i="22"/>
  <c r="B4" i="22"/>
  <c r="B5" i="22" s="1"/>
  <c r="B6" i="22" s="1"/>
  <c r="B7" i="22" s="1"/>
  <c r="B8" i="22" s="1"/>
  <c r="B9" i="22" s="1"/>
  <c r="B10" i="22" s="1"/>
  <c r="B11" i="22" s="1"/>
  <c r="B12" i="22" s="1"/>
  <c r="B13" i="22" s="1"/>
  <c r="B14" i="22" s="1"/>
  <c r="B15" i="22" s="1"/>
  <c r="B16" i="22" s="1"/>
  <c r="B17" i="22" s="1"/>
  <c r="B18" i="22" s="1"/>
  <c r="B19" i="22" s="1"/>
  <c r="B20" i="22" s="1"/>
  <c r="B21" i="22" s="1"/>
  <c r="B22" i="22" s="1"/>
  <c r="B23" i="22" s="1"/>
  <c r="B24" i="22" s="1"/>
  <c r="B25" i="22" s="1"/>
  <c r="B26" i="22" s="1"/>
  <c r="B27" i="22" s="1"/>
  <c r="B28" i="22" s="1"/>
  <c r="B29" i="22" s="1"/>
  <c r="B30" i="22" s="1"/>
  <c r="B31" i="22" s="1"/>
  <c r="B32" i="22" s="1"/>
  <c r="B33" i="22" s="1"/>
  <c r="B34" i="22" s="1"/>
  <c r="B35" i="22" s="1"/>
  <c r="B36" i="22" s="1"/>
  <c r="B37" i="22" s="1"/>
  <c r="B38" i="22" s="1"/>
  <c r="B39" i="22" s="1"/>
  <c r="B40" i="22" s="1"/>
  <c r="B41" i="22" s="1"/>
  <c r="B42" i="22" s="1"/>
  <c r="B43" i="22" s="1"/>
  <c r="B44" i="22" s="1"/>
  <c r="B45" i="22" s="1"/>
  <c r="B46" i="22" s="1"/>
  <c r="B47" i="22" s="1"/>
  <c r="B48" i="22" s="1"/>
  <c r="B49" i="22" s="1"/>
  <c r="B50" i="22" s="1"/>
  <c r="B51" i="22" s="1"/>
  <c r="B52" i="22" s="1"/>
  <c r="B53" i="22" s="1"/>
  <c r="B54" i="22" s="1"/>
  <c r="B55" i="22" s="1"/>
  <c r="B56" i="22" s="1"/>
  <c r="B57" i="22" s="1"/>
  <c r="B58" i="22" s="1"/>
  <c r="B59" i="22" s="1"/>
  <c r="B60" i="22" s="1"/>
  <c r="B61" i="22" s="1"/>
  <c r="B62" i="22" s="1"/>
  <c r="B63" i="22" s="1"/>
  <c r="B64" i="22" s="1"/>
  <c r="B65" i="22" s="1"/>
  <c r="B66" i="22" s="1"/>
  <c r="B67" i="22" s="1"/>
  <c r="B68" i="22" s="1"/>
  <c r="B69" i="22" s="1"/>
  <c r="B70" i="22" s="1"/>
  <c r="B71" i="22" s="1"/>
  <c r="B72" i="22" s="1"/>
  <c r="B73" i="22" s="1"/>
  <c r="B74" i="22" s="1"/>
  <c r="B75" i="22" s="1"/>
  <c r="B76" i="22" s="1"/>
  <c r="B77" i="22" s="1"/>
  <c r="B78" i="22" s="1"/>
  <c r="B79" i="22" s="1"/>
  <c r="B80" i="22" s="1"/>
  <c r="B81" i="22" s="1"/>
  <c r="B82" i="22" s="1"/>
  <c r="B83" i="22" s="1"/>
  <c r="B84" i="22" s="1"/>
  <c r="B85" i="22" s="1"/>
  <c r="B86" i="22" s="1"/>
  <c r="B87" i="22" s="1"/>
  <c r="B88" i="22" s="1"/>
  <c r="B89" i="22" s="1"/>
  <c r="B90" i="22" s="1"/>
  <c r="B91" i="22" s="1"/>
  <c r="B92" i="22" s="1"/>
  <c r="B93" i="22" s="1"/>
  <c r="B94" i="22" s="1"/>
  <c r="B95" i="22" s="1"/>
  <c r="B96" i="22" s="1"/>
  <c r="B97" i="22" s="1"/>
  <c r="B98" i="22" s="1"/>
  <c r="B99" i="22" s="1"/>
  <c r="B100" i="22" s="1"/>
  <c r="B101" i="22" s="1"/>
  <c r="B102" i="22" s="1"/>
  <c r="B103" i="22" s="1"/>
  <c r="G3" i="22"/>
  <c r="H3" i="22" s="1"/>
  <c r="R41" i="22" l="1"/>
  <c r="R64" i="22"/>
  <c r="R80" i="22"/>
  <c r="R100" i="22"/>
  <c r="R49" i="22"/>
  <c r="R72" i="22"/>
  <c r="R89" i="22"/>
  <c r="R102" i="22"/>
  <c r="I53" i="22"/>
  <c r="H53" i="22"/>
  <c r="P5" i="22"/>
  <c r="P6" i="22" s="1"/>
  <c r="P7" i="22" s="1"/>
  <c r="P8" i="22" s="1"/>
  <c r="P9" i="22" s="1"/>
  <c r="P10" i="22" s="1"/>
  <c r="P11" i="22" s="1"/>
  <c r="P12" i="22" s="1"/>
  <c r="P13" i="22" s="1"/>
  <c r="P14" i="22" s="1"/>
  <c r="P15" i="22" s="1"/>
  <c r="P16" i="22" s="1"/>
  <c r="P17" i="22" s="1"/>
  <c r="P18" i="22" s="1"/>
  <c r="P19" i="22" s="1"/>
  <c r="P20" i="22" s="1"/>
  <c r="P21" i="22" s="1"/>
  <c r="P22" i="22" s="1"/>
  <c r="P23" i="22" s="1"/>
  <c r="P24" i="22" s="1"/>
  <c r="P25" i="22" s="1"/>
  <c r="P26" i="22" s="1"/>
  <c r="P27" i="22" s="1"/>
  <c r="P28" i="22" s="1"/>
  <c r="P29" i="22" s="1"/>
  <c r="P30" i="22" s="1"/>
  <c r="P31" i="22" s="1"/>
  <c r="P32" i="22" s="1"/>
  <c r="P33" i="22" s="1"/>
  <c r="P34" i="22" s="1"/>
  <c r="P35" i="22" s="1"/>
  <c r="P36" i="22" s="1"/>
  <c r="F39" i="22"/>
  <c r="G39" i="22" s="1"/>
  <c r="H39" i="22" s="1"/>
  <c r="L39" i="22"/>
  <c r="J43" i="22"/>
  <c r="M43" i="22" s="1"/>
  <c r="V43" i="22" s="1"/>
  <c r="R43" i="22"/>
  <c r="F45" i="22"/>
  <c r="G45" i="22" s="1"/>
  <c r="L45" i="22"/>
  <c r="F47" i="22"/>
  <c r="G47" i="22" s="1"/>
  <c r="H47" i="22" s="1"/>
  <c r="L47" i="22"/>
  <c r="J51" i="22"/>
  <c r="M51" i="22" s="1"/>
  <c r="V51" i="22" s="1"/>
  <c r="R51" i="22"/>
  <c r="J54" i="22"/>
  <c r="M54" i="22" s="1"/>
  <c r="V54" i="22" s="1"/>
  <c r="R54" i="22"/>
  <c r="F56" i="22"/>
  <c r="G56" i="22" s="1"/>
  <c r="L56" i="22"/>
  <c r="F58" i="22"/>
  <c r="G58" i="22" s="1"/>
  <c r="I58" i="22" s="1"/>
  <c r="L58" i="22"/>
  <c r="R60" i="22"/>
  <c r="J62" i="22"/>
  <c r="M62" i="22" s="1"/>
  <c r="V62" i="22" s="1"/>
  <c r="R62" i="22"/>
  <c r="F64" i="22"/>
  <c r="G64" i="22" s="1"/>
  <c r="L64" i="22"/>
  <c r="F66" i="22"/>
  <c r="G66" i="22" s="1"/>
  <c r="H66" i="22" s="1"/>
  <c r="L66" i="22"/>
  <c r="R68" i="22"/>
  <c r="J70" i="22"/>
  <c r="M70" i="22" s="1"/>
  <c r="V70" i="22" s="1"/>
  <c r="R70" i="22"/>
  <c r="F72" i="22"/>
  <c r="G72" i="22" s="1"/>
  <c r="L72" i="22"/>
  <c r="F74" i="22"/>
  <c r="G74" i="22" s="1"/>
  <c r="H74" i="22" s="1"/>
  <c r="L74" i="22"/>
  <c r="R76" i="22"/>
  <c r="J78" i="22"/>
  <c r="M78" i="22" s="1"/>
  <c r="V78" i="22" s="1"/>
  <c r="R78" i="22"/>
  <c r="F80" i="22"/>
  <c r="G80" i="22" s="1"/>
  <c r="L80" i="22"/>
  <c r="P81" i="22"/>
  <c r="T81" i="22" s="1"/>
  <c r="F83" i="22"/>
  <c r="G83" i="22" s="1"/>
  <c r="I83" i="22" s="1"/>
  <c r="L83" i="22"/>
  <c r="R85" i="22"/>
  <c r="J87" i="22"/>
  <c r="M87" i="22" s="1"/>
  <c r="V87" i="22" s="1"/>
  <c r="R87" i="22"/>
  <c r="F89" i="22"/>
  <c r="G89" i="22" s="1"/>
  <c r="L89" i="22"/>
  <c r="F91" i="22"/>
  <c r="G91" i="22" s="1"/>
  <c r="H91" i="22" s="1"/>
  <c r="L91" i="22"/>
  <c r="R93" i="22"/>
  <c r="F96" i="22"/>
  <c r="G96" i="22" s="1"/>
  <c r="L96" i="22"/>
  <c r="F98" i="22"/>
  <c r="G98" i="22" s="1"/>
  <c r="I98" i="22" s="1"/>
  <c r="L98" i="22"/>
  <c r="J102" i="22"/>
  <c r="M102" i="22" s="1"/>
  <c r="V102" i="22" s="1"/>
  <c r="J39" i="22"/>
  <c r="M39" i="22" s="1"/>
  <c r="V39" i="22" s="1"/>
  <c r="R39" i="22"/>
  <c r="F41" i="22"/>
  <c r="G41" i="22" s="1"/>
  <c r="L41" i="22"/>
  <c r="F43" i="22"/>
  <c r="G43" i="22" s="1"/>
  <c r="H43" i="22" s="1"/>
  <c r="L43" i="22"/>
  <c r="R45" i="22"/>
  <c r="J47" i="22"/>
  <c r="M47" i="22" s="1"/>
  <c r="V47" i="22" s="1"/>
  <c r="R47" i="22"/>
  <c r="F49" i="22"/>
  <c r="G49" i="22" s="1"/>
  <c r="L49" i="22"/>
  <c r="F51" i="22"/>
  <c r="G51" i="22" s="1"/>
  <c r="H51" i="22" s="1"/>
  <c r="L51" i="22"/>
  <c r="F54" i="22"/>
  <c r="G54" i="22" s="1"/>
  <c r="H54" i="22" s="1"/>
  <c r="L54" i="22"/>
  <c r="R56" i="22"/>
  <c r="J58" i="22"/>
  <c r="M58" i="22" s="1"/>
  <c r="V58" i="22" s="1"/>
  <c r="R58" i="22"/>
  <c r="F60" i="22"/>
  <c r="G60" i="22" s="1"/>
  <c r="L60" i="22"/>
  <c r="F62" i="22"/>
  <c r="G62" i="22" s="1"/>
  <c r="H62" i="22" s="1"/>
  <c r="L62" i="22"/>
  <c r="J66" i="22"/>
  <c r="M66" i="22" s="1"/>
  <c r="V66" i="22" s="1"/>
  <c r="R66" i="22"/>
  <c r="F68" i="22"/>
  <c r="G68" i="22" s="1"/>
  <c r="L68" i="22"/>
  <c r="F70" i="22"/>
  <c r="G70" i="22" s="1"/>
  <c r="H70" i="22" s="1"/>
  <c r="L70" i="22"/>
  <c r="J74" i="22"/>
  <c r="M74" i="22" s="1"/>
  <c r="V74" i="22" s="1"/>
  <c r="R74" i="22"/>
  <c r="F76" i="22"/>
  <c r="G76" i="22" s="1"/>
  <c r="L76" i="22"/>
  <c r="F78" i="22"/>
  <c r="G78" i="22" s="1"/>
  <c r="H78" i="22" s="1"/>
  <c r="L78" i="22"/>
  <c r="J83" i="22"/>
  <c r="M83" i="22" s="1"/>
  <c r="V83" i="22" s="1"/>
  <c r="R83" i="22"/>
  <c r="F85" i="22"/>
  <c r="G85" i="22" s="1"/>
  <c r="L85" i="22"/>
  <c r="F87" i="22"/>
  <c r="G87" i="22" s="1"/>
  <c r="H87" i="22" s="1"/>
  <c r="L87" i="22"/>
  <c r="J91" i="22"/>
  <c r="M91" i="22" s="1"/>
  <c r="V91" i="22" s="1"/>
  <c r="R91" i="22"/>
  <c r="F93" i="22"/>
  <c r="G93" i="22" s="1"/>
  <c r="L93" i="22"/>
  <c r="R96" i="22"/>
  <c r="J98" i="22"/>
  <c r="M98" i="22" s="1"/>
  <c r="V98" i="22" s="1"/>
  <c r="R98" i="22"/>
  <c r="F100" i="22"/>
  <c r="G100" i="22" s="1"/>
  <c r="L100" i="22"/>
  <c r="F102" i="22"/>
  <c r="G102" i="22" s="1"/>
  <c r="H102" i="22" s="1"/>
  <c r="L102" i="22"/>
  <c r="R4" i="22"/>
  <c r="R5" i="22" s="1"/>
  <c r="R6" i="22" s="1"/>
  <c r="R7" i="22" s="1"/>
  <c r="L4" i="22"/>
  <c r="L5" i="22" s="1"/>
  <c r="L6" i="22" s="1"/>
  <c r="O6" i="22" s="1"/>
  <c r="F4" i="22"/>
  <c r="E4" i="22"/>
  <c r="E5" i="22" s="1"/>
  <c r="E6" i="22" s="1"/>
  <c r="E7" i="22" s="1"/>
  <c r="E8" i="22" s="1"/>
  <c r="E9" i="22" s="1"/>
  <c r="E10" i="22" s="1"/>
  <c r="E11" i="22" s="1"/>
  <c r="E12" i="22" s="1"/>
  <c r="E13" i="22" s="1"/>
  <c r="E14" i="22" s="1"/>
  <c r="E15" i="22" s="1"/>
  <c r="E16" i="22" s="1"/>
  <c r="E17" i="22" s="1"/>
  <c r="E18" i="22" s="1"/>
  <c r="E19" i="22" s="1"/>
  <c r="E20" i="22" s="1"/>
  <c r="E21" i="22" s="1"/>
  <c r="E22" i="22" s="1"/>
  <c r="E23" i="22" s="1"/>
  <c r="E24" i="22" s="1"/>
  <c r="E25" i="22" s="1"/>
  <c r="E26" i="22" s="1"/>
  <c r="E27" i="22" s="1"/>
  <c r="E28" i="22" s="1"/>
  <c r="E29" i="22" s="1"/>
  <c r="E30" i="22" s="1"/>
  <c r="E31" i="22" s="1"/>
  <c r="E32" i="22" s="1"/>
  <c r="E33" i="22" s="1"/>
  <c r="E34" i="22" s="1"/>
  <c r="P37" i="22"/>
  <c r="P38" i="22" s="1"/>
  <c r="P41" i="22"/>
  <c r="T41" i="22" s="1"/>
  <c r="R42" i="22"/>
  <c r="L42" i="22"/>
  <c r="F42" i="22"/>
  <c r="G42" i="22" s="1"/>
  <c r="E42" i="22"/>
  <c r="P45" i="22"/>
  <c r="T45" i="22" s="1"/>
  <c r="R46" i="22"/>
  <c r="L46" i="22"/>
  <c r="F46" i="22"/>
  <c r="G46" i="22" s="1"/>
  <c r="E46" i="22"/>
  <c r="P49" i="22"/>
  <c r="T49" i="22" s="1"/>
  <c r="R50" i="22"/>
  <c r="L50" i="22"/>
  <c r="F50" i="22"/>
  <c r="G50" i="22" s="1"/>
  <c r="E50" i="22"/>
  <c r="P53" i="22"/>
  <c r="T53" i="22" s="1"/>
  <c r="J53" i="22"/>
  <c r="M53" i="22" s="1"/>
  <c r="V53" i="22" s="1"/>
  <c r="P56" i="22"/>
  <c r="T56" i="22" s="1"/>
  <c r="P60" i="22"/>
  <c r="T60" i="22" s="1"/>
  <c r="P64" i="22"/>
  <c r="T64" i="22" s="1"/>
  <c r="P68" i="22"/>
  <c r="T68" i="22" s="1"/>
  <c r="R40" i="22"/>
  <c r="L40" i="22"/>
  <c r="F40" i="22"/>
  <c r="G40" i="22" s="1"/>
  <c r="E40" i="22"/>
  <c r="O42" i="22"/>
  <c r="R44" i="22"/>
  <c r="L44" i="22"/>
  <c r="F44" i="22"/>
  <c r="G44" i="22" s="1"/>
  <c r="E44" i="22"/>
  <c r="O46" i="22"/>
  <c r="R48" i="22"/>
  <c r="L48" i="22"/>
  <c r="F48" i="22"/>
  <c r="G48" i="22" s="1"/>
  <c r="E48" i="22"/>
  <c r="O50" i="22"/>
  <c r="R52" i="22"/>
  <c r="L52" i="22"/>
  <c r="F52" i="22"/>
  <c r="G52" i="22" s="1"/>
  <c r="E52" i="22"/>
  <c r="R57" i="22"/>
  <c r="L57" i="22"/>
  <c r="F57" i="22"/>
  <c r="G57" i="22" s="1"/>
  <c r="O57" i="22"/>
  <c r="E57" i="22"/>
  <c r="R61" i="22"/>
  <c r="L61" i="22"/>
  <c r="F61" i="22"/>
  <c r="G61" i="22" s="1"/>
  <c r="O61" i="22"/>
  <c r="E61" i="22"/>
  <c r="R65" i="22"/>
  <c r="L65" i="22"/>
  <c r="F65" i="22"/>
  <c r="G65" i="22" s="1"/>
  <c r="O65" i="22"/>
  <c r="E65" i="22"/>
  <c r="R69" i="22"/>
  <c r="L69" i="22"/>
  <c r="F69" i="22"/>
  <c r="G69" i="22" s="1"/>
  <c r="O69" i="22"/>
  <c r="E69" i="22"/>
  <c r="P72" i="22"/>
  <c r="T72" i="22" s="1"/>
  <c r="R73" i="22"/>
  <c r="L73" i="22"/>
  <c r="F73" i="22"/>
  <c r="G73" i="22" s="1"/>
  <c r="E73" i="22"/>
  <c r="P76" i="22"/>
  <c r="T76" i="22" s="1"/>
  <c r="R77" i="22"/>
  <c r="L77" i="22"/>
  <c r="F77" i="22"/>
  <c r="G77" i="22" s="1"/>
  <c r="E77" i="22"/>
  <c r="P80" i="22"/>
  <c r="T80" i="22" s="1"/>
  <c r="O81" i="22"/>
  <c r="R81" i="22"/>
  <c r="F81" i="22"/>
  <c r="G81" i="22" s="1"/>
  <c r="E81" i="22"/>
  <c r="L81" i="22"/>
  <c r="P85" i="22"/>
  <c r="T85" i="22" s="1"/>
  <c r="P89" i="22"/>
  <c r="T89" i="22" s="1"/>
  <c r="P93" i="22"/>
  <c r="T93" i="22" s="1"/>
  <c r="P96" i="22"/>
  <c r="T96" i="22" s="1"/>
  <c r="J4" i="22"/>
  <c r="E35" i="22"/>
  <c r="E36" i="22" s="1"/>
  <c r="E37" i="22" s="1"/>
  <c r="E38" i="22" s="1"/>
  <c r="E39" i="22"/>
  <c r="J40" i="22"/>
  <c r="M40" i="22" s="1"/>
  <c r="V40" i="22" s="1"/>
  <c r="E41" i="22"/>
  <c r="J42" i="22"/>
  <c r="M42" i="22" s="1"/>
  <c r="V42" i="22" s="1"/>
  <c r="E43" i="22"/>
  <c r="J44" i="22"/>
  <c r="M44" i="22" s="1"/>
  <c r="V44" i="22" s="1"/>
  <c r="E45" i="22"/>
  <c r="J46" i="22"/>
  <c r="M46" i="22" s="1"/>
  <c r="V46" i="22" s="1"/>
  <c r="E47" i="22"/>
  <c r="J48" i="22"/>
  <c r="M48" i="22" s="1"/>
  <c r="V48" i="22" s="1"/>
  <c r="E49" i="22"/>
  <c r="J50" i="22"/>
  <c r="M50" i="22" s="1"/>
  <c r="V50" i="22" s="1"/>
  <c r="E51" i="22"/>
  <c r="J52" i="22"/>
  <c r="M52" i="22" s="1"/>
  <c r="V52" i="22" s="1"/>
  <c r="R53" i="22"/>
  <c r="L53" i="22"/>
  <c r="E53" i="22"/>
  <c r="O53" i="22"/>
  <c r="R55" i="22"/>
  <c r="L55" i="22"/>
  <c r="F55" i="22"/>
  <c r="G55" i="22" s="1"/>
  <c r="E55" i="22"/>
  <c r="R59" i="22"/>
  <c r="L59" i="22"/>
  <c r="F59" i="22"/>
  <c r="G59" i="22" s="1"/>
  <c r="E59" i="22"/>
  <c r="R63" i="22"/>
  <c r="L63" i="22"/>
  <c r="F63" i="22"/>
  <c r="G63" i="22" s="1"/>
  <c r="E63" i="22"/>
  <c r="R67" i="22"/>
  <c r="L67" i="22"/>
  <c r="F67" i="22"/>
  <c r="G67" i="22" s="1"/>
  <c r="E67" i="22"/>
  <c r="R71" i="22"/>
  <c r="L71" i="22"/>
  <c r="F71" i="22"/>
  <c r="G71" i="22" s="1"/>
  <c r="E71" i="22"/>
  <c r="O73" i="22"/>
  <c r="R75" i="22"/>
  <c r="L75" i="22"/>
  <c r="F75" i="22"/>
  <c r="G75" i="22" s="1"/>
  <c r="E75" i="22"/>
  <c r="O77" i="22"/>
  <c r="R79" i="22"/>
  <c r="L79" i="22"/>
  <c r="F79" i="22"/>
  <c r="G79" i="22" s="1"/>
  <c r="E79" i="22"/>
  <c r="R82" i="22"/>
  <c r="L82" i="22"/>
  <c r="F82" i="22"/>
  <c r="G82" i="22" s="1"/>
  <c r="O82" i="22"/>
  <c r="E82" i="22"/>
  <c r="R86" i="22"/>
  <c r="L86" i="22"/>
  <c r="F86" i="22"/>
  <c r="G86" i="22" s="1"/>
  <c r="O86" i="22"/>
  <c r="E86" i="22"/>
  <c r="R90" i="22"/>
  <c r="L90" i="22"/>
  <c r="F90" i="22"/>
  <c r="G90" i="22" s="1"/>
  <c r="O90" i="22"/>
  <c r="E90" i="22"/>
  <c r="R94" i="22"/>
  <c r="L94" i="22"/>
  <c r="F94" i="22"/>
  <c r="G94" i="22" s="1"/>
  <c r="O94" i="22"/>
  <c r="E94" i="22"/>
  <c r="P100" i="22"/>
  <c r="T100" i="22" s="1"/>
  <c r="E54" i="22"/>
  <c r="J55" i="22"/>
  <c r="M55" i="22" s="1"/>
  <c r="V55" i="22" s="1"/>
  <c r="E56" i="22"/>
  <c r="J57" i="22"/>
  <c r="M57" i="22" s="1"/>
  <c r="V57" i="22" s="1"/>
  <c r="E58" i="22"/>
  <c r="J59" i="22"/>
  <c r="M59" i="22" s="1"/>
  <c r="V59" i="22" s="1"/>
  <c r="E60" i="22"/>
  <c r="J61" i="22"/>
  <c r="M61" i="22" s="1"/>
  <c r="V61" i="22" s="1"/>
  <c r="E62" i="22"/>
  <c r="J63" i="22"/>
  <c r="M63" i="22" s="1"/>
  <c r="V63" i="22" s="1"/>
  <c r="E64" i="22"/>
  <c r="J65" i="22"/>
  <c r="M65" i="22" s="1"/>
  <c r="V65" i="22" s="1"/>
  <c r="E66" i="22"/>
  <c r="J67" i="22"/>
  <c r="M67" i="22" s="1"/>
  <c r="V67" i="22" s="1"/>
  <c r="E68" i="22"/>
  <c r="J69" i="22"/>
  <c r="M69" i="22" s="1"/>
  <c r="V69" i="22" s="1"/>
  <c r="E70" i="22"/>
  <c r="J71" i="22"/>
  <c r="M71" i="22" s="1"/>
  <c r="V71" i="22" s="1"/>
  <c r="E72" i="22"/>
  <c r="J73" i="22"/>
  <c r="M73" i="22" s="1"/>
  <c r="V73" i="22" s="1"/>
  <c r="E74" i="22"/>
  <c r="J75" i="22"/>
  <c r="M75" i="22" s="1"/>
  <c r="V75" i="22" s="1"/>
  <c r="E76" i="22"/>
  <c r="J77" i="22"/>
  <c r="M77" i="22" s="1"/>
  <c r="V77" i="22" s="1"/>
  <c r="E78" i="22"/>
  <c r="J79" i="22"/>
  <c r="M79" i="22" s="1"/>
  <c r="V79" i="22" s="1"/>
  <c r="E80" i="22"/>
  <c r="R84" i="22"/>
  <c r="L84" i="22"/>
  <c r="F84" i="22"/>
  <c r="G84" i="22" s="1"/>
  <c r="E84" i="22"/>
  <c r="R88" i="22"/>
  <c r="L88" i="22"/>
  <c r="F88" i="22"/>
  <c r="G88" i="22" s="1"/>
  <c r="E88" i="22"/>
  <c r="R92" i="22"/>
  <c r="L92" i="22"/>
  <c r="F92" i="22"/>
  <c r="G92" i="22" s="1"/>
  <c r="E92" i="22"/>
  <c r="P95" i="22"/>
  <c r="T95" i="22" s="1"/>
  <c r="J95" i="22"/>
  <c r="M95" i="22" s="1"/>
  <c r="V95" i="22" s="1"/>
  <c r="R97" i="22"/>
  <c r="L97" i="22"/>
  <c r="F97" i="22"/>
  <c r="G97" i="22" s="1"/>
  <c r="O97" i="22"/>
  <c r="E97" i="22"/>
  <c r="R101" i="22"/>
  <c r="L101" i="22"/>
  <c r="F101" i="22"/>
  <c r="G101" i="22" s="1"/>
  <c r="O101" i="22"/>
  <c r="E101" i="22"/>
  <c r="J82" i="22"/>
  <c r="M82" i="22" s="1"/>
  <c r="V82" i="22" s="1"/>
  <c r="E83" i="22"/>
  <c r="J84" i="22"/>
  <c r="M84" i="22" s="1"/>
  <c r="V84" i="22" s="1"/>
  <c r="E85" i="22"/>
  <c r="J86" i="22"/>
  <c r="M86" i="22" s="1"/>
  <c r="V86" i="22" s="1"/>
  <c r="E87" i="22"/>
  <c r="J88" i="22"/>
  <c r="M88" i="22" s="1"/>
  <c r="V88" i="22" s="1"/>
  <c r="E89" i="22"/>
  <c r="J90" i="22"/>
  <c r="M90" i="22" s="1"/>
  <c r="V90" i="22" s="1"/>
  <c r="E91" i="22"/>
  <c r="J92" i="22"/>
  <c r="M92" i="22" s="1"/>
  <c r="V92" i="22" s="1"/>
  <c r="E93" i="22"/>
  <c r="J94" i="22"/>
  <c r="M94" i="22" s="1"/>
  <c r="V94" i="22" s="1"/>
  <c r="R95" i="22"/>
  <c r="L95" i="22"/>
  <c r="F95" i="22"/>
  <c r="G95" i="22" s="1"/>
  <c r="E95" i="22"/>
  <c r="R99" i="22"/>
  <c r="L99" i="22"/>
  <c r="F99" i="22"/>
  <c r="G99" i="22" s="1"/>
  <c r="E99" i="22"/>
  <c r="R103" i="22"/>
  <c r="L103" i="22"/>
  <c r="F103" i="22"/>
  <c r="G103" i="22" s="1"/>
  <c r="E103" i="22"/>
  <c r="E96" i="22"/>
  <c r="J97" i="22"/>
  <c r="M97" i="22" s="1"/>
  <c r="V97" i="22" s="1"/>
  <c r="E98" i="22"/>
  <c r="J99" i="22"/>
  <c r="M99" i="22" s="1"/>
  <c r="V99" i="22" s="1"/>
  <c r="E100" i="22"/>
  <c r="J101" i="22"/>
  <c r="M101" i="22" s="1"/>
  <c r="V101" i="22" s="1"/>
  <c r="E102" i="22"/>
  <c r="J103" i="22"/>
  <c r="M103" i="22" s="1"/>
  <c r="V103" i="22" s="1"/>
  <c r="E27" i="23"/>
  <c r="T7" i="22" l="1"/>
  <c r="R8" i="22"/>
  <c r="H98" i="22"/>
  <c r="L7" i="22"/>
  <c r="I87" i="22"/>
  <c r="H83" i="22"/>
  <c r="H58" i="22"/>
  <c r="I91" i="22"/>
  <c r="I54" i="22"/>
  <c r="I102" i="22"/>
  <c r="I51" i="22"/>
  <c r="I66" i="22"/>
  <c r="I78" i="22"/>
  <c r="I74" i="22"/>
  <c r="I47" i="22"/>
  <c r="I43" i="22"/>
  <c r="I39" i="22"/>
  <c r="I70" i="22"/>
  <c r="I62" i="22"/>
  <c r="H93" i="22"/>
  <c r="I93" i="22"/>
  <c r="H85" i="22"/>
  <c r="I85" i="22"/>
  <c r="H76" i="22"/>
  <c r="I76" i="22"/>
  <c r="H68" i="22"/>
  <c r="I68" i="22"/>
  <c r="H60" i="22"/>
  <c r="I60" i="22"/>
  <c r="H41" i="22"/>
  <c r="I41" i="22"/>
  <c r="H96" i="22"/>
  <c r="I96" i="22"/>
  <c r="H72" i="22"/>
  <c r="I72" i="22"/>
  <c r="H56" i="22"/>
  <c r="I56" i="22"/>
  <c r="H45" i="22"/>
  <c r="I45" i="22"/>
  <c r="O5" i="22"/>
  <c r="H100" i="22"/>
  <c r="I100" i="22"/>
  <c r="H49" i="22"/>
  <c r="I49" i="22"/>
  <c r="H89" i="22"/>
  <c r="I89" i="22"/>
  <c r="H80" i="22"/>
  <c r="I80" i="22"/>
  <c r="H64" i="22"/>
  <c r="I64" i="22"/>
  <c r="U102" i="22"/>
  <c r="S102" i="22"/>
  <c r="Q102" i="22"/>
  <c r="K102" i="22"/>
  <c r="N102" i="22"/>
  <c r="U100" i="22"/>
  <c r="S100" i="22"/>
  <c r="Q100" i="22"/>
  <c r="K100" i="22"/>
  <c r="N100" i="22"/>
  <c r="U98" i="22"/>
  <c r="S98" i="22"/>
  <c r="Q98" i="22"/>
  <c r="K98" i="22"/>
  <c r="N98" i="22"/>
  <c r="U96" i="22"/>
  <c r="S96" i="22"/>
  <c r="Q96" i="22"/>
  <c r="K96" i="22"/>
  <c r="N96" i="22"/>
  <c r="I103" i="22"/>
  <c r="H103" i="22"/>
  <c r="I99" i="22"/>
  <c r="H99" i="22"/>
  <c r="I95" i="22"/>
  <c r="H95" i="22"/>
  <c r="U93" i="22"/>
  <c r="S93" i="22"/>
  <c r="Q93" i="22"/>
  <c r="K93" i="22"/>
  <c r="N93" i="22"/>
  <c r="U91" i="22"/>
  <c r="S91" i="22"/>
  <c r="Q91" i="22"/>
  <c r="K91" i="22"/>
  <c r="N91" i="22"/>
  <c r="U89" i="22"/>
  <c r="S89" i="22"/>
  <c r="Q89" i="22"/>
  <c r="K89" i="22"/>
  <c r="N89" i="22"/>
  <c r="U87" i="22"/>
  <c r="S87" i="22"/>
  <c r="Q87" i="22"/>
  <c r="K87" i="22"/>
  <c r="N87" i="22"/>
  <c r="U85" i="22"/>
  <c r="S85" i="22"/>
  <c r="Q85" i="22"/>
  <c r="K85" i="22"/>
  <c r="N85" i="22"/>
  <c r="U83" i="22"/>
  <c r="S83" i="22"/>
  <c r="Q83" i="22"/>
  <c r="K83" i="22"/>
  <c r="N83" i="22"/>
  <c r="N101" i="22"/>
  <c r="S101" i="22"/>
  <c r="K101" i="22"/>
  <c r="U101" i="22"/>
  <c r="Q101" i="22"/>
  <c r="I101" i="22"/>
  <c r="H101" i="22"/>
  <c r="N92" i="22"/>
  <c r="U92" i="22"/>
  <c r="Q92" i="22"/>
  <c r="S92" i="22"/>
  <c r="K92" i="22"/>
  <c r="N88" i="22"/>
  <c r="U88" i="22"/>
  <c r="Q88" i="22"/>
  <c r="S88" i="22"/>
  <c r="K88" i="22"/>
  <c r="N84" i="22"/>
  <c r="U84" i="22"/>
  <c r="Q84" i="22"/>
  <c r="S84" i="22"/>
  <c r="K84" i="22"/>
  <c r="U80" i="22"/>
  <c r="S80" i="22"/>
  <c r="Q80" i="22"/>
  <c r="K80" i="22"/>
  <c r="N80" i="22"/>
  <c r="U78" i="22"/>
  <c r="S78" i="22"/>
  <c r="Q78" i="22"/>
  <c r="K78" i="22"/>
  <c r="N78" i="22"/>
  <c r="U76" i="22"/>
  <c r="S76" i="22"/>
  <c r="Q76" i="22"/>
  <c r="K76" i="22"/>
  <c r="N76" i="22"/>
  <c r="U74" i="22"/>
  <c r="S74" i="22"/>
  <c r="Q74" i="22"/>
  <c r="K74" i="22"/>
  <c r="N74" i="22"/>
  <c r="U72" i="22"/>
  <c r="S72" i="22"/>
  <c r="Q72" i="22"/>
  <c r="K72" i="22"/>
  <c r="N72" i="22"/>
  <c r="U70" i="22"/>
  <c r="S70" i="22"/>
  <c r="Q70" i="22"/>
  <c r="K70" i="22"/>
  <c r="N70" i="22"/>
  <c r="U68" i="22"/>
  <c r="S68" i="22"/>
  <c r="Q68" i="22"/>
  <c r="K68" i="22"/>
  <c r="N68" i="22"/>
  <c r="U66" i="22"/>
  <c r="S66" i="22"/>
  <c r="Q66" i="22"/>
  <c r="K66" i="22"/>
  <c r="N66" i="22"/>
  <c r="U64" i="22"/>
  <c r="S64" i="22"/>
  <c r="Q64" i="22"/>
  <c r="K64" i="22"/>
  <c r="N64" i="22"/>
  <c r="U62" i="22"/>
  <c r="S62" i="22"/>
  <c r="Q62" i="22"/>
  <c r="K62" i="22"/>
  <c r="N62" i="22"/>
  <c r="U60" i="22"/>
  <c r="S60" i="22"/>
  <c r="Q60" i="22"/>
  <c r="K60" i="22"/>
  <c r="N60" i="22"/>
  <c r="U58" i="22"/>
  <c r="S58" i="22"/>
  <c r="Q58" i="22"/>
  <c r="K58" i="22"/>
  <c r="N58" i="22"/>
  <c r="U56" i="22"/>
  <c r="S56" i="22"/>
  <c r="Q56" i="22"/>
  <c r="K56" i="22"/>
  <c r="N56" i="22"/>
  <c r="U54" i="22"/>
  <c r="S54" i="22"/>
  <c r="Q54" i="22"/>
  <c r="K54" i="22"/>
  <c r="N54" i="22"/>
  <c r="N94" i="22"/>
  <c r="S94" i="22"/>
  <c r="K94" i="22"/>
  <c r="U94" i="22"/>
  <c r="Q94" i="22"/>
  <c r="I94" i="22"/>
  <c r="H94" i="22"/>
  <c r="N86" i="22"/>
  <c r="S86" i="22"/>
  <c r="K86" i="22"/>
  <c r="U86" i="22"/>
  <c r="Q86" i="22"/>
  <c r="I86" i="22"/>
  <c r="H86" i="22"/>
  <c r="N79" i="22"/>
  <c r="U79" i="22"/>
  <c r="Q79" i="22"/>
  <c r="S79" i="22"/>
  <c r="K79" i="22"/>
  <c r="N75" i="22"/>
  <c r="U75" i="22"/>
  <c r="Q75" i="22"/>
  <c r="S75" i="22"/>
  <c r="K75" i="22"/>
  <c r="N71" i="22"/>
  <c r="U71" i="22"/>
  <c r="Q71" i="22"/>
  <c r="S71" i="22"/>
  <c r="K71" i="22"/>
  <c r="N67" i="22"/>
  <c r="U67" i="22"/>
  <c r="Q67" i="22"/>
  <c r="S67" i="22"/>
  <c r="K67" i="22"/>
  <c r="N63" i="22"/>
  <c r="U63" i="22"/>
  <c r="Q63" i="22"/>
  <c r="S63" i="22"/>
  <c r="K63" i="22"/>
  <c r="N59" i="22"/>
  <c r="U59" i="22"/>
  <c r="Q59" i="22"/>
  <c r="S59" i="22"/>
  <c r="K59" i="22"/>
  <c r="N55" i="22"/>
  <c r="U55" i="22"/>
  <c r="Q55" i="22"/>
  <c r="S55" i="22"/>
  <c r="K55" i="22"/>
  <c r="U12" i="22"/>
  <c r="S12" i="22"/>
  <c r="Q12" i="22"/>
  <c r="K12" i="22"/>
  <c r="N12" i="22"/>
  <c r="U6" i="22"/>
  <c r="S6" i="22"/>
  <c r="Q6" i="22"/>
  <c r="K6" i="22"/>
  <c r="N6" i="22"/>
  <c r="J5" i="22"/>
  <c r="M4" i="22"/>
  <c r="U81" i="22"/>
  <c r="S81" i="22"/>
  <c r="Q81" i="22"/>
  <c r="K81" i="22"/>
  <c r="N81" i="22"/>
  <c r="I77" i="22"/>
  <c r="H77" i="22"/>
  <c r="N73" i="22"/>
  <c r="S73" i="22"/>
  <c r="K73" i="22"/>
  <c r="U73" i="22"/>
  <c r="Q73" i="22"/>
  <c r="N65" i="22"/>
  <c r="S65" i="22"/>
  <c r="K65" i="22"/>
  <c r="U65" i="22"/>
  <c r="Q65" i="22"/>
  <c r="I65" i="22"/>
  <c r="H65" i="22"/>
  <c r="N57" i="22"/>
  <c r="S57" i="22"/>
  <c r="K57" i="22"/>
  <c r="U57" i="22"/>
  <c r="Q57" i="22"/>
  <c r="I57" i="22"/>
  <c r="H57" i="22"/>
  <c r="I52" i="22"/>
  <c r="H52" i="22"/>
  <c r="I48" i="22"/>
  <c r="H48" i="22"/>
  <c r="I44" i="22"/>
  <c r="H44" i="22"/>
  <c r="I40" i="22"/>
  <c r="H40" i="22"/>
  <c r="I50" i="22"/>
  <c r="H50" i="22"/>
  <c r="N46" i="22"/>
  <c r="S46" i="22"/>
  <c r="K46" i="22"/>
  <c r="U46" i="22"/>
  <c r="Q46" i="22"/>
  <c r="I42" i="22"/>
  <c r="H42" i="22"/>
  <c r="N38" i="22"/>
  <c r="S38" i="22"/>
  <c r="K38" i="22"/>
  <c r="U38" i="22"/>
  <c r="Q38" i="22"/>
  <c r="N30" i="22"/>
  <c r="U30" i="22"/>
  <c r="Q30" i="22"/>
  <c r="S30" i="22"/>
  <c r="K30" i="22"/>
  <c r="N26" i="22"/>
  <c r="U26" i="22"/>
  <c r="Q26" i="22"/>
  <c r="S26" i="22"/>
  <c r="K26" i="22"/>
  <c r="F5" i="22"/>
  <c r="G4" i="22"/>
  <c r="N32" i="22"/>
  <c r="S32" i="22"/>
  <c r="K32" i="22"/>
  <c r="U32" i="22"/>
  <c r="Q32" i="22"/>
  <c r="N24" i="22"/>
  <c r="S24" i="22"/>
  <c r="K24" i="22"/>
  <c r="U24" i="22"/>
  <c r="Q24" i="22"/>
  <c r="T4" i="22"/>
  <c r="T5" i="22"/>
  <c r="N103" i="22"/>
  <c r="U103" i="22"/>
  <c r="Q103" i="22"/>
  <c r="S103" i="22"/>
  <c r="K103" i="22"/>
  <c r="N99" i="22"/>
  <c r="U99" i="22"/>
  <c r="Q99" i="22"/>
  <c r="S99" i="22"/>
  <c r="K99" i="22"/>
  <c r="N95" i="22"/>
  <c r="U95" i="22"/>
  <c r="Q95" i="22"/>
  <c r="S95" i="22"/>
  <c r="K95" i="22"/>
  <c r="N97" i="22"/>
  <c r="S97" i="22"/>
  <c r="K97" i="22"/>
  <c r="U97" i="22"/>
  <c r="Q97" i="22"/>
  <c r="I97" i="22"/>
  <c r="H97" i="22"/>
  <c r="I92" i="22"/>
  <c r="H92" i="22"/>
  <c r="I88" i="22"/>
  <c r="H88" i="22"/>
  <c r="I84" i="22"/>
  <c r="H84" i="22"/>
  <c r="N90" i="22"/>
  <c r="S90" i="22"/>
  <c r="K90" i="22"/>
  <c r="U90" i="22"/>
  <c r="Q90" i="22"/>
  <c r="I90" i="22"/>
  <c r="H90" i="22"/>
  <c r="N82" i="22"/>
  <c r="S82" i="22"/>
  <c r="K82" i="22"/>
  <c r="U82" i="22"/>
  <c r="Q82" i="22"/>
  <c r="I82" i="22"/>
  <c r="H82" i="22"/>
  <c r="I79" i="22"/>
  <c r="H79" i="22"/>
  <c r="I75" i="22"/>
  <c r="H75" i="22"/>
  <c r="I71" i="22"/>
  <c r="H71" i="22"/>
  <c r="I67" i="22"/>
  <c r="H67" i="22"/>
  <c r="I63" i="22"/>
  <c r="H63" i="22"/>
  <c r="I59" i="22"/>
  <c r="H59" i="22"/>
  <c r="I55" i="22"/>
  <c r="H55" i="22"/>
  <c r="N53" i="22"/>
  <c r="S53" i="22"/>
  <c r="K53" i="22"/>
  <c r="U53" i="22"/>
  <c r="Q53" i="22"/>
  <c r="U51" i="22"/>
  <c r="S51" i="22"/>
  <c r="Q51" i="22"/>
  <c r="K51" i="22"/>
  <c r="N51" i="22"/>
  <c r="U49" i="22"/>
  <c r="S49" i="22"/>
  <c r="Q49" i="22"/>
  <c r="K49" i="22"/>
  <c r="N49" i="22"/>
  <c r="U47" i="22"/>
  <c r="S47" i="22"/>
  <c r="Q47" i="22"/>
  <c r="K47" i="22"/>
  <c r="N47" i="22"/>
  <c r="U45" i="22"/>
  <c r="S45" i="22"/>
  <c r="Q45" i="22"/>
  <c r="K45" i="22"/>
  <c r="N45" i="22"/>
  <c r="U43" i="22"/>
  <c r="S43" i="22"/>
  <c r="Q43" i="22"/>
  <c r="K43" i="22"/>
  <c r="N43" i="22"/>
  <c r="U41" i="22"/>
  <c r="S41" i="22"/>
  <c r="Q41" i="22"/>
  <c r="K41" i="22"/>
  <c r="N41" i="22"/>
  <c r="U39" i="22"/>
  <c r="S39" i="22"/>
  <c r="Q39" i="22"/>
  <c r="K39" i="22"/>
  <c r="N39" i="22"/>
  <c r="U37" i="22"/>
  <c r="S37" i="22"/>
  <c r="Q37" i="22"/>
  <c r="K37" i="22"/>
  <c r="N37" i="22"/>
  <c r="U35" i="22"/>
  <c r="S35" i="22"/>
  <c r="Q35" i="22"/>
  <c r="K35" i="22"/>
  <c r="N35" i="22"/>
  <c r="U33" i="22"/>
  <c r="S33" i="22"/>
  <c r="Q33" i="22"/>
  <c r="K33" i="22"/>
  <c r="N33" i="22"/>
  <c r="U31" i="22"/>
  <c r="S31" i="22"/>
  <c r="Q31" i="22"/>
  <c r="K31" i="22"/>
  <c r="N31" i="22"/>
  <c r="U29" i="22"/>
  <c r="S29" i="22"/>
  <c r="Q29" i="22"/>
  <c r="K29" i="22"/>
  <c r="N29" i="22"/>
  <c r="U27" i="22"/>
  <c r="S27" i="22"/>
  <c r="Q27" i="22"/>
  <c r="K27" i="22"/>
  <c r="N27" i="22"/>
  <c r="U25" i="22"/>
  <c r="S25" i="22"/>
  <c r="Q25" i="22"/>
  <c r="K25" i="22"/>
  <c r="N25" i="22"/>
  <c r="U23" i="22"/>
  <c r="S23" i="22"/>
  <c r="Q23" i="22"/>
  <c r="K23" i="22"/>
  <c r="N23" i="22"/>
  <c r="U21" i="22"/>
  <c r="S21" i="22"/>
  <c r="Q21" i="22"/>
  <c r="K21" i="22"/>
  <c r="N21" i="22"/>
  <c r="U9" i="22"/>
  <c r="S9" i="22"/>
  <c r="Q9" i="22"/>
  <c r="K9" i="22"/>
  <c r="N9" i="22"/>
  <c r="U7" i="22"/>
  <c r="S7" i="22"/>
  <c r="Q7" i="22"/>
  <c r="K7" i="22"/>
  <c r="N7" i="22"/>
  <c r="U5" i="22"/>
  <c r="S5" i="22"/>
  <c r="Q5" i="22"/>
  <c r="K5" i="22"/>
  <c r="N5" i="22"/>
  <c r="H81" i="22"/>
  <c r="I81" i="22"/>
  <c r="N77" i="22"/>
  <c r="S77" i="22"/>
  <c r="K77" i="22"/>
  <c r="U77" i="22"/>
  <c r="Q77" i="22"/>
  <c r="I73" i="22"/>
  <c r="H73" i="22"/>
  <c r="N69" i="22"/>
  <c r="S69" i="22"/>
  <c r="K69" i="22"/>
  <c r="U69" i="22"/>
  <c r="Q69" i="22"/>
  <c r="I69" i="22"/>
  <c r="H69" i="22"/>
  <c r="N61" i="22"/>
  <c r="S61" i="22"/>
  <c r="K61" i="22"/>
  <c r="U61" i="22"/>
  <c r="Q61" i="22"/>
  <c r="I61" i="22"/>
  <c r="H61" i="22"/>
  <c r="N52" i="22"/>
  <c r="U52" i="22"/>
  <c r="Q52" i="22"/>
  <c r="S52" i="22"/>
  <c r="K52" i="22"/>
  <c r="N48" i="22"/>
  <c r="U48" i="22"/>
  <c r="Q48" i="22"/>
  <c r="S48" i="22"/>
  <c r="K48" i="22"/>
  <c r="N44" i="22"/>
  <c r="U44" i="22"/>
  <c r="Q44" i="22"/>
  <c r="S44" i="22"/>
  <c r="K44" i="22"/>
  <c r="N40" i="22"/>
  <c r="U40" i="22"/>
  <c r="Q40" i="22"/>
  <c r="S40" i="22"/>
  <c r="K40" i="22"/>
  <c r="N36" i="22"/>
  <c r="U36" i="22"/>
  <c r="Q36" i="22"/>
  <c r="S36" i="22"/>
  <c r="K36" i="22"/>
  <c r="N50" i="22"/>
  <c r="S50" i="22"/>
  <c r="K50" i="22"/>
  <c r="U50" i="22"/>
  <c r="Q50" i="22"/>
  <c r="I46" i="22"/>
  <c r="H46" i="22"/>
  <c r="N42" i="22"/>
  <c r="S42" i="22"/>
  <c r="K42" i="22"/>
  <c r="U42" i="22"/>
  <c r="Q42" i="22"/>
  <c r="N22" i="22"/>
  <c r="U22" i="22"/>
  <c r="Q22" i="22"/>
  <c r="S22" i="22"/>
  <c r="K22" i="22"/>
  <c r="N11" i="22"/>
  <c r="U11" i="22"/>
  <c r="Q11" i="22"/>
  <c r="S11" i="22"/>
  <c r="K11" i="22"/>
  <c r="N10" i="22"/>
  <c r="U10" i="22"/>
  <c r="Q10" i="22"/>
  <c r="S10" i="22"/>
  <c r="K10" i="22"/>
  <c r="N4" i="22"/>
  <c r="U4" i="22"/>
  <c r="Q4" i="22"/>
  <c r="S4" i="22"/>
  <c r="K4" i="22"/>
  <c r="N34" i="22"/>
  <c r="S34" i="22"/>
  <c r="K34" i="22"/>
  <c r="Q34" i="22"/>
  <c r="U34" i="22"/>
  <c r="N28" i="22"/>
  <c r="S28" i="22"/>
  <c r="K28" i="22"/>
  <c r="U28" i="22"/>
  <c r="Q28" i="22"/>
  <c r="N20" i="22"/>
  <c r="S20" i="22"/>
  <c r="K20" i="22"/>
  <c r="U20" i="22"/>
  <c r="Q20" i="22"/>
  <c r="N19" i="22"/>
  <c r="S19" i="22"/>
  <c r="K19" i="22"/>
  <c r="U19" i="22"/>
  <c r="Q19" i="22"/>
  <c r="N18" i="22"/>
  <c r="S18" i="22"/>
  <c r="K18" i="22"/>
  <c r="U18" i="22"/>
  <c r="Q18" i="22"/>
  <c r="N17" i="22"/>
  <c r="S17" i="22"/>
  <c r="K17" i="22"/>
  <c r="U17" i="22"/>
  <c r="Q17" i="22"/>
  <c r="N16" i="22"/>
  <c r="S16" i="22"/>
  <c r="K16" i="22"/>
  <c r="U16" i="22"/>
  <c r="Q16" i="22"/>
  <c r="N15" i="22"/>
  <c r="S15" i="22"/>
  <c r="K15" i="22"/>
  <c r="U15" i="22"/>
  <c r="Q15" i="22"/>
  <c r="N14" i="22"/>
  <c r="S14" i="22"/>
  <c r="K14" i="22"/>
  <c r="U14" i="22"/>
  <c r="Q14" i="22"/>
  <c r="N13" i="22"/>
  <c r="S13" i="22"/>
  <c r="K13" i="22"/>
  <c r="U13" i="22"/>
  <c r="Q13" i="22"/>
  <c r="N8" i="22"/>
  <c r="S8" i="22"/>
  <c r="K8" i="22"/>
  <c r="U8" i="22"/>
  <c r="Q8" i="22"/>
  <c r="T6" i="22"/>
  <c r="O4" i="22"/>
  <c r="V4" i="22" l="1"/>
  <c r="T8" i="22"/>
  <c r="R9" i="22"/>
  <c r="O7" i="22"/>
  <c r="L8" i="22"/>
  <c r="I4" i="22"/>
  <c r="H4" i="22"/>
  <c r="G5" i="22"/>
  <c r="F6" i="22"/>
  <c r="F7" i="22" s="1"/>
  <c r="M5" i="22"/>
  <c r="V5" i="22" s="1"/>
  <c r="J6" i="22"/>
  <c r="N16" i="64"/>
  <c r="N16" i="63"/>
  <c r="H15" i="64"/>
  <c r="K5" i="64"/>
  <c r="J5" i="64" s="1"/>
  <c r="I5" i="64" s="1"/>
  <c r="L4" i="64"/>
  <c r="J4" i="64"/>
  <c r="K4" i="64" s="1"/>
  <c r="K5" i="63"/>
  <c r="J5" i="63" s="1"/>
  <c r="I5" i="63" s="1"/>
  <c r="L4" i="63"/>
  <c r="J4" i="63"/>
  <c r="K4" i="63" s="1"/>
  <c r="V24" i="59"/>
  <c r="V23" i="59"/>
  <c r="V22" i="59"/>
  <c r="T23" i="59"/>
  <c r="H11" i="63" s="1"/>
  <c r="T22" i="59"/>
  <c r="N19" i="63" s="1"/>
  <c r="V18" i="59"/>
  <c r="T18" i="59"/>
  <c r="C2" i="63" s="1"/>
  <c r="J11" i="64" l="1"/>
  <c r="L18" i="64" s="1"/>
  <c r="C2" i="64"/>
  <c r="N19" i="64"/>
  <c r="H11" i="64"/>
  <c r="E16" i="64" s="1"/>
  <c r="O8" i="22"/>
  <c r="L9" i="22"/>
  <c r="T9" i="22"/>
  <c r="R10" i="22"/>
  <c r="R11" i="22" s="1"/>
  <c r="G7" i="22"/>
  <c r="H7" i="22" s="1"/>
  <c r="F8" i="22"/>
  <c r="M6" i="22"/>
  <c r="V6" i="22" s="1"/>
  <c r="J7" i="22"/>
  <c r="G6" i="22"/>
  <c r="H5" i="22"/>
  <c r="I5" i="22"/>
  <c r="F16" i="64" l="1"/>
  <c r="D16" i="64"/>
  <c r="T11" i="22"/>
  <c r="R12" i="22"/>
  <c r="I7" i="22"/>
  <c r="G8" i="22"/>
  <c r="I8" i="22" s="1"/>
  <c r="F9" i="22"/>
  <c r="T10" i="22"/>
  <c r="O9" i="22"/>
  <c r="L10" i="22"/>
  <c r="L11" i="22" s="1"/>
  <c r="M7" i="22"/>
  <c r="V7" i="22" s="1"/>
  <c r="J8" i="22"/>
  <c r="H6" i="22"/>
  <c r="I6" i="22"/>
  <c r="L4" i="62"/>
  <c r="K5" i="62"/>
  <c r="L4" i="61"/>
  <c r="K5" i="61"/>
  <c r="L4" i="60"/>
  <c r="K5" i="60"/>
  <c r="L4" i="58"/>
  <c r="H16" i="64" l="1"/>
  <c r="T12" i="22"/>
  <c r="R13" i="22"/>
  <c r="H8" i="22"/>
  <c r="O11" i="22"/>
  <c r="L12" i="22"/>
  <c r="O10" i="22"/>
  <c r="G9" i="22"/>
  <c r="F10" i="22"/>
  <c r="F11" i="22" s="1"/>
  <c r="M8" i="22"/>
  <c r="V8" i="22" s="1"/>
  <c r="J9" i="22"/>
  <c r="R23" i="59"/>
  <c r="R22" i="59"/>
  <c r="R18" i="59"/>
  <c r="P23" i="59"/>
  <c r="P22" i="59"/>
  <c r="N19" i="61" s="1"/>
  <c r="P18" i="59"/>
  <c r="N23" i="59"/>
  <c r="N22" i="59"/>
  <c r="N18" i="59"/>
  <c r="L23" i="59"/>
  <c r="L22" i="59"/>
  <c r="L18" i="59"/>
  <c r="T13" i="22" l="1"/>
  <c r="R14" i="22"/>
  <c r="R15" i="22" s="1"/>
  <c r="O12" i="22"/>
  <c r="L13" i="22"/>
  <c r="L14" i="22" s="1"/>
  <c r="G11" i="22"/>
  <c r="H11" i="22" s="1"/>
  <c r="F12" i="22"/>
  <c r="M9" i="22"/>
  <c r="V9" i="22" s="1"/>
  <c r="J10" i="22"/>
  <c r="G10" i="22"/>
  <c r="I9" i="22"/>
  <c r="H9" i="22"/>
  <c r="H11" i="62"/>
  <c r="N19" i="62"/>
  <c r="C2" i="62"/>
  <c r="N16" i="62"/>
  <c r="F16" i="62" l="1"/>
  <c r="H16" i="62" s="1"/>
  <c r="G16" i="62"/>
  <c r="T15" i="22"/>
  <c r="R16" i="22"/>
  <c r="O14" i="22"/>
  <c r="L15" i="22"/>
  <c r="T14" i="22"/>
  <c r="G12" i="22"/>
  <c r="H12" i="22" s="1"/>
  <c r="F13" i="22"/>
  <c r="O13" i="22"/>
  <c r="I11" i="22"/>
  <c r="M10" i="22"/>
  <c r="V10" i="22" s="1"/>
  <c r="J11" i="22"/>
  <c r="I10" i="22"/>
  <c r="H10" i="22"/>
  <c r="J5" i="62"/>
  <c r="H11" i="61"/>
  <c r="C2" i="61"/>
  <c r="I12" i="22" l="1"/>
  <c r="F16" i="61"/>
  <c r="H16" i="61" s="1"/>
  <c r="G16" i="61"/>
  <c r="T16" i="22"/>
  <c r="R17" i="22"/>
  <c r="R18" i="22" s="1"/>
  <c r="O15" i="22"/>
  <c r="L16" i="22"/>
  <c r="L17" i="22" s="1"/>
  <c r="G13" i="22"/>
  <c r="I13" i="22" s="1"/>
  <c r="F14" i="22"/>
  <c r="F15" i="22" s="1"/>
  <c r="M11" i="22"/>
  <c r="V11" i="22" s="1"/>
  <c r="J12" i="22"/>
  <c r="H13" i="22" l="1"/>
  <c r="T18" i="22"/>
  <c r="R19" i="22"/>
  <c r="O17" i="22"/>
  <c r="L18" i="22"/>
  <c r="T17" i="22"/>
  <c r="G15" i="22"/>
  <c r="H15" i="22" s="1"/>
  <c r="F16" i="22"/>
  <c r="O16" i="22"/>
  <c r="G14" i="22"/>
  <c r="M12" i="22"/>
  <c r="V12" i="22" s="1"/>
  <c r="J13" i="22"/>
  <c r="I15" i="22" l="1"/>
  <c r="T19" i="22"/>
  <c r="R20" i="22"/>
  <c r="R21" i="22" s="1"/>
  <c r="O18" i="22"/>
  <c r="L19" i="22"/>
  <c r="L20" i="22" s="1"/>
  <c r="G16" i="22"/>
  <c r="I16" i="22" s="1"/>
  <c r="F17" i="22"/>
  <c r="M13" i="22"/>
  <c r="V13" i="22" s="1"/>
  <c r="J14" i="22"/>
  <c r="H14" i="22"/>
  <c r="I14" i="22"/>
  <c r="J4" i="62"/>
  <c r="K4" i="62" s="1"/>
  <c r="I5" i="62"/>
  <c r="H16" i="22" l="1"/>
  <c r="T21" i="22"/>
  <c r="R22" i="22"/>
  <c r="O20" i="22"/>
  <c r="L21" i="22"/>
  <c r="T20" i="22"/>
  <c r="O19" i="22"/>
  <c r="G17" i="22"/>
  <c r="H17" i="22" s="1"/>
  <c r="F18" i="22"/>
  <c r="M14" i="22"/>
  <c r="V14" i="22" s="1"/>
  <c r="J15" i="22"/>
  <c r="N16" i="60"/>
  <c r="T22" i="22" l="1"/>
  <c r="R23" i="22"/>
  <c r="R24" i="22" s="1"/>
  <c r="O21" i="22"/>
  <c r="L22" i="22"/>
  <c r="L23" i="22" s="1"/>
  <c r="I17" i="22"/>
  <c r="G18" i="22"/>
  <c r="H18" i="22" s="1"/>
  <c r="F19" i="22"/>
  <c r="M15" i="22"/>
  <c r="V15" i="22" s="1"/>
  <c r="J16" i="22"/>
  <c r="J4" i="60"/>
  <c r="K4" i="60" s="1"/>
  <c r="T24" i="22" l="1"/>
  <c r="R25" i="22"/>
  <c r="O23" i="22"/>
  <c r="L24" i="22"/>
  <c r="T23" i="22"/>
  <c r="O22" i="22"/>
  <c r="I18" i="22"/>
  <c r="G19" i="22"/>
  <c r="H19" i="22" s="1"/>
  <c r="F20" i="22"/>
  <c r="M16" i="22"/>
  <c r="V16" i="22" s="1"/>
  <c r="J17" i="22"/>
  <c r="C2" i="60"/>
  <c r="N19" i="60"/>
  <c r="H11" i="60"/>
  <c r="N19" i="58"/>
  <c r="T25" i="22" l="1"/>
  <c r="R26" i="22"/>
  <c r="R27" i="22" s="1"/>
  <c r="O24" i="22"/>
  <c r="L25" i="22"/>
  <c r="L26" i="22" s="1"/>
  <c r="I19" i="22"/>
  <c r="D16" i="60"/>
  <c r="H16" i="60" s="1"/>
  <c r="E16" i="60"/>
  <c r="G20" i="22"/>
  <c r="I20" i="22" s="1"/>
  <c r="F21" i="22"/>
  <c r="F22" i="22" s="1"/>
  <c r="M17" i="22"/>
  <c r="V17" i="22" s="1"/>
  <c r="J18" i="22"/>
  <c r="H20" i="22" l="1"/>
  <c r="T27" i="22"/>
  <c r="R28" i="22"/>
  <c r="O26" i="22"/>
  <c r="L27" i="22"/>
  <c r="T26" i="22"/>
  <c r="O25" i="22"/>
  <c r="G22" i="22"/>
  <c r="H22" i="22" s="1"/>
  <c r="F23" i="22"/>
  <c r="G21" i="22"/>
  <c r="M18" i="22"/>
  <c r="V18" i="22" s="1"/>
  <c r="J19" i="22"/>
  <c r="H11" i="58"/>
  <c r="T28" i="22" l="1"/>
  <c r="R29" i="22"/>
  <c r="R30" i="22" s="1"/>
  <c r="O27" i="22"/>
  <c r="L28" i="22"/>
  <c r="L29" i="22" s="1"/>
  <c r="I22" i="22"/>
  <c r="G23" i="22"/>
  <c r="I23" i="22" s="1"/>
  <c r="F24" i="22"/>
  <c r="F25" i="22" s="1"/>
  <c r="D16" i="58"/>
  <c r="H16" i="58" s="1"/>
  <c r="E16" i="58"/>
  <c r="H21" i="22"/>
  <c r="I21" i="22"/>
  <c r="M19" i="22"/>
  <c r="V19" i="22" s="1"/>
  <c r="J20" i="22"/>
  <c r="P12" i="59"/>
  <c r="T12" i="59" s="1"/>
  <c r="P27" i="59" s="1"/>
  <c r="D6" i="67" s="1"/>
  <c r="O12" i="59"/>
  <c r="S12" i="59" s="1"/>
  <c r="P28" i="59" s="1"/>
  <c r="D7" i="67" s="1"/>
  <c r="P11" i="59"/>
  <c r="R11" i="59" s="1"/>
  <c r="T11" i="59" s="1"/>
  <c r="O11" i="59"/>
  <c r="Q11" i="59" s="1"/>
  <c r="S11" i="59" s="1"/>
  <c r="T30" i="22" l="1"/>
  <c r="R31" i="22"/>
  <c r="O29" i="22"/>
  <c r="L30" i="22"/>
  <c r="T29" i="22"/>
  <c r="H23" i="22"/>
  <c r="O28" i="22"/>
  <c r="G25" i="22"/>
  <c r="H25" i="22" s="1"/>
  <c r="F26" i="22"/>
  <c r="G24" i="22"/>
  <c r="M20" i="22"/>
  <c r="V20" i="22" s="1"/>
  <c r="J21" i="22"/>
  <c r="U12" i="59"/>
  <c r="P29" i="59" s="1"/>
  <c r="E2" i="67" s="1"/>
  <c r="U11" i="59"/>
  <c r="T31" i="22" l="1"/>
  <c r="R32" i="22"/>
  <c r="R33" i="22" s="1"/>
  <c r="O30" i="22"/>
  <c r="L31" i="22"/>
  <c r="G26" i="22"/>
  <c r="H26" i="22" s="1"/>
  <c r="F27" i="22"/>
  <c r="I25" i="22"/>
  <c r="H24" i="22"/>
  <c r="I24" i="22"/>
  <c r="M21" i="22"/>
  <c r="V21" i="22" s="1"/>
  <c r="J22" i="22"/>
  <c r="C2" i="58"/>
  <c r="P15" i="59"/>
  <c r="R15" i="59" s="1"/>
  <c r="T15" i="59" s="1"/>
  <c r="V27" i="59" s="1"/>
  <c r="D6" i="70" s="1"/>
  <c r="O15" i="59"/>
  <c r="Q15" i="59" s="1"/>
  <c r="S15" i="59" s="1"/>
  <c r="V28" i="59" s="1"/>
  <c r="D7" i="70" s="1"/>
  <c r="S6" i="59"/>
  <c r="O9" i="59"/>
  <c r="S9" i="59" s="1"/>
  <c r="P9" i="59"/>
  <c r="O14" i="59"/>
  <c r="S14" i="59" s="1"/>
  <c r="P14" i="59"/>
  <c r="T14" i="59" s="1"/>
  <c r="T27" i="59" s="1"/>
  <c r="D6" i="69" s="1"/>
  <c r="O7" i="59"/>
  <c r="Q7" i="59" s="1"/>
  <c r="S7" i="59" s="1"/>
  <c r="P7" i="59"/>
  <c r="R7" i="59" s="1"/>
  <c r="T7" i="59" s="1"/>
  <c r="S4" i="59"/>
  <c r="T4" i="59"/>
  <c r="O8" i="59"/>
  <c r="S8" i="59" s="1"/>
  <c r="P8" i="59"/>
  <c r="T8" i="59" s="1"/>
  <c r="O10" i="59"/>
  <c r="S10" i="59" s="1"/>
  <c r="P10" i="59"/>
  <c r="T10" i="59" s="1"/>
  <c r="O13" i="59"/>
  <c r="S13" i="59" s="1"/>
  <c r="X13" i="59" s="1"/>
  <c r="P13" i="59"/>
  <c r="T13" i="59" s="1"/>
  <c r="R27" i="59" s="1"/>
  <c r="D6" i="68" s="1"/>
  <c r="O5" i="59"/>
  <c r="P5" i="59"/>
  <c r="T28" i="59" l="1"/>
  <c r="D7" i="69" s="1"/>
  <c r="X14" i="59"/>
  <c r="T32" i="59" s="1"/>
  <c r="J11" i="69" s="1"/>
  <c r="L18" i="69" s="1"/>
  <c r="R28" i="59"/>
  <c r="D7" i="68" s="1"/>
  <c r="R32" i="59"/>
  <c r="J11" i="68" s="1"/>
  <c r="L18" i="68" s="1"/>
  <c r="E17" i="68"/>
  <c r="D17" i="68"/>
  <c r="D18" i="68" s="1"/>
  <c r="T33" i="22"/>
  <c r="R34" i="22"/>
  <c r="O31" i="22"/>
  <c r="L32" i="22"/>
  <c r="T32" i="22"/>
  <c r="I26" i="22"/>
  <c r="G27" i="22"/>
  <c r="H27" i="22" s="1"/>
  <c r="F28" i="22"/>
  <c r="I27" i="22"/>
  <c r="M22" i="22"/>
  <c r="V22" i="22" s="1"/>
  <c r="J23" i="22"/>
  <c r="F17" i="70"/>
  <c r="G17" i="70"/>
  <c r="D17" i="70"/>
  <c r="D18" i="70" s="1"/>
  <c r="E17" i="70"/>
  <c r="E18" i="70" s="1"/>
  <c r="N27" i="59"/>
  <c r="D6" i="66" s="1"/>
  <c r="L27" i="59"/>
  <c r="D6" i="65" s="1"/>
  <c r="N28" i="59"/>
  <c r="D7" i="66" s="1"/>
  <c r="L28" i="59"/>
  <c r="D7" i="65" s="1"/>
  <c r="T19" i="59"/>
  <c r="D6" i="63" s="1"/>
  <c r="T20" i="59"/>
  <c r="D7" i="63" s="1"/>
  <c r="X6" i="59"/>
  <c r="R20" i="59"/>
  <c r="D7" i="62" s="1"/>
  <c r="V20" i="59"/>
  <c r="L20" i="59"/>
  <c r="D7" i="58" s="1"/>
  <c r="P20" i="59"/>
  <c r="D7" i="61" s="1"/>
  <c r="X7" i="59"/>
  <c r="R24" i="59" s="1"/>
  <c r="J11" i="62" s="1"/>
  <c r="L18" i="62" s="1"/>
  <c r="R5" i="59"/>
  <c r="T5" i="59" s="1"/>
  <c r="Q5" i="59"/>
  <c r="S5" i="59" s="1"/>
  <c r="N20" i="59" s="1"/>
  <c r="T9" i="59"/>
  <c r="U15" i="59"/>
  <c r="V29" i="59" s="1"/>
  <c r="E2" i="70" s="1"/>
  <c r="U13" i="59"/>
  <c r="R29" i="59" s="1"/>
  <c r="E2" i="68" s="1"/>
  <c r="U10" i="59"/>
  <c r="U8" i="59"/>
  <c r="U4" i="59"/>
  <c r="U7" i="59"/>
  <c r="U14" i="59"/>
  <c r="T29" i="59" s="1"/>
  <c r="E2" i="69" s="1"/>
  <c r="T6" i="59"/>
  <c r="E18" i="68" l="1"/>
  <c r="T34" i="22"/>
  <c r="R35" i="22"/>
  <c r="R36" i="22" s="1"/>
  <c r="H18" i="68"/>
  <c r="L17" i="68" s="1"/>
  <c r="O32" i="22"/>
  <c r="L33" i="22"/>
  <c r="G28" i="22"/>
  <c r="I28" i="22" s="1"/>
  <c r="F29" i="22"/>
  <c r="H28" i="22"/>
  <c r="M23" i="22"/>
  <c r="V23" i="22" s="1"/>
  <c r="J24" i="22"/>
  <c r="D17" i="65"/>
  <c r="D18" i="65" s="1"/>
  <c r="E17" i="65"/>
  <c r="E18" i="65" s="1"/>
  <c r="G17" i="62"/>
  <c r="G18" i="62" s="1"/>
  <c r="F17" i="62"/>
  <c r="F18" i="62" s="1"/>
  <c r="F17" i="61"/>
  <c r="F18" i="61" s="1"/>
  <c r="G17" i="61"/>
  <c r="G18" i="61" s="1"/>
  <c r="D17" i="66"/>
  <c r="D18" i="66" s="1"/>
  <c r="E17" i="66"/>
  <c r="E18" i="66" s="1"/>
  <c r="H17" i="70"/>
  <c r="F17" i="58"/>
  <c r="G17" i="58"/>
  <c r="N29" i="59"/>
  <c r="E2" i="66" s="1"/>
  <c r="L29" i="59"/>
  <c r="E2" i="65" s="1"/>
  <c r="N19" i="59"/>
  <c r="D6" i="60" s="1"/>
  <c r="T21" i="59"/>
  <c r="E2" i="63" s="1"/>
  <c r="D7" i="64"/>
  <c r="R19" i="59"/>
  <c r="D6" i="62" s="1"/>
  <c r="V19" i="59"/>
  <c r="U6" i="59"/>
  <c r="L19" i="59"/>
  <c r="P19" i="59"/>
  <c r="D6" i="61" s="1"/>
  <c r="X8" i="59"/>
  <c r="T24" i="59" s="1"/>
  <c r="J11" i="63" s="1"/>
  <c r="L18" i="63" s="1"/>
  <c r="X4" i="59"/>
  <c r="U5" i="59"/>
  <c r="U9" i="59"/>
  <c r="D7" i="60"/>
  <c r="T36" i="22" l="1"/>
  <c r="R37" i="22"/>
  <c r="T35" i="22"/>
  <c r="H19" i="68"/>
  <c r="B10" i="68"/>
  <c r="O33" i="22"/>
  <c r="L34" i="22"/>
  <c r="G29" i="22"/>
  <c r="I29" i="22" s="1"/>
  <c r="F30" i="22"/>
  <c r="F31" i="22" s="1"/>
  <c r="M24" i="22"/>
  <c r="V24" i="22" s="1"/>
  <c r="J25" i="22"/>
  <c r="F17" i="64"/>
  <c r="F18" i="64" s="1"/>
  <c r="G17" i="64"/>
  <c r="H17" i="65"/>
  <c r="D10" i="65" s="1"/>
  <c r="H17" i="62"/>
  <c r="H17" i="61"/>
  <c r="D17" i="60"/>
  <c r="D18" i="60" s="1"/>
  <c r="E17" i="60"/>
  <c r="E18" i="60" s="1"/>
  <c r="D10" i="70"/>
  <c r="K22" i="70"/>
  <c r="H17" i="66"/>
  <c r="D10" i="66" s="1"/>
  <c r="J23" i="66"/>
  <c r="N21" i="59"/>
  <c r="E2" i="60" s="1"/>
  <c r="J23" i="63"/>
  <c r="K22" i="63"/>
  <c r="N24" i="59"/>
  <c r="J11" i="60" s="1"/>
  <c r="L18" i="60" s="1"/>
  <c r="D6" i="64"/>
  <c r="D10" i="63"/>
  <c r="D6" i="58"/>
  <c r="R21" i="59"/>
  <c r="E2" i="62" s="1"/>
  <c r="V21" i="59"/>
  <c r="P24" i="59"/>
  <c r="J11" i="61" s="1"/>
  <c r="L18" i="61" s="1"/>
  <c r="L24" i="59"/>
  <c r="J11" i="58" s="1"/>
  <c r="L18" i="58" s="1"/>
  <c r="L21" i="59"/>
  <c r="E2" i="58" s="1"/>
  <c r="P21" i="59"/>
  <c r="E2" i="61" s="1"/>
  <c r="K22" i="62"/>
  <c r="G18" i="58" l="1"/>
  <c r="G19" i="58" s="1"/>
  <c r="G20" i="58" s="1"/>
  <c r="G21" i="58" s="1"/>
  <c r="G22" i="58" s="1"/>
  <c r="G23" i="58" s="1"/>
  <c r="F18" i="58"/>
  <c r="F19" i="58" s="1"/>
  <c r="F20" i="58" s="1"/>
  <c r="F21" i="58" s="1"/>
  <c r="F22" i="58" s="1"/>
  <c r="F23" i="58" s="1"/>
  <c r="T37" i="22"/>
  <c r="R38" i="22"/>
  <c r="T38" i="22" s="1"/>
  <c r="G18" i="64"/>
  <c r="G19" i="64" s="1"/>
  <c r="G20" i="64" s="1"/>
  <c r="G21" i="64" s="1"/>
  <c r="G22" i="64" s="1"/>
  <c r="G23" i="64" s="1"/>
  <c r="H29" i="22"/>
  <c r="O34" i="22"/>
  <c r="L35" i="22"/>
  <c r="J10" i="68"/>
  <c r="F5" i="68" s="1"/>
  <c r="I10" i="68"/>
  <c r="K10" i="68" s="1"/>
  <c r="H20" i="68"/>
  <c r="H21" i="68" s="1"/>
  <c r="H22" i="68" s="1"/>
  <c r="H23" i="68" s="1"/>
  <c r="J19" i="68"/>
  <c r="E10" i="68" s="1"/>
  <c r="M10" i="68" s="1"/>
  <c r="N10" i="68" s="1"/>
  <c r="G31" i="22"/>
  <c r="H31" i="22" s="1"/>
  <c r="F32" i="22"/>
  <c r="G30" i="22"/>
  <c r="M25" i="22"/>
  <c r="V25" i="22" s="1"/>
  <c r="J26" i="22"/>
  <c r="H17" i="60"/>
  <c r="E17" i="58"/>
  <c r="D17" i="58"/>
  <c r="D17" i="64"/>
  <c r="E17" i="64"/>
  <c r="E2" i="64"/>
  <c r="D10" i="62"/>
  <c r="K22" i="61"/>
  <c r="AC41" i="22" l="1"/>
  <c r="AC45" i="22" s="1"/>
  <c r="O35" i="22"/>
  <c r="L36" i="22"/>
  <c r="H17" i="64"/>
  <c r="J23" i="64" s="1"/>
  <c r="G5" i="68"/>
  <c r="F10" i="68"/>
  <c r="N11" i="68" s="1"/>
  <c r="N13" i="68" s="1"/>
  <c r="I31" i="22"/>
  <c r="G32" i="22"/>
  <c r="I32" i="22" s="1"/>
  <c r="F33" i="22"/>
  <c r="H30" i="22"/>
  <c r="I30" i="22"/>
  <c r="M26" i="22"/>
  <c r="V26" i="22" s="1"/>
  <c r="J27" i="22"/>
  <c r="H17" i="58"/>
  <c r="K22" i="64"/>
  <c r="K22" i="60"/>
  <c r="J23" i="60"/>
  <c r="D10" i="61"/>
  <c r="D10" i="60"/>
  <c r="O36" i="22" l="1"/>
  <c r="L37" i="22"/>
  <c r="H32" i="22"/>
  <c r="D10" i="64"/>
  <c r="H5" i="68"/>
  <c r="G33" i="22"/>
  <c r="I33" i="22" s="1"/>
  <c r="F34" i="22"/>
  <c r="M27" i="22"/>
  <c r="V27" i="22" s="1"/>
  <c r="J28" i="22"/>
  <c r="J5" i="60"/>
  <c r="O37" i="22" l="1"/>
  <c r="L38" i="22"/>
  <c r="O38" i="22" s="1"/>
  <c r="H33" i="22"/>
  <c r="G34" i="22"/>
  <c r="I34" i="22" s="1"/>
  <c r="F35" i="22"/>
  <c r="F36" i="22" s="1"/>
  <c r="H34" i="22"/>
  <c r="M28" i="22"/>
  <c r="V28" i="22" s="1"/>
  <c r="J29" i="22"/>
  <c r="I5" i="60"/>
  <c r="AC40" i="22" l="1"/>
  <c r="AC43" i="22" s="1"/>
  <c r="G36" i="22"/>
  <c r="F37" i="22"/>
  <c r="H36" i="22"/>
  <c r="G35" i="22"/>
  <c r="M29" i="22"/>
  <c r="V29" i="22" s="1"/>
  <c r="J30" i="22"/>
  <c r="L6" i="58"/>
  <c r="I36" i="22" l="1"/>
  <c r="AC42" i="22"/>
  <c r="G37" i="22"/>
  <c r="I37" i="22" s="1"/>
  <c r="F38" i="22"/>
  <c r="G38" i="22" s="1"/>
  <c r="H37" i="22"/>
  <c r="H35" i="22"/>
  <c r="I35" i="22"/>
  <c r="M30" i="22"/>
  <c r="V30" i="22" s="1"/>
  <c r="J31" i="22"/>
  <c r="K22" i="58"/>
  <c r="Z41" i="22" l="1"/>
  <c r="Z42" i="22" s="1"/>
  <c r="I38" i="22"/>
  <c r="H38" i="22"/>
  <c r="G6" i="68"/>
  <c r="N12" i="68"/>
  <c r="K6" i="68"/>
  <c r="J6" i="68" s="1"/>
  <c r="L10" i="68"/>
  <c r="C10" i="68"/>
  <c r="M31" i="22"/>
  <c r="V31" i="22" s="1"/>
  <c r="J32" i="22"/>
  <c r="J23" i="58"/>
  <c r="D10" i="58"/>
  <c r="C3" i="23"/>
  <c r="N5" i="23"/>
  <c r="N6" i="23" s="1"/>
  <c r="N7" i="23" s="1"/>
  <c r="N8" i="23" s="1"/>
  <c r="N9" i="23" s="1"/>
  <c r="N10" i="23" s="1"/>
  <c r="N11" i="23" s="1"/>
  <c r="N12" i="23" s="1"/>
  <c r="N13" i="23" s="1"/>
  <c r="N14" i="23" s="1"/>
  <c r="N15" i="23" s="1"/>
  <c r="N16" i="23" s="1"/>
  <c r="N17" i="23" s="1"/>
  <c r="N18" i="23" s="1"/>
  <c r="N19" i="23" s="1"/>
  <c r="N20" i="23" s="1"/>
  <c r="N21" i="23" s="1"/>
  <c r="N22" i="23" s="1"/>
  <c r="N23" i="23" s="1"/>
  <c r="N24" i="23" s="1"/>
  <c r="N25" i="23" s="1"/>
  <c r="N26" i="23" s="1"/>
  <c r="N27" i="23" s="1"/>
  <c r="N28" i="23" s="1"/>
  <c r="N29" i="23" s="1"/>
  <c r="N30" i="23" s="1"/>
  <c r="N31" i="23" s="1"/>
  <c r="N32" i="23" s="1"/>
  <c r="N33" i="23" s="1"/>
  <c r="N34" i="23" s="1"/>
  <c r="N35" i="23" s="1"/>
  <c r="N36" i="23" s="1"/>
  <c r="N37" i="23" s="1"/>
  <c r="N38" i="23" s="1"/>
  <c r="N39" i="23" s="1"/>
  <c r="N40" i="23" s="1"/>
  <c r="N41" i="23" s="1"/>
  <c r="N42" i="23" s="1"/>
  <c r="N43" i="23" s="1"/>
  <c r="N44" i="23" s="1"/>
  <c r="N45" i="23" s="1"/>
  <c r="N46" i="23" s="1"/>
  <c r="N47" i="23" s="1"/>
  <c r="N48" i="23" s="1"/>
  <c r="N49" i="23" s="1"/>
  <c r="N50" i="23" s="1"/>
  <c r="N51" i="23" s="1"/>
  <c r="N52" i="23" s="1"/>
  <c r="N53" i="23" s="1"/>
  <c r="N54" i="23" s="1"/>
  <c r="N55" i="23" s="1"/>
  <c r="N56" i="23" s="1"/>
  <c r="N57" i="23" s="1"/>
  <c r="N58" i="23" s="1"/>
  <c r="N59" i="23" s="1"/>
  <c r="N60" i="23" s="1"/>
  <c r="N61" i="23" s="1"/>
  <c r="N62" i="23" s="1"/>
  <c r="N63" i="23" s="1"/>
  <c r="N64" i="23" s="1"/>
  <c r="N65" i="23" s="1"/>
  <c r="N66" i="23" s="1"/>
  <c r="N67" i="23" s="1"/>
  <c r="N68" i="23" s="1"/>
  <c r="N69" i="23" s="1"/>
  <c r="N70" i="23" s="1"/>
  <c r="N71" i="23" s="1"/>
  <c r="N72" i="23" s="1"/>
  <c r="N73" i="23" s="1"/>
  <c r="N74" i="23" s="1"/>
  <c r="N75" i="23" s="1"/>
  <c r="N76" i="23" s="1"/>
  <c r="N77" i="23" s="1"/>
  <c r="N78" i="23" s="1"/>
  <c r="N79" i="23" s="1"/>
  <c r="N80" i="23" s="1"/>
  <c r="N81" i="23" s="1"/>
  <c r="N82" i="23" s="1"/>
  <c r="N83" i="23" s="1"/>
  <c r="N84" i="23" s="1"/>
  <c r="N85" i="23" s="1"/>
  <c r="N86" i="23" s="1"/>
  <c r="N87" i="23" s="1"/>
  <c r="N88" i="23" s="1"/>
  <c r="N89" i="23" s="1"/>
  <c r="N90" i="23" s="1"/>
  <c r="N91" i="23" s="1"/>
  <c r="N92" i="23" s="1"/>
  <c r="N93" i="23" s="1"/>
  <c r="N94" i="23" s="1"/>
  <c r="N95" i="23" s="1"/>
  <c r="N96" i="23" s="1"/>
  <c r="N97" i="23" s="1"/>
  <c r="N98" i="23" s="1"/>
  <c r="N99" i="23" s="1"/>
  <c r="N100" i="23" s="1"/>
  <c r="N101" i="23" s="1"/>
  <c r="N102" i="23" s="1"/>
  <c r="N103" i="23" s="1"/>
  <c r="B6" i="23"/>
  <c r="B7" i="23"/>
  <c r="B8" i="23"/>
  <c r="B9" i="23"/>
  <c r="B10" i="23"/>
  <c r="B12" i="23"/>
  <c r="C18" i="23"/>
  <c r="C19" i="23" s="1"/>
  <c r="G27" i="23"/>
  <c r="I27" i="23"/>
  <c r="K27" i="23"/>
  <c r="L27" i="23"/>
  <c r="Z46" i="22" l="1"/>
  <c r="AC44" i="22"/>
  <c r="D5" i="68"/>
  <c r="D5" i="69"/>
  <c r="D5" i="65"/>
  <c r="D5" i="66"/>
  <c r="D5" i="67"/>
  <c r="D5" i="70"/>
  <c r="M32" i="22"/>
  <c r="V32" i="22" s="1"/>
  <c r="J33" i="22"/>
  <c r="H27" i="23"/>
  <c r="N21" i="70" l="1"/>
  <c r="B12" i="70"/>
  <c r="B12" i="66"/>
  <c r="N21" i="66"/>
  <c r="F6" i="69"/>
  <c r="B5" i="69"/>
  <c r="N21" i="69"/>
  <c r="H2" i="69"/>
  <c r="H6" i="69" s="1"/>
  <c r="B12" i="69"/>
  <c r="N21" i="67"/>
  <c r="B12" i="67"/>
  <c r="H2" i="67"/>
  <c r="H6" i="67" s="1"/>
  <c r="F6" i="67"/>
  <c r="B5" i="67"/>
  <c r="B12" i="65"/>
  <c r="N21" i="65"/>
  <c r="H2" i="68"/>
  <c r="H6" i="68" s="1"/>
  <c r="B12" i="68"/>
  <c r="N21" i="68"/>
  <c r="F6" i="68"/>
  <c r="B5" i="68"/>
  <c r="M33" i="22"/>
  <c r="V33" i="22" s="1"/>
  <c r="J34" i="22"/>
  <c r="C6" i="23"/>
  <c r="M34" i="22" l="1"/>
  <c r="V34" i="22" s="1"/>
  <c r="J35" i="22"/>
  <c r="C9" i="23"/>
  <c r="M35" i="22" l="1"/>
  <c r="V35" i="22" s="1"/>
  <c r="J36" i="22"/>
  <c r="C28" i="23"/>
  <c r="C7" i="23"/>
  <c r="M36" i="22" l="1"/>
  <c r="V36" i="22" s="1"/>
  <c r="J37" i="22"/>
  <c r="C8" i="23"/>
  <c r="C10" i="23"/>
  <c r="M37" i="22" l="1"/>
  <c r="V37" i="22" s="1"/>
  <c r="J38" i="22"/>
  <c r="M38" i="22" s="1"/>
  <c r="V38" i="22" s="1"/>
  <c r="AC46" i="22" s="1"/>
  <c r="C12" i="23" s="1"/>
  <c r="C11" i="23"/>
  <c r="C4" i="23"/>
  <c r="C27" i="23" l="1"/>
  <c r="C13" i="23"/>
  <c r="D5" i="64"/>
  <c r="D5" i="63"/>
  <c r="B12" i="63" s="1"/>
  <c r="D5" i="62"/>
  <c r="D5" i="60"/>
  <c r="D5" i="61"/>
  <c r="N21" i="61" s="1"/>
  <c r="D5" i="58"/>
  <c r="D18" i="58" s="1"/>
  <c r="C5" i="23"/>
  <c r="K7" i="58" l="1"/>
  <c r="N17" i="58" s="1"/>
  <c r="K7" i="63"/>
  <c r="J7" i="63" s="1"/>
  <c r="K7" i="69"/>
  <c r="K7" i="65"/>
  <c r="J7" i="65" s="1"/>
  <c r="K7" i="66"/>
  <c r="J7" i="66" s="1"/>
  <c r="K7" i="60"/>
  <c r="K7" i="61"/>
  <c r="J7" i="61" s="1"/>
  <c r="K7" i="64"/>
  <c r="J7" i="64" s="1"/>
  <c r="K7" i="70"/>
  <c r="J7" i="70" s="1"/>
  <c r="K7" i="67"/>
  <c r="K7" i="68"/>
  <c r="K7" i="62"/>
  <c r="J7" i="62" s="1"/>
  <c r="F18" i="70"/>
  <c r="F19" i="70" s="1"/>
  <c r="F20" i="70" s="1"/>
  <c r="F21" i="70" s="1"/>
  <c r="F22" i="70" s="1"/>
  <c r="F23" i="70" s="1"/>
  <c r="G18" i="70"/>
  <c r="G19" i="70" s="1"/>
  <c r="G20" i="70" s="1"/>
  <c r="G21" i="70" s="1"/>
  <c r="G22" i="70" s="1"/>
  <c r="G23" i="70" s="1"/>
  <c r="E18" i="58"/>
  <c r="E19" i="58" s="1"/>
  <c r="E20" i="58" s="1"/>
  <c r="E21" i="58" s="1"/>
  <c r="E22" i="58" s="1"/>
  <c r="E23" i="58" s="1"/>
  <c r="D19" i="68"/>
  <c r="D20" i="68" s="1"/>
  <c r="D21" i="68" s="1"/>
  <c r="D22" i="68" s="1"/>
  <c r="D23" i="68" s="1"/>
  <c r="E19" i="68"/>
  <c r="E20" i="68" s="1"/>
  <c r="E21" i="68" s="1"/>
  <c r="E22" i="68" s="1"/>
  <c r="E23" i="68" s="1"/>
  <c r="B12" i="61"/>
  <c r="G19" i="62"/>
  <c r="G20" i="62" s="1"/>
  <c r="G21" i="62" s="1"/>
  <c r="G22" i="62" s="1"/>
  <c r="G23" i="62" s="1"/>
  <c r="B12" i="62"/>
  <c r="B12" i="64"/>
  <c r="B12" i="58"/>
  <c r="B12" i="60"/>
  <c r="G19" i="61"/>
  <c r="G20" i="61" s="1"/>
  <c r="G21" i="61" s="1"/>
  <c r="G22" i="61" s="1"/>
  <c r="G23" i="61" s="1"/>
  <c r="E19" i="60"/>
  <c r="E20" i="60" s="1"/>
  <c r="E21" i="60" s="1"/>
  <c r="E22" i="60" s="1"/>
  <c r="E23" i="60" s="1"/>
  <c r="E19" i="65"/>
  <c r="E20" i="65" s="1"/>
  <c r="E21" i="65" s="1"/>
  <c r="E22" i="65" s="1"/>
  <c r="E23" i="65" s="1"/>
  <c r="D19" i="66"/>
  <c r="D20" i="66" s="1"/>
  <c r="D21" i="66" s="1"/>
  <c r="D22" i="66" s="1"/>
  <c r="D23" i="66" s="1"/>
  <c r="D19" i="70"/>
  <c r="D20" i="70" s="1"/>
  <c r="D21" i="70" s="1"/>
  <c r="D22" i="70" s="1"/>
  <c r="D23" i="70" s="1"/>
  <c r="F19" i="64"/>
  <c r="F20" i="64" s="1"/>
  <c r="F21" i="64" s="1"/>
  <c r="F22" i="64" s="1"/>
  <c r="F23" i="64" s="1"/>
  <c r="N21" i="63"/>
  <c r="N21" i="64"/>
  <c r="N21" i="58"/>
  <c r="N21" i="60"/>
  <c r="J7" i="60"/>
  <c r="J5" i="61"/>
  <c r="N21" i="62"/>
  <c r="L7" i="67" l="1"/>
  <c r="J7" i="67"/>
  <c r="L7" i="68"/>
  <c r="J7" i="68"/>
  <c r="L7" i="69"/>
  <c r="J7" i="69"/>
  <c r="N6" i="58"/>
  <c r="N17" i="63"/>
  <c r="N17" i="64"/>
  <c r="N17" i="70"/>
  <c r="N17" i="65"/>
  <c r="N17" i="66"/>
  <c r="N7" i="58"/>
  <c r="N17" i="60"/>
  <c r="N17" i="67"/>
  <c r="N17" i="68"/>
  <c r="N17" i="61"/>
  <c r="N17" i="62"/>
  <c r="N17" i="69"/>
  <c r="K17" i="60"/>
  <c r="F19" i="62"/>
  <c r="F20" i="62" s="1"/>
  <c r="F21" i="62" s="1"/>
  <c r="F22" i="62" s="1"/>
  <c r="F23" i="62" s="1"/>
  <c r="H18" i="62"/>
  <c r="L17" i="62" s="1"/>
  <c r="D19" i="58"/>
  <c r="D20" i="58" s="1"/>
  <c r="D21" i="58" s="1"/>
  <c r="D22" i="58" s="1"/>
  <c r="D23" i="58" s="1"/>
  <c r="H18" i="58"/>
  <c r="D19" i="60"/>
  <c r="D20" i="60" s="1"/>
  <c r="D21" i="60" s="1"/>
  <c r="D22" i="60" s="1"/>
  <c r="D23" i="60" s="1"/>
  <c r="H18" i="60"/>
  <c r="D19" i="65"/>
  <c r="D20" i="65" s="1"/>
  <c r="D21" i="65" s="1"/>
  <c r="D22" i="65" s="1"/>
  <c r="D23" i="65" s="1"/>
  <c r="H18" i="65"/>
  <c r="L17" i="65" s="1"/>
  <c r="F19" i="61"/>
  <c r="F20" i="61" s="1"/>
  <c r="F21" i="61" s="1"/>
  <c r="F22" i="61" s="1"/>
  <c r="F23" i="61" s="1"/>
  <c r="H18" i="61"/>
  <c r="L17" i="61" s="1"/>
  <c r="E19" i="70"/>
  <c r="E20" i="70" s="1"/>
  <c r="E21" i="70" s="1"/>
  <c r="E22" i="70" s="1"/>
  <c r="E23" i="70" s="1"/>
  <c r="H18" i="70"/>
  <c r="L17" i="70" s="1"/>
  <c r="E19" i="66"/>
  <c r="E20" i="66" s="1"/>
  <c r="E21" i="66" s="1"/>
  <c r="E22" i="66" s="1"/>
  <c r="E23" i="66" s="1"/>
  <c r="H18" i="66"/>
  <c r="L17" i="66" s="1"/>
  <c r="E18" i="64" l="1"/>
  <c r="E19" i="64" s="1"/>
  <c r="E20" i="64" s="1"/>
  <c r="E21" i="64" s="1"/>
  <c r="E22" i="64" s="1"/>
  <c r="E23" i="64" s="1"/>
  <c r="D18" i="64"/>
  <c r="N6" i="62"/>
  <c r="N7" i="62"/>
  <c r="N6" i="68"/>
  <c r="N7" i="68"/>
  <c r="N6" i="60"/>
  <c r="N7" i="60"/>
  <c r="N6" i="66"/>
  <c r="N7" i="66"/>
  <c r="N6" i="70"/>
  <c r="N7" i="70"/>
  <c r="N6" i="63"/>
  <c r="N7" i="63"/>
  <c r="N6" i="69"/>
  <c r="N7" i="69"/>
  <c r="N6" i="61"/>
  <c r="N7" i="61"/>
  <c r="N6" i="67"/>
  <c r="N7" i="67"/>
  <c r="N7" i="65"/>
  <c r="N6" i="65"/>
  <c r="N6" i="64"/>
  <c r="N7" i="64"/>
  <c r="H19" i="61"/>
  <c r="H20" i="61" s="1"/>
  <c r="H21" i="61" s="1"/>
  <c r="H22" i="61" s="1"/>
  <c r="H23" i="61" s="1"/>
  <c r="B10" i="65"/>
  <c r="H19" i="65"/>
  <c r="H19" i="60"/>
  <c r="H20" i="60" s="1"/>
  <c r="H21" i="60" s="1"/>
  <c r="H22" i="60" s="1"/>
  <c r="H23" i="60" s="1"/>
  <c r="L17" i="60"/>
  <c r="H19" i="58"/>
  <c r="H20" i="58" s="1"/>
  <c r="H21" i="58" s="1"/>
  <c r="H22" i="58" s="1"/>
  <c r="H23" i="58" s="1"/>
  <c r="L17" i="58"/>
  <c r="H19" i="62"/>
  <c r="B10" i="62"/>
  <c r="H19" i="66"/>
  <c r="H20" i="66" s="1"/>
  <c r="H21" i="66" s="1"/>
  <c r="H22" i="66" s="1"/>
  <c r="H23" i="66" s="1"/>
  <c r="H19" i="70"/>
  <c r="H20" i="70" s="1"/>
  <c r="H21" i="70" s="1"/>
  <c r="H22" i="70" s="1"/>
  <c r="H23" i="70" s="1"/>
  <c r="B10" i="70"/>
  <c r="B10" i="66"/>
  <c r="K6" i="66" s="1"/>
  <c r="B10" i="63"/>
  <c r="B10" i="60"/>
  <c r="J15" i="60" s="1"/>
  <c r="L6" i="60" s="1"/>
  <c r="K6" i="60" s="1"/>
  <c r="B10" i="61"/>
  <c r="J15" i="61" s="1"/>
  <c r="L6" i="61" s="1"/>
  <c r="K6" i="61" s="1"/>
  <c r="I5" i="61"/>
  <c r="J4" i="61"/>
  <c r="D19" i="64" l="1"/>
  <c r="D20" i="64" s="1"/>
  <c r="D21" i="64" s="1"/>
  <c r="D22" i="64" s="1"/>
  <c r="D23" i="64" s="1"/>
  <c r="H18" i="64"/>
  <c r="H20" i="62"/>
  <c r="H21" i="62" s="1"/>
  <c r="H22" i="62" s="1"/>
  <c r="H23" i="62" s="1"/>
  <c r="J19" i="62"/>
  <c r="E10" i="62" s="1"/>
  <c r="M10" i="62" s="1"/>
  <c r="N10" i="62" s="1"/>
  <c r="H20" i="65"/>
  <c r="H21" i="65" s="1"/>
  <c r="H22" i="65" s="1"/>
  <c r="H23" i="65" s="1"/>
  <c r="J19" i="65"/>
  <c r="E10" i="65" s="1"/>
  <c r="M10" i="65" s="1"/>
  <c r="N10" i="65" s="1"/>
  <c r="J15" i="62"/>
  <c r="L6" i="62" s="1"/>
  <c r="K6" i="62" s="1"/>
  <c r="J6" i="62" s="1"/>
  <c r="I10" i="62"/>
  <c r="J10" i="62"/>
  <c r="F5" i="62" s="1"/>
  <c r="C10" i="62"/>
  <c r="K6" i="65"/>
  <c r="J6" i="65" s="1"/>
  <c r="I10" i="65"/>
  <c r="C10" i="65"/>
  <c r="J10" i="65"/>
  <c r="F5" i="65" s="1"/>
  <c r="J15" i="70"/>
  <c r="L6" i="70" s="1"/>
  <c r="I10" i="70"/>
  <c r="C10" i="70"/>
  <c r="J10" i="70"/>
  <c r="F5" i="70" s="1"/>
  <c r="J19" i="70"/>
  <c r="E10" i="70" s="1"/>
  <c r="M10" i="70" s="1"/>
  <c r="N10" i="70" s="1"/>
  <c r="J10" i="66"/>
  <c r="F5" i="66" s="1"/>
  <c r="J6" i="66"/>
  <c r="I10" i="66"/>
  <c r="C10" i="66"/>
  <c r="J19" i="66"/>
  <c r="E10" i="66" s="1"/>
  <c r="M10" i="66" s="1"/>
  <c r="N10" i="66" s="1"/>
  <c r="J19" i="63"/>
  <c r="E10" i="63" s="1"/>
  <c r="M10" i="63" s="1"/>
  <c r="N10" i="63" s="1"/>
  <c r="J15" i="63"/>
  <c r="L6" i="63" s="1"/>
  <c r="I10" i="63"/>
  <c r="J10" i="63"/>
  <c r="F5" i="63" s="1"/>
  <c r="C10" i="63"/>
  <c r="J6" i="61"/>
  <c r="J6" i="60"/>
  <c r="J19" i="60"/>
  <c r="E10" i="60" s="1"/>
  <c r="M10" i="60" s="1"/>
  <c r="N10" i="60" s="1"/>
  <c r="I10" i="60"/>
  <c r="K10" i="60" s="1"/>
  <c r="J10" i="60"/>
  <c r="F5" i="60" s="1"/>
  <c r="C10" i="60"/>
  <c r="C10" i="61"/>
  <c r="J10" i="61"/>
  <c r="F5" i="61" s="1"/>
  <c r="I10" i="61"/>
  <c r="K10" i="61" s="1"/>
  <c r="K4" i="61"/>
  <c r="L17" i="64" l="1"/>
  <c r="H19" i="64"/>
  <c r="B10" i="64"/>
  <c r="F10" i="62"/>
  <c r="N11" i="62" s="1"/>
  <c r="F10" i="65"/>
  <c r="N11" i="65" s="1"/>
  <c r="F6" i="65"/>
  <c r="B5" i="65"/>
  <c r="K10" i="65"/>
  <c r="K10" i="62"/>
  <c r="F6" i="62"/>
  <c r="B5" i="62"/>
  <c r="K6" i="70"/>
  <c r="J6" i="70" s="1"/>
  <c r="K6" i="63"/>
  <c r="J6" i="63" s="1"/>
  <c r="F10" i="70"/>
  <c r="N11" i="70" s="1"/>
  <c r="B5" i="70"/>
  <c r="F6" i="70"/>
  <c r="K10" i="70"/>
  <c r="K10" i="66"/>
  <c r="F10" i="66"/>
  <c r="N11" i="66" s="1"/>
  <c r="N13" i="66" s="1"/>
  <c r="B5" i="66"/>
  <c r="F6" i="66"/>
  <c r="F10" i="63"/>
  <c r="N11" i="63" s="1"/>
  <c r="N13" i="63" s="1"/>
  <c r="K10" i="63"/>
  <c r="B5" i="63"/>
  <c r="F6" i="63"/>
  <c r="F10" i="60"/>
  <c r="N11" i="60" s="1"/>
  <c r="N13" i="60" s="1"/>
  <c r="F6" i="60"/>
  <c r="B5" i="60"/>
  <c r="J19" i="61"/>
  <c r="E10" i="61" s="1"/>
  <c r="F6" i="61"/>
  <c r="B5" i="61"/>
  <c r="O47" i="23"/>
  <c r="P47" i="23" s="1"/>
  <c r="Q47" i="23" s="1"/>
  <c r="F27" i="23"/>
  <c r="H20" i="64" l="1"/>
  <c r="H21" i="64" s="1"/>
  <c r="H22" i="64" s="1"/>
  <c r="H23" i="64" s="1"/>
  <c r="J19" i="64"/>
  <c r="E10" i="64" s="1"/>
  <c r="M10" i="64" s="1"/>
  <c r="N10" i="64" s="1"/>
  <c r="J15" i="64"/>
  <c r="L6" i="64" s="1"/>
  <c r="K6" i="64" s="1"/>
  <c r="J6" i="64" s="1"/>
  <c r="J10" i="64"/>
  <c r="F5" i="64" s="1"/>
  <c r="C10" i="64"/>
  <c r="I10" i="64"/>
  <c r="K10" i="64" s="1"/>
  <c r="N13" i="70"/>
  <c r="N12" i="65"/>
  <c r="N13" i="65"/>
  <c r="N12" i="62"/>
  <c r="N13" i="62"/>
  <c r="G5" i="62"/>
  <c r="L10" i="62"/>
  <c r="G5" i="65"/>
  <c r="L10" i="65"/>
  <c r="N12" i="70"/>
  <c r="G5" i="70"/>
  <c r="G6" i="70" s="1"/>
  <c r="L10" i="70"/>
  <c r="N12" i="66"/>
  <c r="L10" i="66"/>
  <c r="G5" i="66"/>
  <c r="N12" i="63"/>
  <c r="G5" i="63"/>
  <c r="L10" i="63"/>
  <c r="M10" i="61"/>
  <c r="N10" i="61" s="1"/>
  <c r="F10" i="61"/>
  <c r="N11" i="61" s="1"/>
  <c r="N13" i="61" s="1"/>
  <c r="N12" i="60"/>
  <c r="G5" i="60"/>
  <c r="L10" i="60"/>
  <c r="G5" i="61"/>
  <c r="L10" i="61"/>
  <c r="O73" i="23"/>
  <c r="P73" i="23" s="1"/>
  <c r="Q73" i="23" s="1"/>
  <c r="O61" i="23"/>
  <c r="P61" i="23" s="1"/>
  <c r="Q61" i="23" s="1"/>
  <c r="O102" i="23"/>
  <c r="P102" i="23" s="1"/>
  <c r="Q102" i="23" s="1"/>
  <c r="O89" i="23"/>
  <c r="P89" i="23" s="1"/>
  <c r="Q89" i="23" s="1"/>
  <c r="O86" i="23"/>
  <c r="P86" i="23" s="1"/>
  <c r="Q86" i="23" s="1"/>
  <c r="O44" i="23"/>
  <c r="P44" i="23" s="1"/>
  <c r="Q44" i="23" s="1"/>
  <c r="O24" i="23"/>
  <c r="P24" i="23" s="1"/>
  <c r="Q24" i="23" s="1"/>
  <c r="O62" i="23"/>
  <c r="P62" i="23" s="1"/>
  <c r="Q62" i="23" s="1"/>
  <c r="O71" i="23"/>
  <c r="P71" i="23" s="1"/>
  <c r="Q71" i="23" s="1"/>
  <c r="O81" i="23"/>
  <c r="P81" i="23" s="1"/>
  <c r="Q81" i="23" s="1"/>
  <c r="O91" i="23"/>
  <c r="P91" i="23" s="1"/>
  <c r="Q91" i="23" s="1"/>
  <c r="O34" i="23"/>
  <c r="P34" i="23" s="1"/>
  <c r="Q34" i="23" s="1"/>
  <c r="O59" i="23"/>
  <c r="P59" i="23" s="1"/>
  <c r="Q59" i="23" s="1"/>
  <c r="O43" i="23"/>
  <c r="P43" i="23" s="1"/>
  <c r="Q43" i="23" s="1"/>
  <c r="O45" i="23"/>
  <c r="P45" i="23" s="1"/>
  <c r="Q45" i="23" s="1"/>
  <c r="O95" i="23"/>
  <c r="P95" i="23" s="1"/>
  <c r="Q95" i="23" s="1"/>
  <c r="O13" i="23"/>
  <c r="P13" i="23" s="1"/>
  <c r="Q13" i="23" s="1"/>
  <c r="O22" i="23"/>
  <c r="P22" i="23" s="1"/>
  <c r="Q22" i="23" s="1"/>
  <c r="O94" i="23"/>
  <c r="P94" i="23" s="1"/>
  <c r="Q94" i="23" s="1"/>
  <c r="O99" i="23"/>
  <c r="P99" i="23" s="1"/>
  <c r="Q99" i="23" s="1"/>
  <c r="O35" i="23"/>
  <c r="P35" i="23" s="1"/>
  <c r="Q35" i="23" s="1"/>
  <c r="O6" i="23"/>
  <c r="P6" i="23" s="1"/>
  <c r="Q6" i="23" s="1"/>
  <c r="O9" i="23"/>
  <c r="P9" i="23" s="1"/>
  <c r="Q9" i="23" s="1"/>
  <c r="O25" i="23"/>
  <c r="P25" i="23" s="1"/>
  <c r="Q25" i="23" s="1"/>
  <c r="O31" i="23"/>
  <c r="P31" i="23" s="1"/>
  <c r="Q31" i="23" s="1"/>
  <c r="O83" i="23"/>
  <c r="P83" i="23" s="1"/>
  <c r="Q83" i="23" s="1"/>
  <c r="O80" i="23"/>
  <c r="P80" i="23" s="1"/>
  <c r="Q80" i="23" s="1"/>
  <c r="O4" i="23"/>
  <c r="P4" i="23" s="1"/>
  <c r="Q4" i="23" s="1"/>
  <c r="O60" i="23"/>
  <c r="P60" i="23" s="1"/>
  <c r="Q60" i="23" s="1"/>
  <c r="O103" i="23"/>
  <c r="P103" i="23" s="1"/>
  <c r="Q103" i="23" s="1"/>
  <c r="O10" i="23"/>
  <c r="P10" i="23" s="1"/>
  <c r="Q10" i="23" s="1"/>
  <c r="O50" i="23"/>
  <c r="P50" i="23" s="1"/>
  <c r="Q50" i="23" s="1"/>
  <c r="O93" i="23"/>
  <c r="P93" i="23" s="1"/>
  <c r="Q93" i="23" s="1"/>
  <c r="O36" i="23"/>
  <c r="P36" i="23" s="1"/>
  <c r="Q36" i="23" s="1"/>
  <c r="O26" i="23"/>
  <c r="P26" i="23" s="1"/>
  <c r="Q26" i="23" s="1"/>
  <c r="O18" i="23"/>
  <c r="P18" i="23" s="1"/>
  <c r="Q18" i="23" s="1"/>
  <c r="O20" i="23"/>
  <c r="P20" i="23" s="1"/>
  <c r="Q20" i="23" s="1"/>
  <c r="O7" i="23"/>
  <c r="P7" i="23" s="1"/>
  <c r="Q7" i="23" s="1"/>
  <c r="O92" i="23"/>
  <c r="P92" i="23" s="1"/>
  <c r="Q92" i="23" s="1"/>
  <c r="O84" i="23"/>
  <c r="P84" i="23" s="1"/>
  <c r="Q84" i="23" s="1"/>
  <c r="O5" i="23"/>
  <c r="P5" i="23" s="1"/>
  <c r="Q5" i="23" s="1"/>
  <c r="O58" i="23"/>
  <c r="P58" i="23" s="1"/>
  <c r="Q58" i="23" s="1"/>
  <c r="O100" i="23"/>
  <c r="P100" i="23" s="1"/>
  <c r="Q100" i="23" s="1"/>
  <c r="O28" i="23"/>
  <c r="P28" i="23" s="1"/>
  <c r="Q28" i="23" s="1"/>
  <c r="O98" i="23"/>
  <c r="P98" i="23" s="1"/>
  <c r="Q98" i="23" s="1"/>
  <c r="O21" i="23"/>
  <c r="P21" i="23" s="1"/>
  <c r="Q21" i="23" s="1"/>
  <c r="O79" i="23"/>
  <c r="P79" i="23" s="1"/>
  <c r="Q79" i="23" s="1"/>
  <c r="O15" i="23"/>
  <c r="P15" i="23" s="1"/>
  <c r="Q15" i="23" s="1"/>
  <c r="O87" i="23"/>
  <c r="P87" i="23" s="1"/>
  <c r="Q87" i="23" s="1"/>
  <c r="O67" i="23"/>
  <c r="P67" i="23" s="1"/>
  <c r="Q67" i="23" s="1"/>
  <c r="O46" i="23"/>
  <c r="P46" i="23" s="1"/>
  <c r="Q46" i="23" s="1"/>
  <c r="O68" i="23"/>
  <c r="P68" i="23" s="1"/>
  <c r="Q68" i="23" s="1"/>
  <c r="O16" i="23"/>
  <c r="P16" i="23" s="1"/>
  <c r="Q16" i="23" s="1"/>
  <c r="O53" i="23"/>
  <c r="P53" i="23" s="1"/>
  <c r="Q53" i="23" s="1"/>
  <c r="O54" i="23"/>
  <c r="P54" i="23" s="1"/>
  <c r="Q54" i="23" s="1"/>
  <c r="O85" i="23"/>
  <c r="P85" i="23" s="1"/>
  <c r="Q85" i="23" s="1"/>
  <c r="O52" i="23"/>
  <c r="P52" i="23" s="1"/>
  <c r="Q52" i="23" s="1"/>
  <c r="O48" i="23"/>
  <c r="P48" i="23" s="1"/>
  <c r="Q48" i="23" s="1"/>
  <c r="O88" i="23"/>
  <c r="P88" i="23" s="1"/>
  <c r="Q88" i="23" s="1"/>
  <c r="O82" i="23"/>
  <c r="P82" i="23" s="1"/>
  <c r="Q82" i="23" s="1"/>
  <c r="O12" i="23"/>
  <c r="P12" i="23" s="1"/>
  <c r="Q12" i="23" s="1"/>
  <c r="O37" i="23"/>
  <c r="P37" i="23" s="1"/>
  <c r="Q37" i="23" s="1"/>
  <c r="O27" i="23"/>
  <c r="P27" i="23" s="1"/>
  <c r="Q27" i="23" s="1"/>
  <c r="O101" i="23"/>
  <c r="P101" i="23" s="1"/>
  <c r="Q101" i="23" s="1"/>
  <c r="O97" i="23"/>
  <c r="P97" i="23" s="1"/>
  <c r="Q97" i="23" s="1"/>
  <c r="O63" i="23"/>
  <c r="P63" i="23" s="1"/>
  <c r="Q63" i="23" s="1"/>
  <c r="O40" i="23"/>
  <c r="P40" i="23" s="1"/>
  <c r="Q40" i="23" s="1"/>
  <c r="O38" i="23"/>
  <c r="P38" i="23" s="1"/>
  <c r="Q38" i="23" s="1"/>
  <c r="O49" i="23"/>
  <c r="P49" i="23" s="1"/>
  <c r="Q49" i="23" s="1"/>
  <c r="O96" i="23"/>
  <c r="P96" i="23" s="1"/>
  <c r="Q96" i="23" s="1"/>
  <c r="O30" i="23"/>
  <c r="P30" i="23" s="1"/>
  <c r="Q30" i="23" s="1"/>
  <c r="O32" i="23"/>
  <c r="P32" i="23" s="1"/>
  <c r="Q32" i="23" s="1"/>
  <c r="C21" i="23"/>
  <c r="C22" i="23" s="1"/>
  <c r="O14" i="23"/>
  <c r="P14" i="23" s="1"/>
  <c r="Q14" i="23" s="1"/>
  <c r="O76" i="23"/>
  <c r="P76" i="23" s="1"/>
  <c r="Q76" i="23" s="1"/>
  <c r="O33" i="23"/>
  <c r="P33" i="23" s="1"/>
  <c r="Q33" i="23" s="1"/>
  <c r="O77" i="23"/>
  <c r="P77" i="23" s="1"/>
  <c r="Q77" i="23" s="1"/>
  <c r="O42" i="23"/>
  <c r="P42" i="23" s="1"/>
  <c r="Q42" i="23" s="1"/>
  <c r="O11" i="23"/>
  <c r="P11" i="23" s="1"/>
  <c r="Q11" i="23" s="1"/>
  <c r="O41" i="23"/>
  <c r="P41" i="23" s="1"/>
  <c r="Q41" i="23" s="1"/>
  <c r="O56" i="23"/>
  <c r="P56" i="23" s="1"/>
  <c r="Q56" i="23" s="1"/>
  <c r="O39" i="23"/>
  <c r="P39" i="23" s="1"/>
  <c r="Q39" i="23" s="1"/>
  <c r="O17" i="23"/>
  <c r="P17" i="23" s="1"/>
  <c r="Q17" i="23" s="1"/>
  <c r="O55" i="23"/>
  <c r="P55" i="23" s="1"/>
  <c r="Q55" i="23" s="1"/>
  <c r="O64" i="23"/>
  <c r="P64" i="23" s="1"/>
  <c r="Q64" i="23" s="1"/>
  <c r="O90" i="23"/>
  <c r="P90" i="23" s="1"/>
  <c r="Q90" i="23" s="1"/>
  <c r="O19" i="23"/>
  <c r="P19" i="23" s="1"/>
  <c r="Q19" i="23" s="1"/>
  <c r="O57" i="23"/>
  <c r="P57" i="23" s="1"/>
  <c r="Q57" i="23" s="1"/>
  <c r="O8" i="23"/>
  <c r="P8" i="23" s="1"/>
  <c r="Q8" i="23" s="1"/>
  <c r="O74" i="23"/>
  <c r="P74" i="23" s="1"/>
  <c r="Q74" i="23" s="1"/>
  <c r="O23" i="23"/>
  <c r="P23" i="23" s="1"/>
  <c r="Q23" i="23" s="1"/>
  <c r="O66" i="23"/>
  <c r="P66" i="23" s="1"/>
  <c r="Q66" i="23" s="1"/>
  <c r="O69" i="23"/>
  <c r="P69" i="23" s="1"/>
  <c r="Q69" i="23" s="1"/>
  <c r="O78" i="23"/>
  <c r="P78" i="23" s="1"/>
  <c r="Q78" i="23" s="1"/>
  <c r="O65" i="23"/>
  <c r="P65" i="23" s="1"/>
  <c r="Q65" i="23" s="1"/>
  <c r="O70" i="23"/>
  <c r="P70" i="23" s="1"/>
  <c r="Q70" i="23" s="1"/>
  <c r="O72" i="23"/>
  <c r="P72" i="23" s="1"/>
  <c r="Q72" i="23" s="1"/>
  <c r="O75" i="23"/>
  <c r="P75" i="23" s="1"/>
  <c r="Q75" i="23" s="1"/>
  <c r="O29" i="23"/>
  <c r="P29" i="23" s="1"/>
  <c r="Q29" i="23" s="1"/>
  <c r="O51" i="23"/>
  <c r="P51" i="23" s="1"/>
  <c r="Q51" i="23" s="1"/>
  <c r="J7" i="58"/>
  <c r="G5" i="64" l="1"/>
  <c r="G6" i="64" s="1"/>
  <c r="L10" i="64"/>
  <c r="F10" i="64"/>
  <c r="N11" i="64" s="1"/>
  <c r="F6" i="64"/>
  <c r="B5" i="64"/>
  <c r="G6" i="65"/>
  <c r="H2" i="65"/>
  <c r="L7" i="65" s="1"/>
  <c r="H5" i="65"/>
  <c r="G6" i="62"/>
  <c r="H5" i="62"/>
  <c r="H2" i="62"/>
  <c r="L7" i="62" s="1"/>
  <c r="H5" i="70"/>
  <c r="H2" i="70"/>
  <c r="L7" i="70" s="1"/>
  <c r="G6" i="66"/>
  <c r="H2" i="66"/>
  <c r="L7" i="66" s="1"/>
  <c r="H5" i="66"/>
  <c r="G6" i="63"/>
  <c r="H5" i="63"/>
  <c r="H2" i="63"/>
  <c r="L7" i="63" s="1"/>
  <c r="G6" i="60"/>
  <c r="H2" i="60"/>
  <c r="L7" i="60" s="1"/>
  <c r="H5" i="60"/>
  <c r="N12" i="61"/>
  <c r="G6" i="61"/>
  <c r="H2" i="61"/>
  <c r="L7" i="61" s="1"/>
  <c r="H5" i="61"/>
  <c r="C23" i="23"/>
  <c r="C24" i="23" s="1"/>
  <c r="H5" i="64" l="1"/>
  <c r="H2" i="64"/>
  <c r="L7" i="64" s="1"/>
  <c r="N13" i="64"/>
  <c r="N12" i="64"/>
  <c r="H6" i="62"/>
  <c r="H6" i="65"/>
  <c r="H6" i="70"/>
  <c r="H6" i="66"/>
  <c r="H6" i="63"/>
  <c r="H6" i="60"/>
  <c r="H6" i="61"/>
  <c r="H6" i="64" l="1"/>
  <c r="J4" i="58"/>
  <c r="K4" i="58" s="1"/>
  <c r="N18" i="58" l="1"/>
  <c r="N18" i="70" l="1"/>
  <c r="N18" i="69"/>
  <c r="N18" i="68"/>
  <c r="N18" i="67"/>
  <c r="N18" i="66"/>
  <c r="N18" i="65"/>
  <c r="N18" i="64"/>
  <c r="N18" i="63"/>
  <c r="N18" i="62"/>
  <c r="N18" i="61"/>
  <c r="N18" i="60"/>
  <c r="K5" i="58"/>
  <c r="J5" i="58" s="1"/>
  <c r="I5" i="58" s="1"/>
  <c r="B10" i="58" l="1"/>
  <c r="K6" i="58" s="1"/>
  <c r="J6" i="58" s="1"/>
  <c r="J19" i="58" l="1"/>
  <c r="E10" i="58" s="1"/>
  <c r="M10" i="58" s="1"/>
  <c r="N10" i="58" s="1"/>
  <c r="J10" i="58"/>
  <c r="F5" i="58" s="1"/>
  <c r="I10" i="58"/>
  <c r="K10" i="58" s="1"/>
  <c r="G5" i="58" s="1"/>
  <c r="G6" i="58" s="1"/>
  <c r="C10" i="58"/>
  <c r="F10" i="58" l="1"/>
  <c r="N11" i="58" s="1"/>
  <c r="N13" i="58" s="1"/>
  <c r="L10" i="58"/>
  <c r="H2" i="58"/>
  <c r="L7" i="58" s="1"/>
  <c r="B5" i="58"/>
  <c r="H5" i="58"/>
  <c r="F6" i="58"/>
  <c r="N12" i="58" l="1"/>
  <c r="H6" i="58"/>
</calcChain>
</file>

<file path=xl/sharedStrings.xml><?xml version="1.0" encoding="utf-8"?>
<sst xmlns="http://schemas.openxmlformats.org/spreadsheetml/2006/main" count="1140" uniqueCount="136">
  <si>
    <t>#</t>
  </si>
  <si>
    <t>Média(-)</t>
  </si>
  <si>
    <t>R/R</t>
  </si>
  <si>
    <t>Q(+)</t>
  </si>
  <si>
    <t>Q(-)</t>
  </si>
  <si>
    <t>Perda</t>
  </si>
  <si>
    <t>Ganho</t>
  </si>
  <si>
    <t>Op #</t>
  </si>
  <si>
    <t>WinP</t>
  </si>
  <si>
    <t>WinP(%)</t>
  </si>
  <si>
    <t>CAR</t>
  </si>
  <si>
    <t>Payoff</t>
  </si>
  <si>
    <t>$Ac</t>
  </si>
  <si>
    <t>Capital em risco</t>
  </si>
  <si>
    <t>%Payoff</t>
  </si>
  <si>
    <t>%CAR</t>
  </si>
  <si>
    <t>Por operação</t>
  </si>
  <si>
    <t>Win %</t>
  </si>
  <si>
    <t>Kelly %</t>
  </si>
  <si>
    <t>Saldo da conta</t>
  </si>
  <si>
    <t>Fator de lucro</t>
  </si>
  <si>
    <t>Ganhos</t>
  </si>
  <si>
    <t>Perdas</t>
  </si>
  <si>
    <t>Inicial</t>
  </si>
  <si>
    <t>Atual</t>
  </si>
  <si>
    <t>FL</t>
  </si>
  <si>
    <t>Saldo</t>
  </si>
  <si>
    <t>Resultados - Resumo</t>
  </si>
  <si>
    <t>$ Profit</t>
  </si>
  <si>
    <t>% Profit</t>
  </si>
  <si>
    <t>Equity</t>
  </si>
  <si>
    <t>Balance</t>
  </si>
  <si>
    <t>Ask</t>
  </si>
  <si>
    <t>Bid</t>
  </si>
  <si>
    <t>Saldo ajustado</t>
  </si>
  <si>
    <t>$ Ac</t>
  </si>
  <si>
    <t>$ Ajustado</t>
  </si>
  <si>
    <t>Dividir</t>
  </si>
  <si>
    <t>Somar</t>
  </si>
  <si>
    <t>Inclin</t>
  </si>
  <si>
    <t>Starting balance</t>
  </si>
  <si>
    <t>Lots (+-)</t>
  </si>
  <si>
    <t>Closed</t>
  </si>
  <si>
    <t>Floating</t>
  </si>
  <si>
    <t>Entry Price</t>
  </si>
  <si>
    <t>Take Profit</t>
  </si>
  <si>
    <t>TP factor</t>
  </si>
  <si>
    <t>Total</t>
  </si>
  <si>
    <t xml:space="preserve">% </t>
  </si>
  <si>
    <t>Kelly</t>
  </si>
  <si>
    <t>Saldo Atual</t>
  </si>
  <si>
    <t>Spread</t>
  </si>
  <si>
    <t>Take profit</t>
  </si>
  <si>
    <t>$ Target</t>
  </si>
  <si>
    <t>%</t>
  </si>
  <si>
    <t xml:space="preserve"> Lot size</t>
  </si>
  <si>
    <t>Current $</t>
  </si>
  <si>
    <t>Gráfico</t>
  </si>
  <si>
    <t>Opção</t>
  </si>
  <si>
    <t>Simulações (Sim)</t>
  </si>
  <si>
    <t>Ganho ($ ou %)</t>
  </si>
  <si>
    <t>Perda ($ ou %)</t>
  </si>
  <si>
    <t>Saldo Inicial</t>
  </si>
  <si>
    <t>Ideais por ciclo</t>
  </si>
  <si>
    <t>Lots</t>
  </si>
  <si>
    <t>Price</t>
  </si>
  <si>
    <t>Quadro Resumo (CLog)</t>
  </si>
  <si>
    <t>Kelly Factor</t>
  </si>
  <si>
    <t>Max leverage</t>
  </si>
  <si>
    <t>Max lots</t>
  </si>
  <si>
    <t>Exit calculator</t>
  </si>
  <si>
    <t>Leverage</t>
  </si>
  <si>
    <t>Entry</t>
  </si>
  <si>
    <t>Stop</t>
  </si>
  <si>
    <t>Choice</t>
  </si>
  <si>
    <t>Target Default</t>
  </si>
  <si>
    <t>Stop Pivot</t>
  </si>
  <si>
    <t>Stop Pips off</t>
  </si>
  <si>
    <t>Choice (x)</t>
  </si>
  <si>
    <t>Broker</t>
  </si>
  <si>
    <t>Agres (0-100)</t>
  </si>
  <si>
    <t>Risk (%)</t>
  </si>
  <si>
    <t>Risk</t>
  </si>
  <si>
    <t>Risk ($)</t>
  </si>
  <si>
    <t>Base Risk (%)</t>
  </si>
  <si>
    <t>x</t>
  </si>
  <si>
    <t>AUDUSD</t>
  </si>
  <si>
    <t>USDCAD</t>
  </si>
  <si>
    <t>GBPUSD</t>
  </si>
  <si>
    <t>EURJPY</t>
  </si>
  <si>
    <t>EURGBP</t>
  </si>
  <si>
    <t>USDJPY</t>
  </si>
  <si>
    <t>EURUSD</t>
  </si>
  <si>
    <t>Correção</t>
  </si>
  <si>
    <t>DDE</t>
  </si>
  <si>
    <t>Cotação</t>
  </si>
  <si>
    <t>Ativo</t>
  </si>
  <si>
    <t>WTI</t>
  </si>
  <si>
    <t>GOLD</t>
  </si>
  <si>
    <t>SILVER</t>
  </si>
  <si>
    <t>Pip Div</t>
  </si>
  <si>
    <t>R1</t>
  </si>
  <si>
    <t>R2</t>
  </si>
  <si>
    <t>R3</t>
  </si>
  <si>
    <t>Target choice</t>
  </si>
  <si>
    <t>(x)</t>
  </si>
  <si>
    <t>R4</t>
  </si>
  <si>
    <t>R5</t>
  </si>
  <si>
    <t>Lot Size</t>
  </si>
  <si>
    <t>Swap / Perm</t>
  </si>
  <si>
    <t>AUDCAD</t>
  </si>
  <si>
    <t>CHFJPY</t>
  </si>
  <si>
    <t>Trailing Stop</t>
  </si>
  <si>
    <t>Pivot</t>
  </si>
  <si>
    <t>Pip Value</t>
  </si>
  <si>
    <t>Pip Val</t>
  </si>
  <si>
    <t>Operações (x)</t>
  </si>
  <si>
    <t>$</t>
  </si>
  <si>
    <t>%Méd(+)</t>
  </si>
  <si>
    <t>%Méd(-)</t>
  </si>
  <si>
    <t>Fator(+)</t>
  </si>
  <si>
    <t>Fator(-)</t>
  </si>
  <si>
    <t>Clog</t>
  </si>
  <si>
    <t>Closed $</t>
  </si>
  <si>
    <t>RFrac</t>
  </si>
  <si>
    <t>PF</t>
  </si>
  <si>
    <t>Target</t>
  </si>
  <si>
    <t>Buy</t>
  </si>
  <si>
    <t>Sell</t>
  </si>
  <si>
    <t>Simulation</t>
  </si>
  <si>
    <t>No Stop</t>
  </si>
  <si>
    <t>% Liq Ac</t>
  </si>
  <si>
    <t>Ciclos</t>
  </si>
  <si>
    <t>House Factor</t>
  </si>
  <si>
    <t>ok</t>
  </si>
  <si>
    <t>pip v. ok?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</si>
</sst>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164" formatCode="#,##0.00;[Red]#,##0.00"/>
    <numFmt numFmtId="165" formatCode="#,##0;[Red]#,##0"/>
    <numFmt numFmtId="166" formatCode="#,##0.0000;[Red]#,##0.0000"/>
    <numFmt numFmtId="167" formatCode="#,##0.0;[Red]#,##0.0"/>
    <numFmt numFmtId="168" formatCode="#,##0.000;[Red]#,##0.000"/>
    <numFmt numFmtId="169" formatCode="#,##0.000000;[Red]#,##0.000000"/>
    <numFmt numFmtId="170" formatCode="#,##0.0000000000;[Red]#,##0.0000000000"/>
    <numFmt numFmtId="171" formatCode="[$$-409]#,##0.00;[Red][$$-409]#,##0.00"/>
    <numFmt numFmtId="172" formatCode="#,##0.00000;[Red]#,##0.00000"/>
    <numFmt numFmtId="173" formatCode="0.00000;[Red]0.00000"/>
    <numFmt numFmtId="174" formatCode="#,##0.0000000;[Red]#,##0.0000000"/>
    <numFmt numFmtId="175" formatCode="0.0000%"/>
    <numFmt numFmtId="176" formatCode="0.0000"/>
    <numFmt numFmtId="177" formatCode="0.000;[Red]0.000"/>
  </numFmts>
  <fonts count="9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b/>
      <sz val="10"/>
      <name val="Arial CYR"/>
      <family val="2"/>
      <charset val="204"/>
    </font>
    <font>
      <b/>
      <sz val="9"/>
      <name val="Arial Cyr"/>
      <family val="2"/>
      <charset val="204"/>
    </font>
    <font>
      <sz val="9"/>
      <name val="Arial Cyr"/>
      <family val="2"/>
      <charset val="204"/>
    </font>
  </fonts>
  <fills count="17">
    <fill>
      <patternFill patternType="none"/>
    </fill>
    <fill>
      <patternFill patternType="gray125"/>
    </fill>
    <fill>
      <patternFill patternType="solid">
        <fgColor indexed="47"/>
        <bgColor indexed="43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rgb="FFCCFFCC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indexed="31"/>
        <bgColor indexed="43"/>
      </patternFill>
    </fill>
    <fill>
      <patternFill patternType="solid">
        <fgColor rgb="FFFFFF99"/>
        <bgColor indexed="64"/>
      </patternFill>
    </fill>
  </fills>
  <borders count="6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448">
    <xf numFmtId="0" fontId="0" fillId="0" borderId="0" xfId="0"/>
    <xf numFmtId="169" fontId="0" fillId="0" borderId="0" xfId="0" applyNumberFormat="1"/>
    <xf numFmtId="164" fontId="0" fillId="0" borderId="0" xfId="0" applyNumberFormat="1"/>
    <xf numFmtId="165" fontId="0" fillId="2" borderId="1" xfId="0" applyNumberFormat="1" applyFill="1" applyBorder="1" applyAlignment="1">
      <alignment horizontal="center"/>
    </xf>
    <xf numFmtId="164" fontId="0" fillId="3" borderId="1" xfId="0" applyNumberFormat="1" applyFill="1" applyBorder="1" applyAlignment="1">
      <alignment horizontal="center"/>
    </xf>
    <xf numFmtId="165" fontId="0" fillId="2" borderId="2" xfId="0" applyNumberFormat="1" applyFill="1" applyBorder="1" applyAlignment="1">
      <alignment horizontal="center"/>
    </xf>
    <xf numFmtId="164" fontId="2" fillId="6" borderId="3" xfId="0" applyNumberFormat="1" applyFont="1" applyFill="1" applyBorder="1" applyAlignment="1">
      <alignment horizontal="center"/>
    </xf>
    <xf numFmtId="164" fontId="2" fillId="6" borderId="4" xfId="0" applyNumberFormat="1" applyFont="1" applyFill="1" applyBorder="1" applyAlignment="1">
      <alignment horizontal="center"/>
    </xf>
    <xf numFmtId="164" fontId="2" fillId="6" borderId="5" xfId="0" applyNumberFormat="1" applyFont="1" applyFill="1" applyBorder="1" applyAlignment="1">
      <alignment horizontal="center"/>
    </xf>
    <xf numFmtId="164" fontId="2" fillId="6" borderId="6" xfId="0" applyNumberFormat="1" applyFont="1" applyFill="1" applyBorder="1" applyAlignment="1">
      <alignment horizontal="center"/>
    </xf>
    <xf numFmtId="0" fontId="0" fillId="6" borderId="3" xfId="0" applyFill="1" applyBorder="1" applyAlignment="1">
      <alignment horizontal="center"/>
    </xf>
    <xf numFmtId="165" fontId="0" fillId="3" borderId="1" xfId="0" applyNumberFormat="1" applyFill="1" applyBorder="1" applyAlignment="1">
      <alignment horizontal="center"/>
    </xf>
    <xf numFmtId="165" fontId="0" fillId="3" borderId="2" xfId="0" applyNumberFormat="1" applyFill="1" applyBorder="1" applyAlignment="1">
      <alignment horizontal="center"/>
    </xf>
    <xf numFmtId="0" fontId="2" fillId="0" borderId="0" xfId="0" applyFont="1"/>
    <xf numFmtId="0" fontId="0" fillId="0" borderId="0" xfId="0" applyBorder="1" applyAlignment="1">
      <alignment horizontal="center"/>
    </xf>
    <xf numFmtId="164" fontId="0" fillId="0" borderId="0" xfId="0" applyNumberFormat="1" applyBorder="1" applyAlignment="1">
      <alignment horizontal="center"/>
    </xf>
    <xf numFmtId="166" fontId="0" fillId="0" borderId="0" xfId="0" applyNumberFormat="1" applyBorder="1" applyAlignment="1">
      <alignment horizontal="center"/>
    </xf>
    <xf numFmtId="171" fontId="0" fillId="3" borderId="4" xfId="0" applyNumberFormat="1" applyFill="1" applyBorder="1" applyAlignment="1">
      <alignment horizontal="center"/>
    </xf>
    <xf numFmtId="164" fontId="0" fillId="3" borderId="12" xfId="0" applyNumberFormat="1" applyFill="1" applyBorder="1" applyAlignment="1">
      <alignment horizontal="center"/>
    </xf>
    <xf numFmtId="164" fontId="0" fillId="3" borderId="2" xfId="0" applyNumberFormat="1" applyFill="1" applyBorder="1" applyAlignment="1">
      <alignment horizontal="center"/>
    </xf>
    <xf numFmtId="164" fontId="2" fillId="6" borderId="13" xfId="0" applyNumberFormat="1" applyFont="1" applyFill="1" applyBorder="1" applyAlignment="1">
      <alignment horizontal="center"/>
    </xf>
    <xf numFmtId="0" fontId="0" fillId="3" borderId="15" xfId="0" applyFill="1" applyBorder="1" applyAlignment="1">
      <alignment horizontal="center"/>
    </xf>
    <xf numFmtId="0" fontId="0" fillId="3" borderId="16" xfId="0" applyFill="1" applyBorder="1" applyAlignment="1">
      <alignment horizontal="center"/>
    </xf>
    <xf numFmtId="0" fontId="2" fillId="6" borderId="5" xfId="0" applyFont="1" applyFill="1" applyBorder="1" applyAlignment="1">
      <alignment horizontal="center"/>
    </xf>
    <xf numFmtId="0" fontId="2" fillId="6" borderId="13" xfId="0" applyFont="1" applyFill="1" applyBorder="1" applyAlignment="1">
      <alignment horizontal="center"/>
    </xf>
    <xf numFmtId="0" fontId="0" fillId="7" borderId="17" xfId="0" applyFill="1" applyBorder="1" applyAlignment="1">
      <alignment horizontal="center"/>
    </xf>
    <xf numFmtId="0" fontId="2" fillId="6" borderId="18" xfId="0" applyFont="1" applyFill="1" applyBorder="1" applyAlignment="1">
      <alignment horizontal="center"/>
    </xf>
    <xf numFmtId="164" fontId="0" fillId="6" borderId="19" xfId="0" applyNumberFormat="1" applyFill="1" applyBorder="1" applyAlignment="1">
      <alignment horizontal="center"/>
    </xf>
    <xf numFmtId="164" fontId="2" fillId="6" borderId="20" xfId="0" applyNumberFormat="1" applyFont="1" applyFill="1" applyBorder="1" applyAlignment="1">
      <alignment horizontal="center"/>
    </xf>
    <xf numFmtId="165" fontId="0" fillId="4" borderId="4" xfId="0" applyNumberFormat="1" applyFill="1" applyBorder="1" applyAlignment="1">
      <alignment horizontal="center"/>
    </xf>
    <xf numFmtId="164" fontId="2" fillId="6" borderId="21" xfId="0" applyNumberFormat="1" applyFont="1" applyFill="1" applyBorder="1" applyAlignment="1">
      <alignment horizontal="center"/>
    </xf>
    <xf numFmtId="164" fontId="3" fillId="3" borderId="12" xfId="0" applyNumberFormat="1" applyFont="1" applyFill="1" applyBorder="1" applyAlignment="1">
      <alignment horizontal="center"/>
    </xf>
    <xf numFmtId="164" fontId="3" fillId="3" borderId="2" xfId="0" applyNumberFormat="1" applyFont="1" applyFill="1" applyBorder="1" applyAlignment="1">
      <alignment horizontal="center"/>
    </xf>
    <xf numFmtId="164" fontId="3" fillId="3" borderId="24" xfId="0" applyNumberFormat="1" applyFont="1" applyFill="1" applyBorder="1" applyAlignment="1">
      <alignment horizontal="center"/>
    </xf>
    <xf numFmtId="171" fontId="0" fillId="5" borderId="4" xfId="0" applyNumberFormat="1" applyFill="1" applyBorder="1" applyAlignment="1">
      <alignment horizontal="center"/>
    </xf>
    <xf numFmtId="0" fontId="0" fillId="6" borderId="25" xfId="0" applyFill="1" applyBorder="1" applyAlignment="1">
      <alignment horizontal="center"/>
    </xf>
    <xf numFmtId="0" fontId="0" fillId="6" borderId="6" xfId="0" applyFill="1" applyBorder="1" applyAlignment="1">
      <alignment horizontal="center"/>
    </xf>
    <xf numFmtId="0" fontId="2" fillId="6" borderId="26" xfId="0" applyFont="1" applyFill="1" applyBorder="1" applyAlignment="1">
      <alignment horizontal="center"/>
    </xf>
    <xf numFmtId="171" fontId="2" fillId="4" borderId="3" xfId="0" applyNumberFormat="1" applyFont="1" applyFill="1" applyBorder="1" applyAlignment="1">
      <alignment horizontal="center"/>
    </xf>
    <xf numFmtId="171" fontId="0" fillId="5" borderId="5" xfId="0" applyNumberFormat="1" applyFill="1" applyBorder="1" applyAlignment="1">
      <alignment horizontal="center"/>
    </xf>
    <xf numFmtId="164" fontId="0" fillId="4" borderId="13" xfId="0" applyNumberFormat="1" applyFill="1" applyBorder="1" applyAlignment="1">
      <alignment horizontal="center"/>
    </xf>
    <xf numFmtId="165" fontId="0" fillId="2" borderId="15" xfId="0" applyNumberFormat="1" applyFill="1" applyBorder="1" applyAlignment="1">
      <alignment horizontal="center"/>
    </xf>
    <xf numFmtId="165" fontId="0" fillId="2" borderId="16" xfId="0" applyNumberFormat="1" applyFill="1" applyBorder="1" applyAlignment="1">
      <alignment horizontal="center"/>
    </xf>
    <xf numFmtId="165" fontId="0" fillId="2" borderId="27" xfId="0" applyNumberFormat="1" applyFill="1" applyBorder="1" applyAlignment="1">
      <alignment horizontal="center"/>
    </xf>
    <xf numFmtId="164" fontId="0" fillId="3" borderId="29" xfId="0" applyNumberFormat="1" applyFill="1" applyBorder="1" applyAlignment="1">
      <alignment horizontal="center"/>
    </xf>
    <xf numFmtId="164" fontId="0" fillId="5" borderId="3" xfId="0" applyNumberFormat="1" applyFill="1" applyBorder="1" applyAlignment="1">
      <alignment horizontal="center"/>
    </xf>
    <xf numFmtId="164" fontId="0" fillId="5" borderId="4" xfId="0" applyNumberFormat="1" applyFill="1" applyBorder="1" applyAlignment="1">
      <alignment horizontal="center"/>
    </xf>
    <xf numFmtId="164" fontId="0" fillId="5" borderId="5" xfId="0" applyNumberFormat="1" applyFill="1" applyBorder="1" applyAlignment="1">
      <alignment horizontal="center"/>
    </xf>
    <xf numFmtId="165" fontId="0" fillId="9" borderId="29" xfId="0" applyNumberFormat="1" applyFill="1" applyBorder="1" applyAlignment="1">
      <alignment horizontal="center"/>
    </xf>
    <xf numFmtId="0" fontId="0" fillId="0" borderId="29" xfId="0" applyBorder="1" applyAlignment="1">
      <alignment horizontal="center"/>
    </xf>
    <xf numFmtId="0" fontId="2" fillId="0" borderId="0" xfId="0" applyFont="1" applyBorder="1" applyAlignment="1">
      <alignment horizontal="center"/>
    </xf>
    <xf numFmtId="166" fontId="0" fillId="10" borderId="12" xfId="0" applyNumberFormat="1" applyFill="1" applyBorder="1" applyAlignment="1">
      <alignment horizontal="center"/>
    </xf>
    <xf numFmtId="166" fontId="0" fillId="10" borderId="1" xfId="0" applyNumberFormat="1" applyFill="1" applyBorder="1" applyAlignment="1">
      <alignment horizontal="center"/>
    </xf>
    <xf numFmtId="166" fontId="0" fillId="10" borderId="2" xfId="0" applyNumberFormat="1" applyFill="1" applyBorder="1" applyAlignment="1">
      <alignment horizontal="center"/>
    </xf>
    <xf numFmtId="0" fontId="0" fillId="6" borderId="4" xfId="0" applyFill="1" applyBorder="1" applyAlignment="1">
      <alignment horizontal="center"/>
    </xf>
    <xf numFmtId="0" fontId="3" fillId="6" borderId="41" xfId="0" applyFont="1" applyFill="1" applyBorder="1" applyAlignment="1">
      <alignment horizontal="center" vertical="center"/>
    </xf>
    <xf numFmtId="164" fontId="3" fillId="3" borderId="8" xfId="0" applyNumberFormat="1" applyFont="1" applyFill="1" applyBorder="1" applyAlignment="1">
      <alignment horizontal="center"/>
    </xf>
    <xf numFmtId="0" fontId="3" fillId="6" borderId="4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/>
    </xf>
    <xf numFmtId="166" fontId="3" fillId="3" borderId="7" xfId="0" applyNumberFormat="1" applyFont="1" applyFill="1" applyBorder="1" applyAlignment="1">
      <alignment horizontal="center"/>
    </xf>
    <xf numFmtId="170" fontId="2" fillId="0" borderId="0" xfId="0" applyNumberFormat="1" applyFont="1" applyBorder="1" applyAlignment="1">
      <alignment horizontal="center"/>
    </xf>
    <xf numFmtId="0" fontId="0" fillId="0" borderId="43" xfId="0" applyBorder="1" applyAlignment="1">
      <alignment horizontal="center"/>
    </xf>
    <xf numFmtId="164" fontId="0" fillId="7" borderId="37" xfId="0" applyNumberFormat="1" applyFill="1" applyBorder="1" applyAlignment="1">
      <alignment horizontal="center"/>
    </xf>
    <xf numFmtId="164" fontId="0" fillId="0" borderId="29" xfId="0" applyNumberFormat="1" applyBorder="1" applyAlignment="1">
      <alignment horizontal="center"/>
    </xf>
    <xf numFmtId="164" fontId="0" fillId="7" borderId="29" xfId="0" applyNumberFormat="1" applyFill="1" applyBorder="1" applyAlignment="1">
      <alignment horizontal="center"/>
    </xf>
    <xf numFmtId="164" fontId="0" fillId="7" borderId="38" xfId="0" applyNumberFormat="1" applyFill="1" applyBorder="1" applyAlignment="1">
      <alignment horizontal="center"/>
    </xf>
    <xf numFmtId="166" fontId="0" fillId="5" borderId="22" xfId="0" applyNumberFormat="1" applyFill="1" applyBorder="1" applyAlignment="1">
      <alignment horizontal="center"/>
    </xf>
    <xf numFmtId="166" fontId="0" fillId="5" borderId="23" xfId="0" applyNumberFormat="1" applyFill="1" applyBorder="1" applyAlignment="1">
      <alignment horizontal="center"/>
    </xf>
    <xf numFmtId="166" fontId="0" fillId="5" borderId="24" xfId="0" applyNumberFormat="1" applyFill="1" applyBorder="1" applyAlignment="1">
      <alignment horizontal="center"/>
    </xf>
    <xf numFmtId="174" fontId="2" fillId="10" borderId="14" xfId="0" applyNumberFormat="1" applyFont="1" applyFill="1" applyBorder="1" applyAlignment="1">
      <alignment horizontal="center"/>
    </xf>
    <xf numFmtId="172" fontId="2" fillId="10" borderId="7" xfId="0" applyNumberFormat="1" applyFont="1" applyFill="1" applyBorder="1" applyAlignment="1">
      <alignment horizontal="center"/>
    </xf>
    <xf numFmtId="1" fontId="0" fillId="0" borderId="0" xfId="0" applyNumberFormat="1"/>
    <xf numFmtId="0" fontId="0" fillId="0" borderId="0" xfId="0" applyNumberFormat="1"/>
    <xf numFmtId="10" fontId="0" fillId="0" borderId="0" xfId="0" applyNumberFormat="1"/>
    <xf numFmtId="171" fontId="0" fillId="12" borderId="8" xfId="0" applyNumberFormat="1" applyFill="1" applyBorder="1" applyAlignment="1">
      <alignment horizontal="center"/>
    </xf>
    <xf numFmtId="164" fontId="2" fillId="11" borderId="7" xfId="0" applyNumberFormat="1" applyFont="1" applyFill="1" applyBorder="1" applyAlignment="1">
      <alignment horizontal="center"/>
    </xf>
    <xf numFmtId="166" fontId="2" fillId="4" borderId="14" xfId="0" applyNumberFormat="1" applyFont="1" applyFill="1" applyBorder="1" applyAlignment="1">
      <alignment horizontal="center"/>
    </xf>
    <xf numFmtId="164" fontId="2" fillId="4" borderId="8" xfId="0" applyNumberFormat="1" applyFont="1" applyFill="1" applyBorder="1" applyAlignment="1">
      <alignment horizontal="center"/>
    </xf>
    <xf numFmtId="172" fontId="2" fillId="4" borderId="8" xfId="0" applyNumberFormat="1" applyFont="1" applyFill="1" applyBorder="1" applyAlignment="1">
      <alignment horizontal="center"/>
    </xf>
    <xf numFmtId="174" fontId="2" fillId="3" borderId="8" xfId="0" applyNumberFormat="1" applyFont="1" applyFill="1" applyBorder="1" applyAlignment="1">
      <alignment horizontal="center"/>
    </xf>
    <xf numFmtId="0" fontId="2" fillId="6" borderId="3" xfId="0" applyFont="1" applyFill="1" applyBorder="1" applyAlignment="1">
      <alignment horizontal="center"/>
    </xf>
    <xf numFmtId="0" fontId="2" fillId="6" borderId="4" xfId="0" applyFont="1" applyFill="1" applyBorder="1" applyAlignment="1">
      <alignment horizontal="center"/>
    </xf>
    <xf numFmtId="172" fontId="3" fillId="12" borderId="49" xfId="0" applyNumberFormat="1" applyFont="1" applyFill="1" applyBorder="1" applyAlignment="1">
      <alignment horizontal="center"/>
    </xf>
    <xf numFmtId="9" fontId="0" fillId="0" borderId="0" xfId="0" applyNumberFormat="1"/>
    <xf numFmtId="164" fontId="3" fillId="3" borderId="7" xfId="0" applyNumberFormat="1" applyFont="1" applyFill="1" applyBorder="1" applyAlignment="1">
      <alignment horizontal="center"/>
    </xf>
    <xf numFmtId="0" fontId="3" fillId="6" borderId="4" xfId="0" applyFont="1" applyFill="1" applyBorder="1" applyAlignment="1">
      <alignment horizontal="center"/>
    </xf>
    <xf numFmtId="164" fontId="3" fillId="4" borderId="4" xfId="0" applyNumberFormat="1" applyFont="1" applyFill="1" applyBorder="1" applyAlignment="1">
      <alignment horizontal="center"/>
    </xf>
    <xf numFmtId="164" fontId="3" fillId="3" borderId="5" xfId="0" applyNumberFormat="1" applyFont="1" applyFill="1" applyBorder="1" applyAlignment="1">
      <alignment horizontal="center"/>
    </xf>
    <xf numFmtId="164" fontId="3" fillId="6" borderId="13" xfId="0" applyNumberFormat="1" applyFont="1" applyFill="1" applyBorder="1" applyAlignment="1">
      <alignment horizontal="center"/>
    </xf>
    <xf numFmtId="164" fontId="3" fillId="6" borderId="25" xfId="0" applyNumberFormat="1" applyFont="1" applyFill="1" applyBorder="1" applyAlignment="1">
      <alignment horizontal="center"/>
    </xf>
    <xf numFmtId="164" fontId="3" fillId="6" borderId="6" xfId="0" applyNumberFormat="1" applyFont="1" applyFill="1" applyBorder="1" applyAlignment="1">
      <alignment horizontal="center"/>
    </xf>
    <xf numFmtId="164" fontId="3" fillId="6" borderId="26" xfId="0" applyNumberFormat="1" applyFont="1" applyFill="1" applyBorder="1" applyAlignment="1">
      <alignment horizontal="center"/>
    </xf>
    <xf numFmtId="164" fontId="3" fillId="12" borderId="4" xfId="0" applyNumberFormat="1" applyFont="1" applyFill="1" applyBorder="1" applyAlignment="1">
      <alignment horizontal="center"/>
    </xf>
    <xf numFmtId="0" fontId="3" fillId="6" borderId="16" xfId="0" applyFont="1" applyFill="1" applyBorder="1" applyAlignment="1">
      <alignment horizontal="center" vertical="center"/>
    </xf>
    <xf numFmtId="173" fontId="0" fillId="0" borderId="0" xfId="0" applyNumberFormat="1" applyBorder="1" applyAlignment="1">
      <alignment horizontal="center"/>
    </xf>
    <xf numFmtId="164" fontId="3" fillId="12" borderId="2" xfId="0" applyNumberFormat="1" applyFont="1" applyFill="1" applyBorder="1" applyAlignment="1">
      <alignment horizontal="center"/>
    </xf>
    <xf numFmtId="164" fontId="3" fillId="6" borderId="24" xfId="0" applyNumberFormat="1" applyFont="1" applyFill="1" applyBorder="1" applyAlignment="1">
      <alignment horizontal="center" vertical="center"/>
    </xf>
    <xf numFmtId="164" fontId="3" fillId="12" borderId="16" xfId="0" applyNumberFormat="1" applyFont="1" applyFill="1" applyBorder="1" applyAlignment="1">
      <alignment horizontal="center"/>
    </xf>
    <xf numFmtId="164" fontId="3" fillId="3" borderId="47" xfId="0" applyNumberFormat="1" applyFont="1" applyFill="1" applyBorder="1" applyAlignment="1">
      <alignment horizontal="center"/>
    </xf>
    <xf numFmtId="0" fontId="3" fillId="6" borderId="56" xfId="0" applyFont="1" applyFill="1" applyBorder="1" applyAlignment="1">
      <alignment horizontal="center" vertical="center" wrapText="1"/>
    </xf>
    <xf numFmtId="0" fontId="3" fillId="6" borderId="13" xfId="0" applyFont="1" applyFill="1" applyBorder="1" applyAlignment="1">
      <alignment horizontal="center" vertical="center"/>
    </xf>
    <xf numFmtId="164" fontId="3" fillId="3" borderId="14" xfId="0" applyNumberFormat="1" applyFont="1" applyFill="1" applyBorder="1" applyAlignment="1">
      <alignment horizontal="center"/>
    </xf>
    <xf numFmtId="164" fontId="3" fillId="3" borderId="45" xfId="0" applyNumberFormat="1" applyFont="1" applyFill="1" applyBorder="1" applyAlignment="1">
      <alignment horizontal="center"/>
    </xf>
    <xf numFmtId="166" fontId="3" fillId="12" borderId="16" xfId="0" applyNumberFormat="1" applyFont="1" applyFill="1" applyBorder="1" applyAlignment="1">
      <alignment horizontal="center"/>
    </xf>
    <xf numFmtId="172" fontId="3" fillId="8" borderId="47" xfId="0" applyNumberFormat="1" applyFont="1" applyFill="1" applyBorder="1" applyAlignment="1">
      <alignment horizontal="center"/>
    </xf>
    <xf numFmtId="164" fontId="3" fillId="12" borderId="18" xfId="0" applyNumberFormat="1" applyFont="1" applyFill="1" applyBorder="1" applyAlignment="1">
      <alignment horizontal="center"/>
    </xf>
    <xf numFmtId="164" fontId="3" fillId="12" borderId="19" xfId="0" applyNumberFormat="1" applyFont="1" applyFill="1" applyBorder="1" applyAlignment="1">
      <alignment horizontal="center" vertical="center"/>
    </xf>
    <xf numFmtId="172" fontId="3" fillId="12" borderId="19" xfId="0" applyNumberFormat="1" applyFont="1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3" fillId="6" borderId="25" xfId="0" applyFont="1" applyFill="1" applyBorder="1" applyAlignment="1">
      <alignment horizontal="center" vertical="center"/>
    </xf>
    <xf numFmtId="0" fontId="3" fillId="6" borderId="21" xfId="0" applyFont="1" applyFill="1" applyBorder="1" applyAlignment="1">
      <alignment horizontal="center" vertical="center"/>
    </xf>
    <xf numFmtId="0" fontId="3" fillId="6" borderId="58" xfId="0" applyFont="1" applyFill="1" applyBorder="1" applyAlignment="1">
      <alignment horizontal="center" vertical="center"/>
    </xf>
    <xf numFmtId="172" fontId="3" fillId="12" borderId="42" xfId="0" applyNumberFormat="1" applyFont="1" applyFill="1" applyBorder="1" applyAlignment="1">
      <alignment horizontal="center"/>
    </xf>
    <xf numFmtId="164" fontId="1" fillId="0" borderId="0" xfId="0" applyNumberFormat="1" applyFont="1" applyBorder="1" applyAlignment="1">
      <alignment horizontal="center"/>
    </xf>
    <xf numFmtId="172" fontId="3" fillId="4" borderId="45" xfId="0" applyNumberFormat="1" applyFont="1" applyFill="1" applyBorder="1" applyAlignment="1">
      <alignment horizontal="center"/>
    </xf>
    <xf numFmtId="172" fontId="3" fillId="12" borderId="55" xfId="0" applyNumberFormat="1" applyFont="1" applyFill="1" applyBorder="1" applyAlignment="1">
      <alignment horizontal="center"/>
    </xf>
    <xf numFmtId="172" fontId="3" fillId="13" borderId="43" xfId="0" applyNumberFormat="1" applyFont="1" applyFill="1" applyBorder="1" applyAlignment="1">
      <alignment horizontal="center"/>
    </xf>
    <xf numFmtId="172" fontId="3" fillId="13" borderId="12" xfId="0" applyNumberFormat="1" applyFont="1" applyFill="1" applyBorder="1" applyAlignment="1">
      <alignment horizontal="center"/>
    </xf>
    <xf numFmtId="165" fontId="3" fillId="14" borderId="15" xfId="0" applyNumberFormat="1" applyFont="1" applyFill="1" applyBorder="1" applyAlignment="1">
      <alignment horizontal="center"/>
    </xf>
    <xf numFmtId="172" fontId="3" fillId="13" borderId="32" xfId="0" applyNumberFormat="1" applyFont="1" applyFill="1" applyBorder="1" applyAlignment="1">
      <alignment horizontal="center"/>
    </xf>
    <xf numFmtId="164" fontId="1" fillId="4" borderId="13" xfId="0" applyNumberFormat="1" applyFont="1" applyFill="1" applyBorder="1" applyAlignment="1">
      <alignment horizontal="center"/>
    </xf>
    <xf numFmtId="0" fontId="3" fillId="6" borderId="5" xfId="0" applyFont="1" applyFill="1" applyBorder="1" applyAlignment="1">
      <alignment horizontal="center"/>
    </xf>
    <xf numFmtId="164" fontId="3" fillId="3" borderId="48" xfId="0" applyNumberFormat="1" applyFont="1" applyFill="1" applyBorder="1" applyAlignment="1">
      <alignment horizontal="center"/>
    </xf>
    <xf numFmtId="172" fontId="3" fillId="13" borderId="50" xfId="0" applyNumberFormat="1" applyFont="1" applyFill="1" applyBorder="1" applyAlignment="1">
      <alignment horizontal="center"/>
    </xf>
    <xf numFmtId="164" fontId="3" fillId="14" borderId="3" xfId="0" applyNumberFormat="1" applyFont="1" applyFill="1" applyBorder="1" applyAlignment="1">
      <alignment horizontal="center"/>
    </xf>
    <xf numFmtId="164" fontId="3" fillId="6" borderId="43" xfId="0" applyNumberFormat="1" applyFont="1" applyFill="1" applyBorder="1" applyAlignment="1">
      <alignment horizontal="center" vertical="center"/>
    </xf>
    <xf numFmtId="164" fontId="3" fillId="3" borderId="29" xfId="0" applyNumberFormat="1" applyFont="1" applyFill="1" applyBorder="1" applyAlignment="1">
      <alignment horizontal="center"/>
    </xf>
    <xf numFmtId="164" fontId="3" fillId="12" borderId="29" xfId="0" applyNumberFormat="1" applyFont="1" applyFill="1" applyBorder="1" applyAlignment="1">
      <alignment horizontal="center"/>
    </xf>
    <xf numFmtId="164" fontId="3" fillId="14" borderId="47" xfId="0" applyNumberFormat="1" applyFont="1" applyFill="1" applyBorder="1" applyAlignment="1">
      <alignment horizontal="center"/>
    </xf>
    <xf numFmtId="164" fontId="3" fillId="14" borderId="17" xfId="0" applyNumberFormat="1" applyFont="1" applyFill="1" applyBorder="1" applyAlignment="1">
      <alignment horizontal="center"/>
    </xf>
    <xf numFmtId="164" fontId="3" fillId="14" borderId="16" xfId="0" applyNumberFormat="1" applyFont="1" applyFill="1" applyBorder="1" applyAlignment="1">
      <alignment horizontal="center"/>
    </xf>
    <xf numFmtId="172" fontId="0" fillId="0" borderId="0" xfId="0" applyNumberFormat="1" applyBorder="1" applyAlignment="1">
      <alignment horizontal="center"/>
    </xf>
    <xf numFmtId="0" fontId="3" fillId="6" borderId="2" xfId="0" applyFont="1" applyFill="1" applyBorder="1" applyAlignment="1">
      <alignment horizontal="center" vertical="center"/>
    </xf>
    <xf numFmtId="0" fontId="3" fillId="6" borderId="24" xfId="0" applyFont="1" applyFill="1" applyBorder="1" applyAlignment="1">
      <alignment horizontal="center" vertical="center"/>
    </xf>
    <xf numFmtId="164" fontId="2" fillId="12" borderId="7" xfId="0" applyNumberFormat="1" applyFont="1" applyFill="1" applyBorder="1" applyAlignment="1">
      <alignment horizontal="center"/>
    </xf>
    <xf numFmtId="0" fontId="3" fillId="6" borderId="3" xfId="0" applyFont="1" applyFill="1" applyBorder="1" applyAlignment="1">
      <alignment horizontal="center" vertical="center"/>
    </xf>
    <xf numFmtId="172" fontId="3" fillId="12" borderId="48" xfId="0" applyNumberFormat="1" applyFont="1" applyFill="1" applyBorder="1" applyAlignment="1">
      <alignment horizontal="center"/>
    </xf>
    <xf numFmtId="164" fontId="3" fillId="6" borderId="32" xfId="0" applyNumberFormat="1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173" fontId="8" fillId="11" borderId="1" xfId="0" applyNumberFormat="1" applyFont="1" applyFill="1" applyBorder="1" applyAlignment="1">
      <alignment horizontal="center"/>
    </xf>
    <xf numFmtId="176" fontId="8" fillId="3" borderId="1" xfId="0" applyNumberFormat="1" applyFont="1" applyFill="1" applyBorder="1" applyAlignment="1">
      <alignment horizontal="center"/>
    </xf>
    <xf numFmtId="168" fontId="8" fillId="11" borderId="1" xfId="0" applyNumberFormat="1" applyFont="1" applyFill="1" applyBorder="1" applyAlignment="1">
      <alignment horizontal="center"/>
    </xf>
    <xf numFmtId="172" fontId="8" fillId="11" borderId="1" xfId="0" applyNumberFormat="1" applyFont="1" applyFill="1" applyBorder="1" applyAlignment="1">
      <alignment horizontal="center"/>
    </xf>
    <xf numFmtId="172" fontId="0" fillId="3" borderId="1" xfId="0" applyNumberFormat="1" applyFill="1" applyBorder="1" applyAlignment="1">
      <alignment horizontal="center"/>
    </xf>
    <xf numFmtId="0" fontId="3" fillId="14" borderId="16" xfId="0" applyFont="1" applyFill="1" applyBorder="1" applyAlignment="1">
      <alignment horizontal="center" vertical="center"/>
    </xf>
    <xf numFmtId="0" fontId="7" fillId="15" borderId="15" xfId="0" applyFont="1" applyFill="1" applyBorder="1" applyAlignment="1">
      <alignment horizontal="center" vertical="center"/>
    </xf>
    <xf numFmtId="0" fontId="7" fillId="15" borderId="16" xfId="0" applyFont="1" applyFill="1" applyBorder="1" applyAlignment="1">
      <alignment horizontal="center" vertical="center"/>
    </xf>
    <xf numFmtId="167" fontId="3" fillId="11" borderId="45" xfId="0" applyNumberFormat="1" applyFont="1" applyFill="1" applyBorder="1" applyAlignment="1">
      <alignment horizontal="center"/>
    </xf>
    <xf numFmtId="0" fontId="0" fillId="11" borderId="22" xfId="0" applyFill="1" applyBorder="1" applyAlignment="1">
      <alignment horizontal="center"/>
    </xf>
    <xf numFmtId="0" fontId="0" fillId="15" borderId="1" xfId="0" applyFont="1" applyFill="1" applyBorder="1" applyAlignment="1">
      <alignment horizontal="center"/>
    </xf>
    <xf numFmtId="172" fontId="3" fillId="13" borderId="15" xfId="0" applyNumberFormat="1" applyFont="1" applyFill="1" applyBorder="1" applyAlignment="1">
      <alignment horizontal="center"/>
    </xf>
    <xf numFmtId="172" fontId="3" fillId="13" borderId="16" xfId="0" applyNumberFormat="1" applyFont="1" applyFill="1" applyBorder="1" applyAlignment="1">
      <alignment horizontal="center"/>
    </xf>
    <xf numFmtId="0" fontId="1" fillId="15" borderId="2" xfId="0" applyFont="1" applyFill="1" applyBorder="1" applyAlignment="1">
      <alignment horizontal="center"/>
    </xf>
    <xf numFmtId="4" fontId="8" fillId="3" borderId="2" xfId="0" applyNumberFormat="1" applyFont="1" applyFill="1" applyBorder="1" applyAlignment="1">
      <alignment horizontal="center"/>
    </xf>
    <xf numFmtId="172" fontId="0" fillId="11" borderId="23" xfId="0" applyNumberFormat="1" applyFill="1" applyBorder="1" applyAlignment="1">
      <alignment horizontal="center"/>
    </xf>
    <xf numFmtId="164" fontId="3" fillId="11" borderId="45" xfId="0" applyNumberFormat="1" applyFont="1" applyFill="1" applyBorder="1" applyAlignment="1">
      <alignment horizontal="center"/>
    </xf>
    <xf numFmtId="0" fontId="1" fillId="15" borderId="1" xfId="0" applyFont="1" applyFill="1" applyBorder="1" applyAlignment="1">
      <alignment horizontal="center"/>
    </xf>
    <xf numFmtId="4" fontId="8" fillId="3" borderId="1" xfId="0" applyNumberFormat="1" applyFont="1" applyFill="1" applyBorder="1" applyAlignment="1">
      <alignment horizontal="center"/>
    </xf>
    <xf numFmtId="164" fontId="8" fillId="11" borderId="1" xfId="0" applyNumberFormat="1" applyFont="1" applyFill="1" applyBorder="1" applyAlignment="1">
      <alignment horizontal="center"/>
    </xf>
    <xf numFmtId="172" fontId="3" fillId="11" borderId="17" xfId="0" applyNumberFormat="1" applyFont="1" applyFill="1" applyBorder="1" applyAlignment="1">
      <alignment horizontal="center"/>
    </xf>
    <xf numFmtId="172" fontId="3" fillId="11" borderId="12" xfId="0" applyNumberFormat="1" applyFont="1" applyFill="1" applyBorder="1" applyAlignment="1">
      <alignment horizontal="center"/>
    </xf>
    <xf numFmtId="164" fontId="3" fillId="12" borderId="54" xfId="0" applyNumberFormat="1" applyFont="1" applyFill="1" applyBorder="1" applyAlignment="1">
      <alignment horizontal="center"/>
    </xf>
    <xf numFmtId="164" fontId="3" fillId="6" borderId="32" xfId="0" applyNumberFormat="1" applyFont="1" applyFill="1" applyBorder="1" applyAlignment="1">
      <alignment horizontal="center" vertical="center"/>
    </xf>
    <xf numFmtId="167" fontId="0" fillId="3" borderId="1" xfId="0" applyNumberFormat="1" applyFill="1" applyBorder="1" applyAlignment="1">
      <alignment horizontal="center"/>
    </xf>
    <xf numFmtId="164" fontId="1" fillId="3" borderId="1" xfId="0" applyNumberFormat="1" applyFont="1" applyFill="1" applyBorder="1" applyAlignment="1">
      <alignment horizontal="center"/>
    </xf>
    <xf numFmtId="164" fontId="1" fillId="3" borderId="2" xfId="0" applyNumberFormat="1" applyFont="1" applyFill="1" applyBorder="1" applyAlignment="1">
      <alignment horizontal="center"/>
    </xf>
    <xf numFmtId="164" fontId="0" fillId="11" borderId="23" xfId="0" applyNumberFormat="1" applyFill="1" applyBorder="1" applyAlignment="1">
      <alignment horizontal="center"/>
    </xf>
    <xf numFmtId="164" fontId="3" fillId="4" borderId="19" xfId="0" applyNumberFormat="1" applyFont="1" applyFill="1" applyBorder="1" applyAlignment="1">
      <alignment horizontal="center"/>
    </xf>
    <xf numFmtId="164" fontId="3" fillId="14" borderId="19" xfId="0" applyNumberFormat="1" applyFont="1" applyFill="1" applyBorder="1" applyAlignment="1">
      <alignment horizontal="center"/>
    </xf>
    <xf numFmtId="165" fontId="3" fillId="11" borderId="45" xfId="0" applyNumberFormat="1" applyFont="1" applyFill="1" applyBorder="1" applyAlignment="1">
      <alignment horizontal="center"/>
    </xf>
    <xf numFmtId="172" fontId="3" fillId="12" borderId="27" xfId="0" applyNumberFormat="1" applyFont="1" applyFill="1" applyBorder="1" applyAlignment="1">
      <alignment horizontal="center"/>
    </xf>
    <xf numFmtId="164" fontId="3" fillId="6" borderId="18" xfId="0" applyNumberFormat="1" applyFont="1" applyFill="1" applyBorder="1" applyAlignment="1">
      <alignment horizontal="center" vertical="center"/>
    </xf>
    <xf numFmtId="164" fontId="3" fillId="6" borderId="16" xfId="0" applyNumberFormat="1" applyFont="1" applyFill="1" applyBorder="1" applyAlignment="1">
      <alignment horizontal="center" vertical="center"/>
    </xf>
    <xf numFmtId="172" fontId="3" fillId="12" borderId="40" xfId="0" applyNumberFormat="1" applyFont="1" applyFill="1" applyBorder="1" applyAlignment="1">
      <alignment horizontal="center"/>
    </xf>
    <xf numFmtId="172" fontId="3" fillId="14" borderId="13" xfId="0" applyNumberFormat="1" applyFont="1" applyFill="1" applyBorder="1" applyAlignment="1">
      <alignment horizontal="center"/>
    </xf>
    <xf numFmtId="172" fontId="3" fillId="4" borderId="24" xfId="0" applyNumberFormat="1" applyFont="1" applyFill="1" applyBorder="1" applyAlignment="1">
      <alignment horizontal="center"/>
    </xf>
    <xf numFmtId="172" fontId="3" fillId="12" borderId="38" xfId="0" applyNumberFormat="1" applyFont="1" applyFill="1" applyBorder="1" applyAlignment="1">
      <alignment horizontal="center"/>
    </xf>
    <xf numFmtId="164" fontId="3" fillId="11" borderId="2" xfId="0" applyNumberFormat="1" applyFont="1" applyFill="1" applyBorder="1" applyAlignment="1">
      <alignment horizontal="center"/>
    </xf>
    <xf numFmtId="172" fontId="3" fillId="12" borderId="24" xfId="0" applyNumberFormat="1" applyFont="1" applyFill="1" applyBorder="1" applyAlignment="1">
      <alignment horizontal="center"/>
    </xf>
    <xf numFmtId="164" fontId="3" fillId="6" borderId="16" xfId="0" applyNumberFormat="1" applyFont="1" applyFill="1" applyBorder="1" applyAlignment="1">
      <alignment horizontal="center" vertical="center"/>
    </xf>
    <xf numFmtId="172" fontId="3" fillId="11" borderId="25" xfId="0" applyNumberFormat="1" applyFont="1" applyFill="1" applyBorder="1" applyAlignment="1">
      <alignment horizontal="center"/>
    </xf>
    <xf numFmtId="164" fontId="3" fillId="6" borderId="42" xfId="0" applyNumberFormat="1" applyFont="1" applyFill="1" applyBorder="1" applyAlignment="1">
      <alignment horizontal="center"/>
    </xf>
    <xf numFmtId="164" fontId="6" fillId="12" borderId="59" xfId="0" applyNumberFormat="1" applyFont="1" applyFill="1" applyBorder="1" applyAlignment="1">
      <alignment horizontal="center"/>
    </xf>
    <xf numFmtId="166" fontId="3" fillId="4" borderId="43" xfId="0" applyNumberFormat="1" applyFont="1" applyFill="1" applyBorder="1" applyAlignment="1">
      <alignment horizontal="center"/>
    </xf>
    <xf numFmtId="164" fontId="3" fillId="6" borderId="2" xfId="0" applyNumberFormat="1" applyFont="1" applyFill="1" applyBorder="1" applyAlignment="1">
      <alignment horizontal="center"/>
    </xf>
    <xf numFmtId="164" fontId="3" fillId="6" borderId="23" xfId="0" applyNumberFormat="1" applyFont="1" applyFill="1" applyBorder="1" applyAlignment="1">
      <alignment horizontal="center" vertical="center"/>
    </xf>
    <xf numFmtId="172" fontId="3" fillId="12" borderId="31" xfId="0" applyNumberFormat="1" applyFont="1" applyFill="1" applyBorder="1" applyAlignment="1">
      <alignment horizontal="center"/>
    </xf>
    <xf numFmtId="172" fontId="3" fillId="12" borderId="30" xfId="0" applyNumberFormat="1" applyFont="1" applyFill="1" applyBorder="1" applyAlignment="1">
      <alignment horizontal="center"/>
    </xf>
    <xf numFmtId="172" fontId="3" fillId="12" borderId="56" xfId="0" applyNumberFormat="1" applyFont="1" applyFill="1" applyBorder="1" applyAlignment="1">
      <alignment horizontal="center"/>
    </xf>
    <xf numFmtId="0" fontId="3" fillId="6" borderId="57" xfId="0" applyFont="1" applyFill="1" applyBorder="1" applyAlignment="1">
      <alignment horizontal="center" vertical="center"/>
    </xf>
    <xf numFmtId="164" fontId="3" fillId="6" borderId="51" xfId="0" applyNumberFormat="1" applyFont="1" applyFill="1" applyBorder="1" applyAlignment="1">
      <alignment horizontal="center"/>
    </xf>
    <xf numFmtId="172" fontId="3" fillId="4" borderId="39" xfId="0" applyNumberFormat="1" applyFont="1" applyFill="1" applyBorder="1" applyAlignment="1">
      <alignment horizontal="center"/>
    </xf>
    <xf numFmtId="172" fontId="3" fillId="4" borderId="8" xfId="0" applyNumberFormat="1" applyFont="1" applyFill="1" applyBorder="1" applyAlignment="1">
      <alignment horizontal="center"/>
    </xf>
    <xf numFmtId="172" fontId="3" fillId="4" borderId="7" xfId="0" applyNumberFormat="1" applyFont="1" applyFill="1" applyBorder="1" applyAlignment="1">
      <alignment horizontal="center"/>
    </xf>
    <xf numFmtId="164" fontId="3" fillId="12" borderId="57" xfId="0" applyNumberFormat="1" applyFont="1" applyFill="1" applyBorder="1" applyAlignment="1">
      <alignment horizontal="center"/>
    </xf>
    <xf numFmtId="172" fontId="3" fillId="12" borderId="34" xfId="0" applyNumberFormat="1" applyFont="1" applyFill="1" applyBorder="1" applyAlignment="1">
      <alignment horizontal="center"/>
    </xf>
    <xf numFmtId="172" fontId="3" fillId="3" borderId="3" xfId="0" applyNumberFormat="1" applyFont="1" applyFill="1" applyBorder="1" applyAlignment="1">
      <alignment horizontal="center"/>
    </xf>
    <xf numFmtId="172" fontId="3" fillId="3" borderId="4" xfId="0" applyNumberFormat="1" applyFont="1" applyFill="1" applyBorder="1" applyAlignment="1">
      <alignment horizontal="center"/>
    </xf>
    <xf numFmtId="172" fontId="3" fillId="3" borderId="5" xfId="0" applyNumberFormat="1" applyFont="1" applyFill="1" applyBorder="1" applyAlignment="1">
      <alignment horizontal="center"/>
    </xf>
    <xf numFmtId="164" fontId="3" fillId="11" borderId="4" xfId="0" applyNumberFormat="1" applyFont="1" applyFill="1" applyBorder="1" applyAlignment="1">
      <alignment horizontal="center"/>
    </xf>
    <xf numFmtId="10" fontId="0" fillId="12" borderId="39" xfId="0" applyNumberFormat="1" applyFill="1" applyBorder="1" applyAlignment="1">
      <alignment horizontal="center"/>
    </xf>
    <xf numFmtId="175" fontId="0" fillId="12" borderId="8" xfId="0" applyNumberFormat="1" applyFill="1" applyBorder="1" applyAlignment="1">
      <alignment horizontal="center"/>
    </xf>
    <xf numFmtId="171" fontId="0" fillId="12" borderId="7" xfId="0" applyNumberFormat="1" applyFill="1" applyBorder="1" applyAlignment="1">
      <alignment horizontal="center"/>
    </xf>
    <xf numFmtId="165" fontId="3" fillId="11" borderId="14" xfId="0" applyNumberFormat="1" applyFont="1" applyFill="1" applyBorder="1" applyAlignment="1">
      <alignment horizontal="center"/>
    </xf>
    <xf numFmtId="164" fontId="3" fillId="6" borderId="32" xfId="0" applyNumberFormat="1" applyFont="1" applyFill="1" applyBorder="1" applyAlignment="1">
      <alignment horizontal="center" vertical="center"/>
    </xf>
    <xf numFmtId="0" fontId="3" fillId="6" borderId="41" xfId="0" applyFont="1" applyFill="1" applyBorder="1" applyAlignment="1">
      <alignment horizontal="center" vertical="center"/>
    </xf>
    <xf numFmtId="164" fontId="3" fillId="6" borderId="16" xfId="0" applyNumberFormat="1" applyFont="1" applyFill="1" applyBorder="1" applyAlignment="1">
      <alignment horizontal="center" vertical="center"/>
    </xf>
    <xf numFmtId="172" fontId="3" fillId="13" borderId="1" xfId="0" applyNumberFormat="1" applyFont="1" applyFill="1" applyBorder="1" applyAlignment="1">
      <alignment horizontal="center"/>
    </xf>
    <xf numFmtId="165" fontId="0" fillId="13" borderId="1" xfId="0" applyNumberFormat="1" applyFill="1" applyBorder="1" applyAlignment="1">
      <alignment horizontal="center"/>
    </xf>
    <xf numFmtId="165" fontId="1" fillId="13" borderId="1" xfId="0" applyNumberFormat="1" applyFont="1" applyFill="1" applyBorder="1" applyAlignment="1">
      <alignment horizontal="center"/>
    </xf>
    <xf numFmtId="172" fontId="3" fillId="13" borderId="17" xfId="0" applyNumberFormat="1" applyFont="1" applyFill="1" applyBorder="1" applyAlignment="1">
      <alignment horizontal="center"/>
    </xf>
    <xf numFmtId="0" fontId="0" fillId="15" borderId="12" xfId="0" applyFont="1" applyFill="1" applyBorder="1" applyAlignment="1">
      <alignment horizontal="center"/>
    </xf>
    <xf numFmtId="173" fontId="8" fillId="11" borderId="12" xfId="0" applyNumberFormat="1" applyFont="1" applyFill="1" applyBorder="1" applyAlignment="1">
      <alignment horizontal="center"/>
    </xf>
    <xf numFmtId="167" fontId="0" fillId="3" borderId="12" xfId="0" applyNumberFormat="1" applyFill="1" applyBorder="1" applyAlignment="1">
      <alignment horizontal="center"/>
    </xf>
    <xf numFmtId="165" fontId="0" fillId="13" borderId="12" xfId="0" applyNumberFormat="1" applyFill="1" applyBorder="1" applyAlignment="1">
      <alignment horizontal="center"/>
    </xf>
    <xf numFmtId="172" fontId="3" fillId="13" borderId="2" xfId="0" applyNumberFormat="1" applyFont="1" applyFill="1" applyBorder="1" applyAlignment="1">
      <alignment horizontal="center"/>
    </xf>
    <xf numFmtId="165" fontId="1" fillId="13" borderId="2" xfId="0" applyNumberFormat="1" applyFont="1" applyFill="1" applyBorder="1" applyAlignment="1">
      <alignment horizontal="center"/>
    </xf>
    <xf numFmtId="10" fontId="0" fillId="11" borderId="8" xfId="0" applyNumberFormat="1" applyFill="1" applyBorder="1" applyAlignment="1">
      <alignment horizontal="center"/>
    </xf>
    <xf numFmtId="164" fontId="0" fillId="11" borderId="8" xfId="0" applyNumberFormat="1" applyFill="1" applyBorder="1" applyAlignment="1">
      <alignment horizontal="center"/>
    </xf>
    <xf numFmtId="164" fontId="3" fillId="6" borderId="32" xfId="0" applyNumberFormat="1" applyFont="1" applyFill="1" applyBorder="1" applyAlignment="1">
      <alignment horizontal="center" vertical="center"/>
    </xf>
    <xf numFmtId="0" fontId="3" fillId="6" borderId="41" xfId="0" applyFont="1" applyFill="1" applyBorder="1" applyAlignment="1">
      <alignment horizontal="center" vertical="center"/>
    </xf>
    <xf numFmtId="164" fontId="3" fillId="6" borderId="16" xfId="0" applyNumberFormat="1" applyFont="1" applyFill="1" applyBorder="1" applyAlignment="1">
      <alignment horizontal="center" vertical="center"/>
    </xf>
    <xf numFmtId="0" fontId="3" fillId="6" borderId="17" xfId="0" applyFont="1" applyFill="1" applyBorder="1" applyAlignment="1">
      <alignment horizontal="center" vertical="center"/>
    </xf>
    <xf numFmtId="164" fontId="3" fillId="6" borderId="32" xfId="0" applyNumberFormat="1" applyFont="1" applyFill="1" applyBorder="1" applyAlignment="1">
      <alignment horizontal="center" vertical="center"/>
    </xf>
    <xf numFmtId="0" fontId="3" fillId="6" borderId="41" xfId="0" applyFont="1" applyFill="1" applyBorder="1" applyAlignment="1">
      <alignment horizontal="center" vertical="center"/>
    </xf>
    <xf numFmtId="164" fontId="3" fillId="6" borderId="16" xfId="0" applyNumberFormat="1" applyFont="1" applyFill="1" applyBorder="1" applyAlignment="1">
      <alignment horizontal="center" vertical="center"/>
    </xf>
    <xf numFmtId="172" fontId="3" fillId="4" borderId="22" xfId="0" applyNumberFormat="1" applyFont="1" applyFill="1" applyBorder="1" applyAlignment="1">
      <alignment horizontal="center"/>
    </xf>
    <xf numFmtId="165" fontId="3" fillId="12" borderId="40" xfId="0" applyNumberFormat="1" applyFont="1" applyFill="1" applyBorder="1" applyAlignment="1">
      <alignment horizontal="center"/>
    </xf>
    <xf numFmtId="164" fontId="2" fillId="11" borderId="1" xfId="0" applyNumberFormat="1" applyFont="1" applyFill="1" applyBorder="1" applyAlignment="1">
      <alignment horizontal="center"/>
    </xf>
    <xf numFmtId="164" fontId="2" fillId="11" borderId="2" xfId="0" applyNumberFormat="1" applyFont="1" applyFill="1" applyBorder="1" applyAlignment="1">
      <alignment horizontal="center"/>
    </xf>
    <xf numFmtId="172" fontId="0" fillId="3" borderId="12" xfId="0" applyNumberFormat="1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173" fontId="8" fillId="11" borderId="2" xfId="0" applyNumberFormat="1" applyFont="1" applyFill="1" applyBorder="1" applyAlignment="1">
      <alignment horizontal="center"/>
    </xf>
    <xf numFmtId="164" fontId="8" fillId="11" borderId="2" xfId="0" applyNumberFormat="1" applyFont="1" applyFill="1" applyBorder="1" applyAlignment="1">
      <alignment horizontal="center"/>
    </xf>
    <xf numFmtId="165" fontId="3" fillId="14" borderId="8" xfId="0" applyNumberFormat="1" applyFont="1" applyFill="1" applyBorder="1" applyAlignment="1">
      <alignment horizontal="center"/>
    </xf>
    <xf numFmtId="0" fontId="7" fillId="15" borderId="17" xfId="0" applyFont="1" applyFill="1" applyBorder="1" applyAlignment="1">
      <alignment horizontal="center" vertical="center"/>
    </xf>
    <xf numFmtId="165" fontId="1" fillId="13" borderId="12" xfId="0" applyNumberFormat="1" applyFont="1" applyFill="1" applyBorder="1" applyAlignment="1">
      <alignment horizontal="center"/>
    </xf>
    <xf numFmtId="165" fontId="0" fillId="11" borderId="23" xfId="0" applyNumberFormat="1" applyFill="1" applyBorder="1" applyAlignment="1">
      <alignment horizontal="center"/>
    </xf>
    <xf numFmtId="172" fontId="1" fillId="12" borderId="22" xfId="0" applyNumberFormat="1" applyFont="1" applyFill="1" applyBorder="1" applyAlignment="1">
      <alignment horizontal="center"/>
    </xf>
    <xf numFmtId="172" fontId="1" fillId="12" borderId="23" xfId="0" applyNumberFormat="1" applyFont="1" applyFill="1" applyBorder="1" applyAlignment="1">
      <alignment horizontal="center"/>
    </xf>
    <xf numFmtId="172" fontId="1" fillId="12" borderId="24" xfId="0" applyNumberFormat="1" applyFont="1" applyFill="1" applyBorder="1" applyAlignment="1">
      <alignment horizontal="center"/>
    </xf>
    <xf numFmtId="172" fontId="0" fillId="11" borderId="24" xfId="0" applyNumberFormat="1" applyFill="1" applyBorder="1" applyAlignment="1">
      <alignment horizontal="center"/>
    </xf>
    <xf numFmtId="172" fontId="3" fillId="11" borderId="45" xfId="0" applyNumberFormat="1" applyFont="1" applyFill="1" applyBorder="1" applyAlignment="1">
      <alignment horizontal="center"/>
    </xf>
    <xf numFmtId="0" fontId="7" fillId="15" borderId="42" xfId="0" applyFont="1" applyFill="1" applyBorder="1" applyAlignment="1">
      <alignment horizontal="center" vertical="center" wrapText="1"/>
    </xf>
    <xf numFmtId="0" fontId="7" fillId="15" borderId="28" xfId="0" applyFont="1" applyFill="1" applyBorder="1" applyAlignment="1">
      <alignment horizontal="center" vertical="center" wrapText="1"/>
    </xf>
    <xf numFmtId="0" fontId="7" fillId="15" borderId="28" xfId="0" applyFont="1" applyFill="1" applyBorder="1" applyAlignment="1">
      <alignment horizontal="center" vertical="center"/>
    </xf>
    <xf numFmtId="0" fontId="3" fillId="6" borderId="41" xfId="0" applyFont="1" applyFill="1" applyBorder="1" applyAlignment="1">
      <alignment horizontal="center" vertical="center"/>
    </xf>
    <xf numFmtId="0" fontId="7" fillId="15" borderId="17" xfId="0" applyFont="1" applyFill="1" applyBorder="1" applyAlignment="1">
      <alignment horizontal="center" vertical="center"/>
    </xf>
    <xf numFmtId="171" fontId="2" fillId="11" borderId="14" xfId="0" applyNumberFormat="1" applyFont="1" applyFill="1" applyBorder="1" applyAlignment="1">
      <alignment horizontal="center"/>
    </xf>
    <xf numFmtId="171" fontId="0" fillId="11" borderId="8" xfId="0" applyNumberFormat="1" applyFill="1" applyBorder="1" applyAlignment="1">
      <alignment horizontal="center"/>
    </xf>
    <xf numFmtId="165" fontId="0" fillId="11" borderId="8" xfId="0" applyNumberFormat="1" applyFill="1" applyBorder="1" applyAlignment="1">
      <alignment horizontal="center"/>
    </xf>
    <xf numFmtId="165" fontId="0" fillId="11" borderId="3" xfId="0" applyNumberFormat="1" applyFill="1" applyBorder="1" applyAlignment="1">
      <alignment horizontal="center"/>
    </xf>
    <xf numFmtId="165" fontId="0" fillId="11" borderId="4" xfId="0" applyNumberFormat="1" applyFill="1" applyBorder="1" applyAlignment="1">
      <alignment horizontal="center"/>
    </xf>
    <xf numFmtId="165" fontId="0" fillId="11" borderId="5" xfId="0" applyNumberFormat="1" applyFill="1" applyBorder="1" applyAlignment="1">
      <alignment horizontal="center"/>
    </xf>
    <xf numFmtId="10" fontId="0" fillId="11" borderId="14" xfId="0" applyNumberFormat="1" applyFill="1" applyBorder="1" applyAlignment="1">
      <alignment horizontal="center"/>
    </xf>
    <xf numFmtId="164" fontId="0" fillId="11" borderId="7" xfId="0" applyNumberFormat="1" applyFill="1" applyBorder="1" applyAlignment="1">
      <alignment horizontal="center"/>
    </xf>
    <xf numFmtId="164" fontId="0" fillId="12" borderId="1" xfId="0" applyNumberFormat="1" applyFill="1" applyBorder="1" applyAlignment="1">
      <alignment horizontal="center"/>
    </xf>
    <xf numFmtId="164" fontId="0" fillId="12" borderId="30" xfId="0" applyNumberFormat="1" applyFill="1" applyBorder="1" applyAlignment="1">
      <alignment horizontal="center"/>
    </xf>
    <xf numFmtId="164" fontId="0" fillId="12" borderId="2" xfId="0" applyNumberFormat="1" applyFill="1" applyBorder="1" applyAlignment="1">
      <alignment horizontal="center"/>
    </xf>
    <xf numFmtId="169" fontId="0" fillId="2" borderId="1" xfId="0" applyNumberFormat="1" applyFill="1" applyBorder="1" applyAlignment="1">
      <alignment horizontal="center"/>
    </xf>
    <xf numFmtId="165" fontId="0" fillId="12" borderId="1" xfId="0" applyNumberFormat="1" applyFill="1" applyBorder="1" applyAlignment="1">
      <alignment horizontal="center"/>
    </xf>
    <xf numFmtId="165" fontId="0" fillId="12" borderId="2" xfId="0" applyNumberFormat="1" applyFill="1" applyBorder="1" applyAlignment="1">
      <alignment horizontal="center"/>
    </xf>
    <xf numFmtId="164" fontId="0" fillId="12" borderId="29" xfId="0" applyNumberFormat="1" applyFill="1" applyBorder="1" applyAlignment="1">
      <alignment horizontal="center"/>
    </xf>
    <xf numFmtId="164" fontId="0" fillId="3" borderId="23" xfId="0" applyNumberFormat="1" applyFill="1" applyBorder="1" applyAlignment="1">
      <alignment horizontal="center"/>
    </xf>
    <xf numFmtId="164" fontId="0" fillId="3" borderId="24" xfId="0" applyNumberFormat="1" applyFill="1" applyBorder="1" applyAlignment="1">
      <alignment horizontal="center"/>
    </xf>
    <xf numFmtId="164" fontId="0" fillId="3" borderId="49" xfId="0" applyNumberFormat="1" applyFill="1" applyBorder="1" applyAlignment="1">
      <alignment horizontal="center"/>
    </xf>
    <xf numFmtId="164" fontId="0" fillId="3" borderId="56" xfId="0" applyNumberFormat="1" applyFill="1" applyBorder="1" applyAlignment="1">
      <alignment horizontal="center"/>
    </xf>
    <xf numFmtId="164" fontId="0" fillId="3" borderId="30" xfId="0" applyNumberFormat="1" applyFill="1" applyBorder="1" applyAlignment="1">
      <alignment horizontal="center"/>
    </xf>
    <xf numFmtId="172" fontId="3" fillId="4" borderId="61" xfId="0" applyNumberFormat="1" applyFont="1" applyFill="1" applyBorder="1" applyAlignment="1">
      <alignment horizontal="center"/>
    </xf>
    <xf numFmtId="172" fontId="3" fillId="4" borderId="62" xfId="0" applyNumberFormat="1" applyFont="1" applyFill="1" applyBorder="1" applyAlignment="1">
      <alignment horizontal="center"/>
    </xf>
    <xf numFmtId="177" fontId="8" fillId="11" borderId="1" xfId="0" applyNumberFormat="1" applyFont="1" applyFill="1" applyBorder="1" applyAlignment="1">
      <alignment horizontal="center"/>
    </xf>
    <xf numFmtId="0" fontId="7" fillId="15" borderId="17" xfId="0" applyFont="1" applyFill="1" applyBorder="1" applyAlignment="1">
      <alignment horizontal="center" vertical="center"/>
    </xf>
    <xf numFmtId="0" fontId="7" fillId="15" borderId="28" xfId="0" applyFont="1" applyFill="1" applyBorder="1" applyAlignment="1">
      <alignment horizontal="center" vertical="center" wrapText="1"/>
    </xf>
    <xf numFmtId="0" fontId="7" fillId="15" borderId="12" xfId="0" applyFont="1" applyFill="1" applyBorder="1" applyAlignment="1">
      <alignment horizontal="center" vertical="center"/>
    </xf>
    <xf numFmtId="0" fontId="7" fillId="15" borderId="28" xfId="0" applyFont="1" applyFill="1" applyBorder="1" applyAlignment="1">
      <alignment horizontal="center" vertical="center"/>
    </xf>
    <xf numFmtId="0" fontId="3" fillId="6" borderId="41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172" fontId="3" fillId="12" borderId="16" xfId="0" applyNumberFormat="1" applyFont="1" applyFill="1" applyBorder="1" applyAlignment="1">
      <alignment horizontal="center"/>
    </xf>
    <xf numFmtId="164" fontId="3" fillId="6" borderId="3" xfId="0" applyNumberFormat="1" applyFont="1" applyFill="1" applyBorder="1" applyAlignment="1">
      <alignment horizontal="center" vertical="center"/>
    </xf>
    <xf numFmtId="164" fontId="3" fillId="6" borderId="5" xfId="0" applyNumberFormat="1" applyFont="1" applyFill="1" applyBorder="1" applyAlignment="1">
      <alignment horizontal="center" vertical="center"/>
    </xf>
    <xf numFmtId="172" fontId="3" fillId="4" borderId="54" xfId="0" applyNumberFormat="1" applyFont="1" applyFill="1" applyBorder="1" applyAlignment="1">
      <alignment horizontal="center"/>
    </xf>
    <xf numFmtId="168" fontId="3" fillId="4" borderId="17" xfId="0" applyNumberFormat="1" applyFont="1" applyFill="1" applyBorder="1" applyAlignment="1">
      <alignment horizontal="center"/>
    </xf>
    <xf numFmtId="168" fontId="3" fillId="12" borderId="48" xfId="0" applyNumberFormat="1" applyFont="1" applyFill="1" applyBorder="1" applyAlignment="1">
      <alignment horizontal="center"/>
    </xf>
    <xf numFmtId="172" fontId="3" fillId="16" borderId="15" xfId="0" applyNumberFormat="1" applyFont="1" applyFill="1" applyBorder="1" applyAlignment="1">
      <alignment horizontal="center"/>
    </xf>
    <xf numFmtId="172" fontId="3" fillId="16" borderId="1" xfId="0" applyNumberFormat="1" applyFont="1" applyFill="1" applyBorder="1" applyAlignment="1">
      <alignment horizontal="center"/>
    </xf>
    <xf numFmtId="172" fontId="3" fillId="16" borderId="2" xfId="0" applyNumberFormat="1" applyFont="1" applyFill="1" applyBorder="1" applyAlignment="1">
      <alignment horizontal="center"/>
    </xf>
    <xf numFmtId="172" fontId="3" fillId="16" borderId="12" xfId="0" applyNumberFormat="1" applyFont="1" applyFill="1" applyBorder="1" applyAlignment="1">
      <alignment horizontal="center"/>
    </xf>
    <xf numFmtId="164" fontId="3" fillId="12" borderId="19" xfId="0" applyNumberFormat="1" applyFont="1" applyFill="1" applyBorder="1" applyAlignment="1">
      <alignment horizontal="center"/>
    </xf>
    <xf numFmtId="164" fontId="3" fillId="4" borderId="32" xfId="0" applyNumberFormat="1" applyFont="1" applyFill="1" applyBorder="1" applyAlignment="1">
      <alignment horizontal="center"/>
    </xf>
    <xf numFmtId="164" fontId="3" fillId="12" borderId="31" xfId="0" applyNumberFormat="1" applyFont="1" applyFill="1" applyBorder="1" applyAlignment="1">
      <alignment horizontal="center"/>
    </xf>
    <xf numFmtId="164" fontId="3" fillId="4" borderId="54" xfId="0" applyNumberFormat="1" applyFont="1" applyFill="1" applyBorder="1" applyAlignment="1">
      <alignment horizontal="center"/>
    </xf>
    <xf numFmtId="164" fontId="3" fillId="12" borderId="55" xfId="0" applyNumberFormat="1" applyFont="1" applyFill="1" applyBorder="1" applyAlignment="1">
      <alignment horizontal="center"/>
    </xf>
    <xf numFmtId="164" fontId="3" fillId="12" borderId="38" xfId="0" applyNumberFormat="1" applyFont="1" applyFill="1" applyBorder="1" applyAlignment="1">
      <alignment horizontal="center"/>
    </xf>
    <xf numFmtId="164" fontId="3" fillId="12" borderId="24" xfId="0" applyNumberFormat="1" applyFont="1" applyFill="1" applyBorder="1" applyAlignment="1">
      <alignment horizontal="center"/>
    </xf>
    <xf numFmtId="164" fontId="3" fillId="8" borderId="47" xfId="0" applyNumberFormat="1" applyFont="1" applyFill="1" applyBorder="1" applyAlignment="1">
      <alignment horizontal="center"/>
    </xf>
    <xf numFmtId="168" fontId="3" fillId="12" borderId="19" xfId="0" applyNumberFormat="1" applyFont="1" applyFill="1" applyBorder="1" applyAlignment="1">
      <alignment horizontal="center"/>
    </xf>
    <xf numFmtId="164" fontId="3" fillId="11" borderId="3" xfId="0" applyNumberFormat="1" applyFont="1" applyFill="1" applyBorder="1" applyAlignment="1">
      <alignment horizontal="center"/>
    </xf>
    <xf numFmtId="165" fontId="3" fillId="14" borderId="27" xfId="0" applyNumberFormat="1" applyFont="1" applyFill="1" applyBorder="1" applyAlignment="1">
      <alignment horizontal="center"/>
    </xf>
    <xf numFmtId="0" fontId="3" fillId="6" borderId="31" xfId="0" applyFont="1" applyFill="1" applyBorder="1" applyAlignment="1">
      <alignment horizontal="center" vertical="center"/>
    </xf>
    <xf numFmtId="172" fontId="3" fillId="13" borderId="65" xfId="0" applyNumberFormat="1" applyFont="1" applyFill="1" applyBorder="1" applyAlignment="1">
      <alignment horizontal="center"/>
    </xf>
    <xf numFmtId="165" fontId="3" fillId="14" borderId="30" xfId="0" applyNumberFormat="1" applyFont="1" applyFill="1" applyBorder="1" applyAlignment="1">
      <alignment horizontal="center"/>
    </xf>
    <xf numFmtId="172" fontId="3" fillId="11" borderId="53" xfId="0" applyNumberFormat="1" applyFont="1" applyFill="1" applyBorder="1" applyAlignment="1">
      <alignment horizontal="center"/>
    </xf>
    <xf numFmtId="164" fontId="3" fillId="12" borderId="66" xfId="0" applyNumberFormat="1" applyFont="1" applyFill="1" applyBorder="1" applyAlignment="1">
      <alignment horizontal="center"/>
    </xf>
    <xf numFmtId="172" fontId="3" fillId="3" borderId="53" xfId="0" applyNumberFormat="1" applyFont="1" applyFill="1" applyBorder="1" applyAlignment="1">
      <alignment horizontal="center"/>
    </xf>
    <xf numFmtId="172" fontId="3" fillId="13" borderId="55" xfId="0" applyNumberFormat="1" applyFont="1" applyFill="1" applyBorder="1" applyAlignment="1">
      <alignment horizontal="center"/>
    </xf>
    <xf numFmtId="172" fontId="3" fillId="3" borderId="22" xfId="0" applyNumberFormat="1" applyFont="1" applyFill="1" applyBorder="1" applyAlignment="1">
      <alignment horizontal="center"/>
    </xf>
    <xf numFmtId="165" fontId="3" fillId="14" borderId="23" xfId="0" applyNumberFormat="1" applyFont="1" applyFill="1" applyBorder="1" applyAlignment="1">
      <alignment horizontal="center"/>
    </xf>
    <xf numFmtId="172" fontId="3" fillId="12" borderId="41" xfId="0" applyNumberFormat="1" applyFont="1" applyFill="1" applyBorder="1" applyAlignment="1">
      <alignment horizontal="center"/>
    </xf>
    <xf numFmtId="172" fontId="3" fillId="11" borderId="22" xfId="0" applyNumberFormat="1" applyFont="1" applyFill="1" applyBorder="1" applyAlignment="1">
      <alignment horizontal="center"/>
    </xf>
    <xf numFmtId="172" fontId="3" fillId="12" borderId="17" xfId="0" applyNumberFormat="1" applyFont="1" applyFill="1" applyBorder="1" applyAlignment="1">
      <alignment horizontal="center"/>
    </xf>
    <xf numFmtId="172" fontId="3" fillId="12" borderId="15" xfId="0" applyNumberFormat="1" applyFont="1" applyFill="1" applyBorder="1" applyAlignment="1">
      <alignment horizontal="center"/>
    </xf>
    <xf numFmtId="172" fontId="3" fillId="12" borderId="23" xfId="0" applyNumberFormat="1" applyFont="1" applyFill="1" applyBorder="1" applyAlignment="1">
      <alignment horizontal="center"/>
    </xf>
    <xf numFmtId="172" fontId="3" fillId="13" borderId="45" xfId="0" applyNumberFormat="1" applyFont="1" applyFill="1" applyBorder="1" applyAlignment="1">
      <alignment horizontal="center"/>
    </xf>
    <xf numFmtId="164" fontId="3" fillId="6" borderId="16" xfId="0" applyNumberFormat="1" applyFont="1" applyFill="1" applyBorder="1" applyAlignment="1">
      <alignment horizontal="center"/>
    </xf>
    <xf numFmtId="0" fontId="3" fillId="6" borderId="47" xfId="0" applyFont="1" applyFill="1" applyBorder="1" applyAlignment="1">
      <alignment horizontal="center"/>
    </xf>
    <xf numFmtId="172" fontId="3" fillId="4" borderId="47" xfId="0" applyNumberFormat="1" applyFont="1" applyFill="1" applyBorder="1" applyAlignment="1">
      <alignment horizontal="center"/>
    </xf>
    <xf numFmtId="164" fontId="3" fillId="12" borderId="32" xfId="0" applyNumberFormat="1" applyFont="1" applyFill="1" applyBorder="1" applyAlignment="1">
      <alignment horizontal="center"/>
    </xf>
    <xf numFmtId="0" fontId="3" fillId="6" borderId="45" xfId="0" applyFont="1" applyFill="1" applyBorder="1" applyAlignment="1">
      <alignment horizontal="center"/>
    </xf>
    <xf numFmtId="169" fontId="0" fillId="12" borderId="1" xfId="0" applyNumberFormat="1" applyFill="1" applyBorder="1" applyAlignment="1">
      <alignment horizontal="center"/>
    </xf>
    <xf numFmtId="169" fontId="0" fillId="12" borderId="2" xfId="0" applyNumberFormat="1" applyFill="1" applyBorder="1" applyAlignment="1">
      <alignment horizontal="center"/>
    </xf>
    <xf numFmtId="169" fontId="0" fillId="12" borderId="30" xfId="0" applyNumberFormat="1" applyFill="1" applyBorder="1" applyAlignment="1">
      <alignment horizontal="center"/>
    </xf>
    <xf numFmtId="164" fontId="3" fillId="11" borderId="5" xfId="0" applyNumberFormat="1" applyFont="1" applyFill="1" applyBorder="1" applyAlignment="1">
      <alignment horizontal="center"/>
    </xf>
    <xf numFmtId="165" fontId="3" fillId="11" borderId="8" xfId="0" applyNumberFormat="1" applyFont="1" applyFill="1" applyBorder="1" applyAlignment="1">
      <alignment horizontal="center"/>
    </xf>
    <xf numFmtId="164" fontId="1" fillId="6" borderId="5" xfId="0" applyNumberFormat="1" applyFont="1" applyFill="1" applyBorder="1" applyAlignment="1">
      <alignment horizontal="center"/>
    </xf>
    <xf numFmtId="172" fontId="3" fillId="12" borderId="37" xfId="0" applyNumberFormat="1" applyFont="1" applyFill="1" applyBorder="1" applyAlignment="1">
      <alignment horizontal="center"/>
    </xf>
    <xf numFmtId="172" fontId="3" fillId="12" borderId="54" xfId="0" applyNumberFormat="1" applyFont="1" applyFill="1" applyBorder="1" applyAlignment="1">
      <alignment horizontal="center"/>
    </xf>
    <xf numFmtId="164" fontId="3" fillId="6" borderId="17" xfId="0" applyNumberFormat="1" applyFont="1" applyFill="1" applyBorder="1" applyAlignment="1">
      <alignment horizontal="center"/>
    </xf>
    <xf numFmtId="164" fontId="3" fillId="11" borderId="22" xfId="0" applyNumberFormat="1" applyFont="1" applyFill="1" applyBorder="1" applyAlignment="1">
      <alignment horizontal="center"/>
    </xf>
    <xf numFmtId="164" fontId="3" fillId="6" borderId="15" xfId="0" applyNumberFormat="1" applyFont="1" applyFill="1" applyBorder="1" applyAlignment="1">
      <alignment horizontal="center"/>
    </xf>
    <xf numFmtId="164" fontId="3" fillId="11" borderId="24" xfId="0" applyNumberFormat="1" applyFont="1" applyFill="1" applyBorder="1" applyAlignment="1">
      <alignment horizontal="center"/>
    </xf>
    <xf numFmtId="164" fontId="3" fillId="11" borderId="23" xfId="0" applyNumberFormat="1" applyFont="1" applyFill="1" applyBorder="1" applyAlignment="1">
      <alignment horizontal="center"/>
    </xf>
    <xf numFmtId="165" fontId="3" fillId="11" borderId="15" xfId="0" applyNumberFormat="1" applyFont="1" applyFill="1" applyBorder="1" applyAlignment="1">
      <alignment horizontal="center"/>
    </xf>
    <xf numFmtId="165" fontId="3" fillId="11" borderId="23" xfId="0" applyNumberFormat="1" applyFont="1" applyFill="1" applyBorder="1" applyAlignment="1">
      <alignment horizontal="center"/>
    </xf>
    <xf numFmtId="165" fontId="3" fillId="11" borderId="30" xfId="0" applyNumberFormat="1" applyFont="1" applyFill="1" applyBorder="1" applyAlignment="1">
      <alignment horizontal="center"/>
    </xf>
    <xf numFmtId="165" fontId="3" fillId="11" borderId="27" xfId="0" applyNumberFormat="1" applyFont="1" applyFill="1" applyBorder="1" applyAlignment="1">
      <alignment horizontal="center"/>
    </xf>
    <xf numFmtId="164" fontId="3" fillId="6" borderId="27" xfId="0" applyNumberFormat="1" applyFont="1" applyFill="1" applyBorder="1" applyAlignment="1">
      <alignment horizontal="center" vertical="center"/>
    </xf>
    <xf numFmtId="164" fontId="3" fillId="6" borderId="61" xfId="0" applyNumberFormat="1" applyFont="1" applyFill="1" applyBorder="1" applyAlignment="1">
      <alignment horizontal="center"/>
    </xf>
    <xf numFmtId="164" fontId="3" fillId="6" borderId="62" xfId="0" applyNumberFormat="1" applyFont="1" applyFill="1" applyBorder="1" applyAlignment="1">
      <alignment horizontal="center"/>
    </xf>
    <xf numFmtId="164" fontId="3" fillId="6" borderId="41" xfId="0" applyNumberFormat="1" applyFont="1" applyFill="1" applyBorder="1" applyAlignment="1">
      <alignment horizontal="center" vertical="center"/>
    </xf>
    <xf numFmtId="164" fontId="3" fillId="13" borderId="17" xfId="0" applyNumberFormat="1" applyFont="1" applyFill="1" applyBorder="1" applyAlignment="1">
      <alignment horizontal="center"/>
    </xf>
    <xf numFmtId="164" fontId="3" fillId="12" borderId="22" xfId="0" applyNumberFormat="1" applyFont="1" applyFill="1" applyBorder="1" applyAlignment="1">
      <alignment horizontal="center"/>
    </xf>
    <xf numFmtId="164" fontId="3" fillId="11" borderId="17" xfId="0" applyNumberFormat="1" applyFont="1" applyFill="1" applyBorder="1" applyAlignment="1">
      <alignment horizontal="center"/>
    </xf>
    <xf numFmtId="0" fontId="7" fillId="15" borderId="9" xfId="0" applyFont="1" applyFill="1" applyBorder="1" applyAlignment="1">
      <alignment horizontal="center" vertical="center" wrapText="1"/>
    </xf>
    <xf numFmtId="0" fontId="7" fillId="15" borderId="11" xfId="0" applyFont="1" applyFill="1" applyBorder="1" applyAlignment="1">
      <alignment horizontal="center" vertical="center" wrapText="1"/>
    </xf>
    <xf numFmtId="0" fontId="7" fillId="15" borderId="12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7" fillId="15" borderId="59" xfId="0" applyFont="1" applyFill="1" applyBorder="1" applyAlignment="1">
      <alignment horizontal="center" vertical="center"/>
    </xf>
    <xf numFmtId="0" fontId="0" fillId="0" borderId="63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7" fillId="15" borderId="17" xfId="0" applyFont="1" applyFill="1" applyBorder="1" applyAlignment="1">
      <alignment horizontal="center" vertical="center"/>
    </xf>
    <xf numFmtId="0" fontId="3" fillId="6" borderId="19" xfId="0" applyFont="1" applyFill="1" applyBorder="1" applyAlignment="1">
      <alignment horizontal="center" vertical="center"/>
    </xf>
    <xf numFmtId="0" fontId="0" fillId="0" borderId="60" xfId="0" applyBorder="1" applyAlignment="1">
      <alignment horizontal="center" vertical="center"/>
    </xf>
    <xf numFmtId="0" fontId="7" fillId="15" borderId="19" xfId="0" applyFont="1" applyFill="1" applyBorder="1" applyAlignment="1">
      <alignment horizontal="center" vertical="center" wrapText="1"/>
    </xf>
    <xf numFmtId="0" fontId="0" fillId="0" borderId="60" xfId="0" applyBorder="1" applyAlignment="1">
      <alignment horizontal="center" vertical="center" wrapText="1"/>
    </xf>
    <xf numFmtId="0" fontId="7" fillId="15" borderId="20" xfId="0" applyFont="1" applyFill="1" applyBorder="1" applyAlignment="1">
      <alignment horizontal="center" vertical="center" wrapText="1"/>
    </xf>
    <xf numFmtId="0" fontId="0" fillId="0" borderId="64" xfId="0" applyBorder="1" applyAlignment="1">
      <alignment horizontal="center" vertical="center" wrapText="1"/>
    </xf>
    <xf numFmtId="164" fontId="3" fillId="6" borderId="22" xfId="0" applyNumberFormat="1" applyFont="1" applyFill="1" applyBorder="1" applyAlignment="1">
      <alignment horizontal="center" vertical="center"/>
    </xf>
    <xf numFmtId="0" fontId="3" fillId="6" borderId="41" xfId="0" applyFont="1" applyFill="1" applyBorder="1" applyAlignment="1">
      <alignment horizontal="center" vertical="center"/>
    </xf>
    <xf numFmtId="166" fontId="3" fillId="6" borderId="65" xfId="0" applyNumberFormat="1" applyFont="1" applyFill="1" applyBorder="1" applyAlignment="1">
      <alignment horizontal="center" vertical="center"/>
    </xf>
    <xf numFmtId="0" fontId="0" fillId="0" borderId="38" xfId="0" applyBorder="1" applyAlignment="1">
      <alignment horizontal="center"/>
    </xf>
    <xf numFmtId="164" fontId="3" fillId="6" borderId="9" xfId="0" applyNumberFormat="1" applyFont="1" applyFill="1" applyBorder="1" applyAlignment="1">
      <alignment horizontal="center"/>
    </xf>
    <xf numFmtId="0" fontId="3" fillId="0" borderId="11" xfId="0" applyFont="1" applyBorder="1" applyAlignment="1"/>
    <xf numFmtId="164" fontId="3" fillId="6" borderId="12" xfId="0" applyNumberFormat="1" applyFont="1" applyFill="1" applyBorder="1" applyAlignment="1">
      <alignment horizontal="center" vertical="center" wrapText="1"/>
    </xf>
    <xf numFmtId="0" fontId="3" fillId="6" borderId="28" xfId="0" applyFont="1" applyFill="1" applyBorder="1" applyAlignment="1">
      <alignment horizontal="center" vertical="center" wrapText="1"/>
    </xf>
    <xf numFmtId="164" fontId="3" fillId="14" borderId="12" xfId="0" applyNumberFormat="1" applyFont="1" applyFill="1" applyBorder="1" applyAlignment="1">
      <alignment horizontal="center" vertical="center" wrapText="1"/>
    </xf>
    <xf numFmtId="0" fontId="3" fillId="14" borderId="28" xfId="0" applyFont="1" applyFill="1" applyBorder="1" applyAlignment="1">
      <alignment horizontal="center" vertical="center" wrapText="1"/>
    </xf>
    <xf numFmtId="166" fontId="3" fillId="6" borderId="12" xfId="0" applyNumberFormat="1" applyFont="1" applyFill="1" applyBorder="1" applyAlignment="1">
      <alignment horizontal="center" vertical="center" wrapText="1"/>
    </xf>
    <xf numFmtId="0" fontId="3" fillId="15" borderId="18" xfId="0" applyFont="1" applyFill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164" fontId="3" fillId="6" borderId="17" xfId="0" applyNumberFormat="1" applyFont="1" applyFill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164" fontId="5" fillId="6" borderId="17" xfId="0" applyNumberFormat="1" applyFont="1" applyFill="1" applyBorder="1" applyAlignment="1">
      <alignment horizontal="center" vertical="center"/>
    </xf>
    <xf numFmtId="0" fontId="0" fillId="0" borderId="22" xfId="0" applyBorder="1" applyAlignment="1"/>
    <xf numFmtId="0" fontId="0" fillId="0" borderId="16" xfId="0" applyBorder="1" applyAlignment="1"/>
    <xf numFmtId="0" fontId="0" fillId="0" borderId="24" xfId="0" applyBorder="1" applyAlignment="1"/>
    <xf numFmtId="164" fontId="5" fillId="6" borderId="17" xfId="0" applyNumberFormat="1" applyFont="1" applyFill="1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164" fontId="3" fillId="6" borderId="9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64" fontId="5" fillId="12" borderId="44" xfId="0" applyNumberFormat="1" applyFont="1" applyFill="1" applyBorder="1" applyAlignment="1">
      <alignment horizontal="center"/>
    </xf>
    <xf numFmtId="164" fontId="5" fillId="12" borderId="31" xfId="0" applyNumberFormat="1" applyFont="1" applyFill="1" applyBorder="1" applyAlignment="1">
      <alignment horizontal="center"/>
    </xf>
    <xf numFmtId="171" fontId="5" fillId="10" borderId="32" xfId="0" applyNumberFormat="1" applyFont="1" applyFill="1" applyBorder="1" applyAlignment="1">
      <alignment horizontal="center"/>
    </xf>
    <xf numFmtId="0" fontId="0" fillId="10" borderId="45" xfId="0" applyFill="1" applyBorder="1" applyAlignment="1">
      <alignment horizontal="center"/>
    </xf>
    <xf numFmtId="0" fontId="0" fillId="0" borderId="11" xfId="0" applyBorder="1" applyAlignment="1">
      <alignment horizontal="center" vertical="center"/>
    </xf>
    <xf numFmtId="0" fontId="5" fillId="6" borderId="43" xfId="0" applyFont="1" applyFill="1" applyBorder="1" applyAlignment="1">
      <alignment horizontal="center"/>
    </xf>
    <xf numFmtId="0" fontId="0" fillId="0" borderId="38" xfId="0" applyBorder="1" applyAlignment="1"/>
    <xf numFmtId="173" fontId="6" fillId="8" borderId="53" xfId="0" applyNumberFormat="1" applyFont="1" applyFill="1" applyBorder="1" applyAlignment="1">
      <alignment horizontal="center"/>
    </xf>
    <xf numFmtId="0" fontId="0" fillId="8" borderId="48" xfId="0" applyFill="1" applyBorder="1" applyAlignment="1">
      <alignment horizontal="center"/>
    </xf>
    <xf numFmtId="0" fontId="5" fillId="6" borderId="42" xfId="0" applyFont="1" applyFill="1" applyBorder="1" applyAlignment="1">
      <alignment horizontal="center"/>
    </xf>
    <xf numFmtId="0" fontId="0" fillId="0" borderId="41" xfId="0" applyBorder="1" applyAlignment="1"/>
    <xf numFmtId="173" fontId="6" fillId="8" borderId="56" xfId="0" applyNumberFormat="1" applyFont="1" applyFill="1" applyBorder="1" applyAlignment="1">
      <alignment horizontal="center"/>
    </xf>
    <xf numFmtId="0" fontId="0" fillId="8" borderId="41" xfId="0" applyFill="1" applyBorder="1" applyAlignment="1">
      <alignment horizontal="center"/>
    </xf>
    <xf numFmtId="0" fontId="3" fillId="15" borderId="17" xfId="0" applyFont="1" applyFill="1" applyBorder="1" applyAlignment="1">
      <alignment horizontal="center" vertical="center"/>
    </xf>
    <xf numFmtId="0" fontId="1" fillId="0" borderId="48" xfId="0" applyFont="1" applyBorder="1" applyAlignment="1">
      <alignment horizontal="center" vertical="center"/>
    </xf>
    <xf numFmtId="164" fontId="3" fillId="6" borderId="17" xfId="0" applyNumberFormat="1" applyFont="1" applyFill="1" applyBorder="1" applyAlignment="1">
      <alignment horizontal="center" vertical="center" wrapText="1"/>
    </xf>
    <xf numFmtId="0" fontId="3" fillId="6" borderId="42" xfId="0" applyFont="1" applyFill="1" applyBorder="1" applyAlignment="1">
      <alignment horizontal="center" vertical="center" wrapText="1"/>
    </xf>
    <xf numFmtId="164" fontId="3" fillId="6" borderId="28" xfId="0" applyNumberFormat="1" applyFont="1" applyFill="1" applyBorder="1" applyAlignment="1">
      <alignment horizontal="center" vertical="center" wrapText="1"/>
    </xf>
    <xf numFmtId="164" fontId="3" fillId="6" borderId="19" xfId="0" applyNumberFormat="1" applyFont="1" applyFill="1" applyBorder="1" applyAlignment="1">
      <alignment horizontal="center" vertical="center" wrapText="1"/>
    </xf>
    <xf numFmtId="0" fontId="3" fillId="6" borderId="60" xfId="0" applyFont="1" applyFill="1" applyBorder="1" applyAlignment="1">
      <alignment horizontal="center" vertical="center" wrapText="1"/>
    </xf>
    <xf numFmtId="0" fontId="3" fillId="6" borderId="32" xfId="0" applyFont="1" applyFill="1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3" fillId="6" borderId="55" xfId="0" applyFont="1" applyFill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171" fontId="5" fillId="10" borderId="52" xfId="0" applyNumberFormat="1" applyFont="1" applyFill="1" applyBorder="1" applyAlignment="1">
      <alignment horizontal="center"/>
    </xf>
    <xf numFmtId="0" fontId="0" fillId="10" borderId="46" xfId="0" applyFill="1" applyBorder="1" applyAlignment="1">
      <alignment horizontal="center"/>
    </xf>
    <xf numFmtId="166" fontId="3" fillId="6" borderId="53" xfId="0" applyNumberFormat="1" applyFont="1" applyFill="1" applyBorder="1" applyAlignment="1">
      <alignment horizontal="center" vertical="center"/>
    </xf>
    <xf numFmtId="0" fontId="0" fillId="0" borderId="22" xfId="0" applyBorder="1" applyAlignment="1">
      <alignment horizontal="center"/>
    </xf>
    <xf numFmtId="164" fontId="6" fillId="8" borderId="53" xfId="0" applyNumberFormat="1" applyFont="1" applyFill="1" applyBorder="1" applyAlignment="1">
      <alignment horizontal="center"/>
    </xf>
    <xf numFmtId="164" fontId="0" fillId="8" borderId="48" xfId="0" applyNumberFormat="1" applyFill="1" applyBorder="1" applyAlignment="1">
      <alignment horizontal="center"/>
    </xf>
    <xf numFmtId="164" fontId="6" fillId="8" borderId="56" xfId="0" applyNumberFormat="1" applyFont="1" applyFill="1" applyBorder="1" applyAlignment="1">
      <alignment horizontal="center"/>
    </xf>
    <xf numFmtId="164" fontId="0" fillId="8" borderId="41" xfId="0" applyNumberFormat="1" applyFill="1" applyBorder="1" applyAlignment="1">
      <alignment horizontal="center"/>
    </xf>
    <xf numFmtId="164" fontId="0" fillId="6" borderId="12" xfId="0" applyNumberForma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164" fontId="2" fillId="6" borderId="4" xfId="0" applyNumberFormat="1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64" fontId="2" fillId="6" borderId="9" xfId="0" applyNumberFormat="1" applyFont="1" applyFill="1" applyBorder="1" applyAlignment="1">
      <alignment horizontal="center"/>
    </xf>
    <xf numFmtId="0" fontId="0" fillId="0" borderId="11" xfId="0" applyBorder="1"/>
    <xf numFmtId="164" fontId="0" fillId="6" borderId="22" xfId="0" applyNumberFormat="1" applyFill="1" applyBorder="1" applyAlignment="1">
      <alignment horizontal="center" vertical="center" wrapText="1"/>
    </xf>
    <xf numFmtId="0" fontId="0" fillId="6" borderId="9" xfId="0" applyFill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6" borderId="44" xfId="0" applyFill="1" applyBorder="1" applyAlignment="1">
      <alignment horizontal="center"/>
    </xf>
    <xf numFmtId="0" fontId="0" fillId="0" borderId="31" xfId="0" applyBorder="1" applyAlignment="1">
      <alignment horizontal="center"/>
    </xf>
    <xf numFmtId="164" fontId="1" fillId="6" borderId="12" xfId="0" applyNumberFormat="1" applyFont="1" applyFill="1" applyBorder="1" applyAlignment="1">
      <alignment horizontal="center" vertical="center" wrapText="1"/>
    </xf>
    <xf numFmtId="164" fontId="0" fillId="6" borderId="2" xfId="0" applyNumberFormat="1" applyFill="1" applyBorder="1" applyAlignment="1">
      <alignment horizontal="center" vertical="center" wrapText="1"/>
    </xf>
    <xf numFmtId="164" fontId="2" fillId="6" borderId="12" xfId="0" applyNumberFormat="1" applyFont="1" applyFill="1" applyBorder="1" applyAlignment="1">
      <alignment horizontal="center" vertical="center" wrapText="1"/>
    </xf>
    <xf numFmtId="164" fontId="0" fillId="6" borderId="17" xfId="0" applyNumberFormat="1" applyFill="1" applyBorder="1" applyAlignment="1">
      <alignment horizontal="center" vertical="center" wrapText="1"/>
    </xf>
    <xf numFmtId="0" fontId="1" fillId="6" borderId="44" xfId="0" applyFont="1" applyFill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51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2" fillId="6" borderId="32" xfId="0" applyFont="1" applyFill="1" applyBorder="1" applyAlignment="1">
      <alignment horizontal="center"/>
    </xf>
    <xf numFmtId="0" fontId="2" fillId="6" borderId="45" xfId="0" applyFont="1" applyFill="1" applyBorder="1" applyAlignment="1">
      <alignment horizontal="center"/>
    </xf>
    <xf numFmtId="164" fontId="2" fillId="6" borderId="40" xfId="0" applyNumberFormat="1" applyFont="1" applyFill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" fillId="6" borderId="33" xfId="0" applyFont="1" applyFill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2" fillId="6" borderId="44" xfId="0" applyFont="1" applyFill="1" applyBorder="1" applyAlignment="1">
      <alignment horizontal="center"/>
    </xf>
    <xf numFmtId="0" fontId="0" fillId="0" borderId="31" xfId="0" applyBorder="1"/>
    <xf numFmtId="0" fontId="0" fillId="0" borderId="45" xfId="0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E0E0E0"/>
      <rgbColor rgb="00CCFFCC"/>
      <rgbColor rgb="00D9D9D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FFCC"/>
      <color rgb="FFCCFFFF"/>
      <color rgb="FFFFCC99"/>
      <color rgb="FFFFFF99"/>
      <color rgb="FFFFFF66"/>
      <color rgb="FF66FFFF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2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marker>
            <c:symbol val="none"/>
          </c:marker>
          <c:val>
            <c:numRef>
              <c:f>CLog!$O$6:$O$103</c:f>
              <c:numCache>
                <c:formatCode>#,##0.00;[Red]#,##0.00</c:formatCode>
                <c:ptCount val="98"/>
                <c:pt idx="0">
                  <c:v>66.666666666666671</c:v>
                </c:pt>
                <c:pt idx="1">
                  <c:v>50</c:v>
                </c:pt>
                <c:pt idx="2">
                  <c:v>40</c:v>
                </c:pt>
                <c:pt idx="3">
                  <c:v>50</c:v>
                </c:pt>
                <c:pt idx="4">
                  <c:v>57.142857142857146</c:v>
                </c:pt>
                <c:pt idx="5">
                  <c:v>50</c:v>
                </c:pt>
                <c:pt idx="6">
                  <c:v>44.444444444444443</c:v>
                </c:pt>
                <c:pt idx="7">
                  <c:v>40</c:v>
                </c:pt>
                <c:pt idx="8">
                  <c:v>36.363636363636367</c:v>
                </c:pt>
                <c:pt idx="9">
                  <c:v>33.333333333333336</c:v>
                </c:pt>
                <c:pt idx="10">
                  <c:v>30.76923076923077</c:v>
                </c:pt>
                <c:pt idx="11">
                  <c:v>35.714285714285715</c:v>
                </c:pt>
                <c:pt idx="12">
                  <c:v>33.333333333333336</c:v>
                </c:pt>
                <c:pt idx="13">
                  <c:v>31.25</c:v>
                </c:pt>
                <c:pt idx="14">
                  <c:v>29.411764705882351</c:v>
                </c:pt>
                <c:pt idx="15">
                  <c:v>27.777777777777779</c:v>
                </c:pt>
                <c:pt idx="16">
                  <c:v>31.578947368421051</c:v>
                </c:pt>
                <c:pt idx="17">
                  <c:v>35</c:v>
                </c:pt>
                <c:pt idx="18">
                  <c:v>38.095238095238095</c:v>
                </c:pt>
                <c:pt idx="19">
                  <c:v>36.363636363636367</c:v>
                </c:pt>
                <c:pt idx="20">
                  <c:v>39.130434782608695</c:v>
                </c:pt>
                <c:pt idx="21">
                  <c:v>41.666666666666664</c:v>
                </c:pt>
                <c:pt idx="22">
                  <c:v>44</c:v>
                </c:pt>
                <c:pt idx="23">
                  <c:v>46.153846153846153</c:v>
                </c:pt>
                <c:pt idx="24">
                  <c:v>48.148148148148145</c:v>
                </c:pt>
                <c:pt idx="25">
                  <c:v>46.428571428571431</c:v>
                </c:pt>
                <c:pt idx="26">
                  <c:v>48.275862068965516</c:v>
                </c:pt>
                <c:pt idx="27">
                  <c:v>50</c:v>
                </c:pt>
                <c:pt idx="28">
                  <c:v>48.387096774193552</c:v>
                </c:pt>
                <c:pt idx="29">
                  <c:v>46.875</c:v>
                </c:pt>
                <c:pt idx="30">
                  <c:v>48.484848484848484</c:v>
                </c:pt>
                <c:pt idx="31">
                  <c:v>47.058823529411768</c:v>
                </c:pt>
                <c:pt idx="32">
                  <c:v>45.714285714285715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6796032"/>
        <c:axId val="26797568"/>
      </c:lineChart>
      <c:catAx>
        <c:axId val="26796032"/>
        <c:scaling>
          <c:orientation val="minMax"/>
        </c:scaling>
        <c:delete val="0"/>
        <c:axPos val="b"/>
        <c:majorTickMark val="out"/>
        <c:minorTickMark val="none"/>
        <c:tickLblPos val="nextTo"/>
        <c:crossAx val="26797568"/>
        <c:crosses val="autoZero"/>
        <c:auto val="1"/>
        <c:lblAlgn val="ctr"/>
        <c:lblOffset val="100"/>
        <c:noMultiLvlLbl val="0"/>
      </c:catAx>
      <c:valAx>
        <c:axId val="26797568"/>
        <c:scaling>
          <c:orientation val="minMax"/>
        </c:scaling>
        <c:delete val="0"/>
        <c:axPos val="l"/>
        <c:majorGridlines/>
        <c:numFmt formatCode="#,##0;[Red]#,##0" sourceLinked="0"/>
        <c:majorTickMark val="out"/>
        <c:minorTickMark val="none"/>
        <c:tickLblPos val="nextTo"/>
        <c:crossAx val="2679603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3069985748636767"/>
          <c:y val="6.7628990465648658E-2"/>
          <c:w val="0.83805169007962055"/>
          <c:h val="0.83934131521231081"/>
        </c:manualLayout>
      </c:layout>
      <c:lineChart>
        <c:grouping val="standard"/>
        <c:varyColors val="0"/>
        <c:ser>
          <c:idx val="0"/>
          <c:order val="0"/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val>
            <c:numRef>
              <c:f>Risk!$Q$4:$Q$103</c:f>
              <c:numCache>
                <c:formatCode>#,##0.0000;[Red]#,##0.0000</c:formatCode>
                <c:ptCount val="100"/>
                <c:pt idx="0">
                  <c:v>-1.720988577202931E-5</c:v>
                </c:pt>
                <c:pt idx="1">
                  <c:v>-1.2007138491831881E-2</c:v>
                </c:pt>
                <c:pt idx="2">
                  <c:v>-3.592911393682785E-2</c:v>
                </c:pt>
                <c:pt idx="3">
                  <c:v>-7.1746930292815314E-2</c:v>
                </c:pt>
                <c:pt idx="4">
                  <c:v>-0.11942878703375959</c:v>
                </c:pt>
                <c:pt idx="5">
                  <c:v>-0.17894723676230573</c:v>
                </c:pt>
                <c:pt idx="6">
                  <c:v>-0.25027914100574922</c:v>
                </c:pt>
                <c:pt idx="7">
                  <c:v>-0.33340563390560352</c:v>
                </c:pt>
                <c:pt idx="8">
                  <c:v>-0.4283120936613205</c:v>
                </c:pt>
                <c:pt idx="9">
                  <c:v>-0.53498812161939524</c:v>
                </c:pt>
                <c:pt idx="10">
                  <c:v>-0.6534275289334035</c:v>
                </c:pt>
                <c:pt idx="11">
                  <c:v>-0.78362833075041882</c:v>
                </c:pt>
                <c:pt idx="12">
                  <c:v>-0.92559274791175206</c:v>
                </c:pt>
                <c:pt idx="13">
                  <c:v>-1.0793272161872203</c:v>
                </c:pt>
                <c:pt idx="14">
                  <c:v>-1.2448424030931715</c:v>
                </c:pt>
                <c:pt idx="15">
                  <c:v>-1.4221532323769326</c:v>
                </c:pt>
                <c:pt idx="16">
                  <c:v>-1.6112789162832764</c:v>
                </c:pt>
                <c:pt idx="17">
                  <c:v>-1.8122429957512898</c:v>
                </c:pt>
                <c:pt idx="18">
                  <c:v>-2.0250733887261396</c:v>
                </c:pt>
                <c:pt idx="19">
                  <c:v>-2.2498024468050826</c:v>
                </c:pt>
                <c:pt idx="20">
                  <c:v>-2.4864670204762795</c:v>
                </c:pt>
                <c:pt idx="21">
                  <c:v>-2.7351085332490865</c:v>
                </c:pt>
                <c:pt idx="22">
                  <c:v>-2.9957730650161718</c:v>
                </c:pt>
                <c:pt idx="23">
                  <c:v>-3.2685114450347053</c:v>
                </c:pt>
                <c:pt idx="24">
                  <c:v>-3.5533793549615611</c:v>
                </c:pt>
                <c:pt idx="25">
                  <c:v>-3.8504374424302434</c:v>
                </c:pt>
                <c:pt idx="26">
                  <c:v>-4.1597514457142326</c:v>
                </c:pt>
                <c:pt idx="27">
                  <c:v>-4.4813923300823788</c:v>
                </c:pt>
                <c:pt idx="28">
                  <c:v>-4.8154364365193159</c:v>
                </c:pt>
                <c:pt idx="29">
                  <c:v>-5.1619656435567212</c:v>
                </c:pt>
                <c:pt idx="30">
                  <c:v>-5.5210675430412248</c:v>
                </c:pt>
                <c:pt idx="31">
                  <c:v>-5.8928356307528347</c:v>
                </c:pt>
                <c:pt idx="32">
                  <c:v>-6.2773695128844009</c:v>
                </c:pt>
                <c:pt idx="33">
                  <c:v>-6.6747751294994773</c:v>
                </c:pt>
                <c:pt idx="34">
                  <c:v>-7.0851649962044627</c:v>
                </c:pt>
                <c:pt idx="35">
                  <c:v>-7.5086584654018518</c:v>
                </c:pt>
                <c:pt idx="36">
                  <c:v>-7.9453820086374254</c:v>
                </c:pt>
                <c:pt idx="37">
                  <c:v>-8.3954695217175903</c:v>
                </c:pt>
                <c:pt idx="38">
                  <c:v>-8.8590626544532984</c:v>
                </c:pt>
                <c:pt idx="39">
                  <c:v>-9.3363111670923473</c:v>
                </c:pt>
                <c:pt idx="40">
                  <c:v>-9.8273733157283605</c:v>
                </c:pt>
                <c:pt idx="41">
                  <c:v>-10.332416269232747</c:v>
                </c:pt>
                <c:pt idx="42">
                  <c:v>-10.851616560544519</c:v>
                </c:pt>
                <c:pt idx="43">
                  <c:v>-11.385160575479357</c:v>
                </c:pt>
                <c:pt idx="44">
                  <c:v>-11.933245082590439</c:v>
                </c:pt>
                <c:pt idx="45">
                  <c:v>-12.496077808031082</c:v>
                </c:pt>
                <c:pt idx="46">
                  <c:v>-13.07387805984871</c:v>
                </c:pt>
                <c:pt idx="47">
                  <c:v>-13.666877406682175</c:v>
                </c:pt>
                <c:pt idx="48">
                  <c:v>-14.275320416457337</c:v>
                </c:pt>
                <c:pt idx="49">
                  <c:v>-14.899465461387662</c:v>
                </c:pt>
                <c:pt idx="50">
                  <c:v>-15.539585596406225</c:v>
                </c:pt>
                <c:pt idx="51">
                  <c:v>-16.195969519097364</c:v>
                </c:pt>
                <c:pt idx="52">
                  <c:v>-16.868922620287464</c:v>
                </c:pt>
                <c:pt idx="53">
                  <c:v>-17.55876813571501</c:v>
                </c:pt>
                <c:pt idx="54">
                  <c:v>-18.265848410668983</c:v>
                </c:pt>
                <c:pt idx="55">
                  <c:v>-18.990526291194065</c:v>
                </c:pt>
                <c:pt idx="56">
                  <c:v>-19.733186657462241</c:v>
                </c:pt>
                <c:pt idx="57">
                  <c:v>-20.49423811725941</c:v>
                </c:pt>
                <c:pt idx="58">
                  <c:v>-21.274114880300488</c:v>
                </c:pt>
                <c:pt idx="59">
                  <c:v>-22.073278837358256</c:v>
                </c:pt>
                <c:pt idx="60">
                  <c:v>-22.892221872071794</c:v>
                </c:pt>
                <c:pt idx="61">
                  <c:v>-23.731468437926861</c:v>
                </c:pt>
                <c:pt idx="62">
                  <c:v>-24.591578438437001</c:v>
                </c:pt>
                <c:pt idx="63">
                  <c:v>-25.473150455210803</c:v>
                </c:pt>
                <c:pt idx="64">
                  <c:v>-26.376825376630954</c:v>
                </c:pt>
                <c:pt idx="65">
                  <c:v>-27.303290489631994</c:v>
                </c:pt>
                <c:pt idx="66">
                  <c:v>-28.253284108973997</c:v>
                </c:pt>
                <c:pt idx="67">
                  <c:v>-29.227600833025846</c:v>
                </c:pt>
                <c:pt idx="68">
                  <c:v>-30.227097533110094</c:v>
                </c:pt>
                <c:pt idx="69">
                  <c:v>-31.252700205864436</c:v>
                </c:pt>
                <c:pt idx="70">
                  <c:v>-32.305411846078783</c:v>
                </c:pt>
                <c:pt idx="71">
                  <c:v>-33.386321532717709</c:v>
                </c:pt>
                <c:pt idx="72">
                  <c:v>-34.496614965540942</c:v>
                </c:pt>
                <c:pt idx="73">
                  <c:v>-35.637586746873417</c:v>
                </c:pt>
                <c:pt idx="74">
                  <c:v>-36.810654776731255</c:v>
                </c:pt>
                <c:pt idx="75">
                  <c:v>-38.01737722531611</c:v>
                </c:pt>
                <c:pt idx="76">
                  <c:v>-39.259472672731789</c:v>
                </c:pt>
                <c:pt idx="77">
                  <c:v>-40.538844172806051</c:v>
                </c:pt>
                <c:pt idx="78">
                  <c:v>-41.857608222126188</c:v>
                </c:pt>
                <c:pt idx="79">
                  <c:v>-43.218129920120319</c:v>
                </c:pt>
                <c:pt idx="80">
                  <c:v>-44.623066025702151</c:v>
                </c:pt>
                <c:pt idx="81">
                  <c:v>-46.075418202503357</c:v>
                </c:pt>
                <c:pt idx="82">
                  <c:v>-47.578599577559352</c:v>
                </c:pt>
                <c:pt idx="83">
                  <c:v>-49.136518941956844</c:v>
                </c:pt>
                <c:pt idx="84">
                  <c:v>-50.753688695724286</c:v>
                </c:pt>
                <c:pt idx="85">
                  <c:v>-52.435365310555724</c:v>
                </c:pt>
                <c:pt idx="86">
                  <c:v>-54.187735206026723</c:v>
                </c:pt>
                <c:pt idx="87">
                  <c:v>-56.01816547276696</c:v>
                </c:pt>
                <c:pt idx="88">
                  <c:v>-57.935549574621213</c:v>
                </c:pt>
                <c:pt idx="89">
                  <c:v>-59.95079630965818</c:v>
                </c:pt>
                <c:pt idx="90">
                  <c:v>-62.07754240696709</c:v>
                </c:pt>
                <c:pt idx="91">
                  <c:v>-64.333228768744917</c:v>
                </c:pt>
                <c:pt idx="92">
                  <c:v>-66.740797886065394</c:v>
                </c:pt>
                <c:pt idx="93">
                  <c:v>-69.331518864233971</c:v>
                </c:pt>
                <c:pt idx="94">
                  <c:v>-72.150023613842833</c:v>
                </c:pt>
                <c:pt idx="95">
                  <c:v>-75.264143022920663</c:v>
                </c:pt>
                <c:pt idx="96">
                  <c:v>-78.786744536385356</c:v>
                </c:pt>
                <c:pt idx="97">
                  <c:v>-82.934733968460378</c:v>
                </c:pt>
                <c:pt idx="98">
                  <c:v>-88.256734561844425</c:v>
                </c:pt>
                <c:pt idx="99">
                  <c:v>-100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6670208"/>
        <c:axId val="26672128"/>
      </c:lineChart>
      <c:catAx>
        <c:axId val="2667020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3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pt-BR" sz="1325" baseline="0"/>
                  <a:t>Risk Capital (%)</a:t>
                </a:r>
              </a:p>
            </c:rich>
          </c:tx>
          <c:layout>
            <c:manualLayout>
              <c:xMode val="edge"/>
              <c:yMode val="edge"/>
              <c:x val="0.37084710323159292"/>
              <c:y val="0.91876250691439154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pt-BR"/>
          </a:p>
        </c:txPr>
        <c:crossAx val="26672128"/>
        <c:crosses val="autoZero"/>
        <c:auto val="1"/>
        <c:lblAlgn val="ctr"/>
        <c:lblOffset val="100"/>
        <c:tickLblSkip val="7"/>
        <c:tickMarkSkip val="1"/>
        <c:noMultiLvlLbl val="0"/>
      </c:catAx>
      <c:valAx>
        <c:axId val="26672128"/>
        <c:scaling>
          <c:orientation val="minMax"/>
          <c:min val="-10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1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pt-BR"/>
                  <a:t>Payoff (%)</a:t>
                </a:r>
              </a:p>
            </c:rich>
          </c:tx>
          <c:layout>
            <c:manualLayout>
              <c:xMode val="edge"/>
              <c:yMode val="edge"/>
              <c:x val="5.4181592080864106E-3"/>
              <c:y val="0.3375809744212081"/>
            </c:manualLayout>
          </c:layout>
          <c:overlay val="0"/>
          <c:spPr>
            <a:noFill/>
            <a:ln w="25400">
              <a:noFill/>
            </a:ln>
          </c:spPr>
        </c:title>
        <c:numFmt formatCode="#,##0;[Red]#,##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pt-BR"/>
          </a:p>
        </c:txPr>
        <c:crossAx val="26670208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pt-BR"/>
    </a:p>
  </c:txPr>
  <c:printSettings>
    <c:headerFooter alignWithMargins="0"/>
    <c:pageMargins b="0.984251969" l="0.78740157499999996" r="0.78740157499999996" t="0.984251969" header="0.49212598499999999" footer="0.49212598499999999"/>
    <c:pageSetup paperSize="9" orientation="landscape" horizontalDpi="300" verticalDpi="30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6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pt-BR"/>
              <a:t>Saldo Ajustado - US$</a:t>
            </a:r>
          </a:p>
        </c:rich>
      </c:tx>
      <c:layout>
        <c:manualLayout>
          <c:xMode val="edge"/>
          <c:yMode val="edge"/>
          <c:x val="0.34647172357251438"/>
          <c:y val="2.073959709284705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3324905183312264E-2"/>
          <c:y val="0.11788501437320335"/>
          <c:w val="0.85283746311372099"/>
          <c:h val="0.805378627034678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trendline>
            <c:spPr>
              <a:ln w="15875">
                <a:prstDash val="dash"/>
              </a:ln>
            </c:spPr>
            <c:trendlineType val="linear"/>
            <c:dispRSqr val="1"/>
            <c:dispEq val="1"/>
            <c:trendlineLbl>
              <c:layout>
                <c:manualLayout>
                  <c:x val="-0.27354205453168678"/>
                  <c:y val="-0.37637255728472913"/>
                </c:manualLayout>
              </c:layout>
              <c:numFmt formatCode="General" sourceLinked="0"/>
              <c:spPr>
                <a:noFill/>
                <a:ln w="25400">
                  <a:noFill/>
                </a:ln>
              </c:spPr>
            </c:trendlineLbl>
          </c:trendline>
          <c:trendline>
            <c:spPr>
              <a:ln w="25400">
                <a:prstDash val="sysDot"/>
              </a:ln>
            </c:spPr>
            <c:trendlineType val="exp"/>
            <c:dispRSqr val="1"/>
            <c:dispEq val="1"/>
            <c:trendlineLbl>
              <c:layout>
                <c:manualLayout>
                  <c:x val="-0.11160423819039973"/>
                  <c:y val="-0.24749565833178774"/>
                </c:manualLayout>
              </c:layout>
              <c:numFmt formatCode="General" sourceLinked="0"/>
            </c:trendlineLbl>
          </c:trendline>
          <c:val>
            <c:numRef>
              <c:f>CLog!$H$3:$H$38</c:f>
              <c:numCache>
                <c:formatCode>#,##0.00;[Red]#,##0.00</c:formatCode>
                <c:ptCount val="36"/>
                <c:pt idx="0">
                  <c:v>3260.84</c:v>
                </c:pt>
                <c:pt idx="1">
                  <c:v>3291.95</c:v>
                </c:pt>
                <c:pt idx="2">
                  <c:v>3518.16</c:v>
                </c:pt>
                <c:pt idx="3">
                  <c:v>3459.96</c:v>
                </c:pt>
                <c:pt idx="4">
                  <c:v>3426.39</c:v>
                </c:pt>
                <c:pt idx="5">
                  <c:v>3389.99</c:v>
                </c:pt>
                <c:pt idx="6">
                  <c:v>3431.39</c:v>
                </c:pt>
                <c:pt idx="7">
                  <c:v>3483.94</c:v>
                </c:pt>
                <c:pt idx="8">
                  <c:v>3469.96</c:v>
                </c:pt>
                <c:pt idx="9">
                  <c:v>3459.04</c:v>
                </c:pt>
                <c:pt idx="10">
                  <c:v>3412.69</c:v>
                </c:pt>
                <c:pt idx="11">
                  <c:v>3408.55</c:v>
                </c:pt>
                <c:pt idx="12">
                  <c:v>3381.31</c:v>
                </c:pt>
                <c:pt idx="13">
                  <c:v>3252.95</c:v>
                </c:pt>
                <c:pt idx="14">
                  <c:v>3267.86</c:v>
                </c:pt>
                <c:pt idx="15">
                  <c:v>3265.95</c:v>
                </c:pt>
                <c:pt idx="16">
                  <c:v>3249.45</c:v>
                </c:pt>
                <c:pt idx="17">
                  <c:v>3219.7</c:v>
                </c:pt>
                <c:pt idx="18">
                  <c:v>3193</c:v>
                </c:pt>
                <c:pt idx="19">
                  <c:v>3206.8</c:v>
                </c:pt>
                <c:pt idx="20">
                  <c:v>3226.21</c:v>
                </c:pt>
                <c:pt idx="21">
                  <c:v>3227.61</c:v>
                </c:pt>
                <c:pt idx="22">
                  <c:v>3226.03</c:v>
                </c:pt>
                <c:pt idx="23">
                  <c:v>3259.32</c:v>
                </c:pt>
                <c:pt idx="24">
                  <c:v>3268.6</c:v>
                </c:pt>
                <c:pt idx="25">
                  <c:v>3310.65</c:v>
                </c:pt>
                <c:pt idx="26">
                  <c:v>3335.86</c:v>
                </c:pt>
                <c:pt idx="27">
                  <c:v>3358.67</c:v>
                </c:pt>
                <c:pt idx="28">
                  <c:v>3328.57</c:v>
                </c:pt>
                <c:pt idx="29">
                  <c:v>3348.99</c:v>
                </c:pt>
                <c:pt idx="30">
                  <c:v>3376.54</c:v>
                </c:pt>
                <c:pt idx="31">
                  <c:v>3344.14</c:v>
                </c:pt>
                <c:pt idx="32">
                  <c:v>3308.92</c:v>
                </c:pt>
                <c:pt idx="33">
                  <c:v>3333.76</c:v>
                </c:pt>
                <c:pt idx="34">
                  <c:v>3297.76</c:v>
                </c:pt>
                <c:pt idx="35">
                  <c:v>3261.17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8151936"/>
        <c:axId val="108153472"/>
      </c:barChart>
      <c:catAx>
        <c:axId val="108151936"/>
        <c:scaling>
          <c:orientation val="minMax"/>
        </c:scaling>
        <c:delete val="0"/>
        <c:axPos val="b"/>
        <c:majorTickMark val="out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1081534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8153472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#,##0;[Red]#,##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pt-BR"/>
          </a:p>
        </c:txPr>
        <c:crossAx val="10815193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pattFill prst="pct5">
      <a:fgClr>
        <a:srgbClr val="FFFFFF"/>
      </a:fgClr>
      <a:bgClr>
        <a:schemeClr val="bg1"/>
      </a:bgClr>
    </a:patt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pt-BR"/>
    </a:p>
  </c:txPr>
  <c:printSettings>
    <c:headerFooter alignWithMargins="0"/>
    <c:pageMargins b="0.984251969" l="0.78740157499999996" r="0.78740157499999996" t="0.984251969" header="0.49212598499999999" footer="0.49212598499999999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6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pt-BR"/>
              <a:t>Ganho médio (%)</a:t>
            </a:r>
          </a:p>
        </c:rich>
      </c:tx>
      <c:layout>
        <c:manualLayout>
          <c:xMode val="edge"/>
          <c:yMode val="edge"/>
          <c:x val="0.38869257950530034"/>
          <c:y val="1.7406233311745123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3027090694935223E-2"/>
          <c:y val="0.10078467464294234"/>
          <c:w val="0.91048292108362783"/>
          <c:h val="0.86719887286816422"/>
        </c:manualLayout>
      </c:layout>
      <c:lineChart>
        <c:grouping val="standard"/>
        <c:varyColors val="0"/>
        <c:ser>
          <c:idx val="0"/>
          <c:order val="0"/>
          <c:tx>
            <c:strRef>
              <c:f>CLog!$M$3</c:f>
              <c:strCache>
                <c:ptCount val="1"/>
              </c:strCache>
            </c:strRef>
          </c:tx>
          <c:spPr>
            <a:ln w="25400">
              <a:solidFill>
                <a:srgbClr val="0070C0"/>
              </a:solidFill>
              <a:prstDash val="solid"/>
            </a:ln>
          </c:spPr>
          <c:marker>
            <c:symbol val="none"/>
          </c:marker>
          <c:val>
            <c:numRef>
              <c:f>CLog!$M$4:$M$103</c:f>
              <c:numCache>
                <c:formatCode>#,##0.00;[Red]#,##0.00</c:formatCode>
                <c:ptCount val="100"/>
                <c:pt idx="0">
                  <c:v>0.95404865004107275</c:v>
                </c:pt>
                <c:pt idx="1">
                  <c:v>3.8706976070305377</c:v>
                </c:pt>
                <c:pt idx="2">
                  <c:v>3.8706976070305377</c:v>
                </c:pt>
                <c:pt idx="3">
                  <c:v>3.8706976070305377</c:v>
                </c:pt>
                <c:pt idx="4">
                  <c:v>3.8706976070305377</c:v>
                </c:pt>
                <c:pt idx="5">
                  <c:v>2.9799287462295876</c:v>
                </c:pt>
                <c:pt idx="6">
                  <c:v>2.6158830294376711</c:v>
                </c:pt>
                <c:pt idx="7">
                  <c:v>2.6158830294376711</c:v>
                </c:pt>
                <c:pt idx="8">
                  <c:v>2.6158830294376711</c:v>
                </c:pt>
                <c:pt idx="9">
                  <c:v>2.6158830294376711</c:v>
                </c:pt>
                <c:pt idx="10">
                  <c:v>2.6158830294376711</c:v>
                </c:pt>
                <c:pt idx="11">
                  <c:v>2.6158830294376711</c:v>
                </c:pt>
                <c:pt idx="12">
                  <c:v>2.6158830294376711</c:v>
                </c:pt>
                <c:pt idx="13">
                  <c:v>2.1807015783540162</c:v>
                </c:pt>
                <c:pt idx="14">
                  <c:v>2.1807015783540162</c:v>
                </c:pt>
                <c:pt idx="15">
                  <c:v>2.1807015783540162</c:v>
                </c:pt>
                <c:pt idx="16">
                  <c:v>2.1807015783540162</c:v>
                </c:pt>
                <c:pt idx="17">
                  <c:v>2.1807015783540162</c:v>
                </c:pt>
                <c:pt idx="18">
                  <c:v>1.8871840953511132</c:v>
                </c:pt>
                <c:pt idx="19">
                  <c:v>1.7030591885255353</c:v>
                </c:pt>
                <c:pt idx="20">
                  <c:v>1.494104690247422</c:v>
                </c:pt>
                <c:pt idx="21">
                  <c:v>1.494104690247422</c:v>
                </c:pt>
                <c:pt idx="22">
                  <c:v>1.4426464322835342</c:v>
                </c:pt>
                <c:pt idx="23">
                  <c:v>1.3262548754586101</c:v>
                </c:pt>
                <c:pt idx="24">
                  <c:v>1.3226386515322597</c:v>
                </c:pt>
                <c:pt idx="25">
                  <c:v>1.2757564627559059</c:v>
                </c:pt>
                <c:pt idx="26">
                  <c:v>1.230096632518074</c:v>
                </c:pt>
                <c:pt idx="27">
                  <c:v>1.230096632518074</c:v>
                </c:pt>
                <c:pt idx="28">
                  <c:v>1.1859272974815704</c:v>
                </c:pt>
                <c:pt idx="29">
                  <c:v>1.1616672093715419</c:v>
                </c:pt>
                <c:pt idx="30">
                  <c:v>1.1616672093715419</c:v>
                </c:pt>
                <c:pt idx="31">
                  <c:v>1.1616672093715419</c:v>
                </c:pt>
                <c:pt idx="32">
                  <c:v>1.1359325992033931</c:v>
                </c:pt>
                <c:pt idx="33">
                  <c:v>1.1359325992033931</c:v>
                </c:pt>
                <c:pt idx="34">
                  <c:v>1.1359325992033931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8268160"/>
        <c:axId val="108269952"/>
      </c:lineChart>
      <c:catAx>
        <c:axId val="108268160"/>
        <c:scaling>
          <c:orientation val="minMax"/>
        </c:scaling>
        <c:delete val="0"/>
        <c:axPos val="b"/>
        <c:majorTickMark val="none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108269952"/>
        <c:crosses val="autoZero"/>
        <c:auto val="1"/>
        <c:lblAlgn val="ctr"/>
        <c:lblOffset val="100"/>
        <c:noMultiLvlLbl val="0"/>
      </c:catAx>
      <c:valAx>
        <c:axId val="108269952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#,##0.00;[Red]#,##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pt-BR"/>
          </a:p>
        </c:txPr>
        <c:crossAx val="108268160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pt-BR"/>
    </a:p>
  </c:txPr>
  <c:printSettings>
    <c:headerFooter alignWithMargins="0"/>
    <c:pageMargins b="0.984251969" l="0.78740157499999996" r="0.78740157499999996" t="0.984251969" header="0.49212598499999999" footer="0.49212598499999999"/>
    <c:pageSetup paperSize="9" orientation="landscape" horizontalDpi="300" verticalDpi="300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6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pt-BR"/>
              <a:t>Perda média (%)</a:t>
            </a:r>
          </a:p>
        </c:rich>
      </c:tx>
      <c:layout>
        <c:manualLayout>
          <c:xMode val="edge"/>
          <c:yMode val="edge"/>
          <c:x val="0.38646202282565917"/>
          <c:y val="1.801801801801801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8547815820543094E-2"/>
          <c:y val="9.7020097020097021E-2"/>
          <c:w val="0.89964580873671784"/>
          <c:h val="0.87941787941787941"/>
        </c:manualLayout>
      </c:layout>
      <c:lineChart>
        <c:grouping val="standard"/>
        <c:varyColors val="0"/>
        <c:ser>
          <c:idx val="0"/>
          <c:order val="0"/>
          <c:tx>
            <c:strRef>
              <c:f>CLog!$T$3</c:f>
              <c:strCache>
                <c:ptCount val="1"/>
              </c:strCache>
            </c:strRef>
          </c:tx>
          <c:spPr>
            <a:ln w="25400">
              <a:solidFill>
                <a:srgbClr val="0070C0"/>
              </a:solidFill>
              <a:prstDash val="solid"/>
            </a:ln>
          </c:spPr>
          <c:marker>
            <c:symbol val="none"/>
          </c:marker>
          <c:val>
            <c:numRef>
              <c:f>CLog!$T$4:$T$103</c:f>
              <c:numCache>
                <c:formatCode>#,##0.00;[Red]#,##0.00</c:formatCode>
                <c:ptCount val="100"/>
                <c:pt idx="0">
                  <c:v>0</c:v>
                </c:pt>
                <c:pt idx="1">
                  <c:v>0</c:v>
                </c:pt>
                <c:pt idx="2">
                  <c:v>-1.6542738249539446</c:v>
                </c:pt>
                <c:pt idx="3">
                  <c:v>-1.3128507803245482</c:v>
                </c:pt>
                <c:pt idx="4">
                  <c:v>-1.2294186027777099</c:v>
                </c:pt>
                <c:pt idx="5">
                  <c:v>-1.2294186027777099</c:v>
                </c:pt>
                <c:pt idx="6">
                  <c:v>-1.2294186027777099</c:v>
                </c:pt>
                <c:pt idx="7">
                  <c:v>-1.0230292122364704</c:v>
                </c:pt>
                <c:pt idx="8">
                  <c:v>-0.88176737571195041</c:v>
                </c:pt>
                <c:pt idx="9">
                  <c:v>-0.95828151666683681</c:v>
                </c:pt>
                <c:pt idx="10">
                  <c:v>-0.83914521897907601</c:v>
                </c:pt>
                <c:pt idx="11">
                  <c:v>-0.8341487979789064</c:v>
                </c:pt>
                <c:pt idx="12">
                  <c:v>-1.1677143875502893</c:v>
                </c:pt>
                <c:pt idx="13">
                  <c:v>-1.1677143875502893</c:v>
                </c:pt>
                <c:pt idx="14">
                  <c:v>-1.0573440565628367</c:v>
                </c:pt>
                <c:pt idx="15">
                  <c:v>-1.0072771795692437</c:v>
                </c:pt>
                <c:pt idx="16">
                  <c:v>-0.99963562249332227</c:v>
                </c:pt>
                <c:pt idx="17">
                  <c:v>-0.98654095696119048</c:v>
                </c:pt>
                <c:pt idx="18">
                  <c:v>-0.98654095696119048</c:v>
                </c:pt>
                <c:pt idx="19">
                  <c:v>-0.98654095696119048</c:v>
                </c:pt>
                <c:pt idx="20">
                  <c:v>-0.98654095696119048</c:v>
                </c:pt>
                <c:pt idx="21">
                  <c:v>-0.91986301586138852</c:v>
                </c:pt>
                <c:pt idx="22">
                  <c:v>-0.91986301586138852</c:v>
                </c:pt>
                <c:pt idx="23">
                  <c:v>-0.91986301586138852</c:v>
                </c:pt>
                <c:pt idx="24">
                  <c:v>-0.91986301586138852</c:v>
                </c:pt>
                <c:pt idx="25">
                  <c:v>-0.91986301586138852</c:v>
                </c:pt>
                <c:pt idx="26">
                  <c:v>-0.91986301586138852</c:v>
                </c:pt>
                <c:pt idx="27">
                  <c:v>-0.91828486240420615</c:v>
                </c:pt>
                <c:pt idx="28">
                  <c:v>-0.91828486240420615</c:v>
                </c:pt>
                <c:pt idx="29">
                  <c:v>-0.91828486240420615</c:v>
                </c:pt>
                <c:pt idx="30">
                  <c:v>-0.9208651971391979</c:v>
                </c:pt>
                <c:pt idx="31">
                  <c:v>-0.92865364459518984</c:v>
                </c:pt>
                <c:pt idx="32">
                  <c:v>-0.92865364459518984</c:v>
                </c:pt>
                <c:pt idx="33">
                  <c:v>-0.93706015690029343</c:v>
                </c:pt>
                <c:pt idx="34">
                  <c:v>-0.94614559259734721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8347776"/>
        <c:axId val="108349312"/>
      </c:lineChart>
      <c:catAx>
        <c:axId val="108347776"/>
        <c:scaling>
          <c:orientation val="minMax"/>
        </c:scaling>
        <c:delete val="0"/>
        <c:axPos val="b"/>
        <c:majorTickMark val="none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108349312"/>
        <c:crosses val="autoZero"/>
        <c:auto val="1"/>
        <c:lblAlgn val="ctr"/>
        <c:lblOffset val="100"/>
        <c:noMultiLvlLbl val="0"/>
      </c:catAx>
      <c:valAx>
        <c:axId val="108349312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#,##0.00;[Red]#,##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pt-BR"/>
          </a:p>
        </c:txPr>
        <c:crossAx val="10834777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pt-BR"/>
    </a:p>
  </c:txPr>
  <c:printSettings>
    <c:headerFooter alignWithMargins="0"/>
    <c:pageMargins b="0.984251969" l="0.78740157499999996" r="0.78740157499999996" t="0.984251969" header="0.49212598499999999" footer="0.49212598499999999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6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pt-BR"/>
              <a:t>Fator de lucro</a:t>
            </a:r>
          </a:p>
        </c:rich>
      </c:tx>
      <c:layout>
        <c:manualLayout>
          <c:xMode val="edge"/>
          <c:yMode val="edge"/>
          <c:x val="0.40696753760886778"/>
          <c:y val="1.284796573875803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3634204275534437E-2"/>
          <c:y val="9.0649536045681656E-2"/>
          <c:w val="0.90855106888361048"/>
          <c:h val="0.8729478943611706"/>
        </c:manualLayout>
      </c:layout>
      <c:lineChart>
        <c:grouping val="standard"/>
        <c:varyColors val="0"/>
        <c:ser>
          <c:idx val="0"/>
          <c:order val="0"/>
          <c:tx>
            <c:strRef>
              <c:f>CLog!$V$3</c:f>
              <c:strCache>
                <c:ptCount val="1"/>
              </c:strCache>
            </c:strRef>
          </c:tx>
          <c:spPr>
            <a:ln w="25400">
              <a:solidFill>
                <a:srgbClr val="0070C0"/>
              </a:solidFill>
              <a:prstDash val="solid"/>
            </a:ln>
          </c:spPr>
          <c:marker>
            <c:symbol val="none"/>
          </c:marker>
          <c:val>
            <c:numRef>
              <c:f>CLog!$V$4:$V$103</c:f>
              <c:numCache>
                <c:formatCode>#,##0.00;[Red]#,##0.00</c:formatCode>
                <c:ptCount val="100"/>
                <c:pt idx="0">
                  <c:v>0</c:v>
                </c:pt>
                <c:pt idx="1">
                  <c:v>0</c:v>
                </c:pt>
                <c:pt idx="2">
                  <c:v>2.3398167514004515</c:v>
                </c:pt>
                <c:pt idx="3">
                  <c:v>2.9483149684944907</c:v>
                </c:pt>
                <c:pt idx="4">
                  <c:v>3.1483968099109649</c:v>
                </c:pt>
                <c:pt idx="5">
                  <c:v>2.4238520057341169</c:v>
                </c:pt>
                <c:pt idx="6">
                  <c:v>2.1277399117984932</c:v>
                </c:pt>
                <c:pt idx="7">
                  <c:v>2.5569973937684751</c:v>
                </c:pt>
                <c:pt idx="8">
                  <c:v>2.9666362143706819</c:v>
                </c:pt>
                <c:pt idx="9">
                  <c:v>2.7297646713842738</c:v>
                </c:pt>
                <c:pt idx="10">
                  <c:v>3.1173186360046437</c:v>
                </c:pt>
                <c:pt idx="11">
                  <c:v>3.1359908876879068</c:v>
                </c:pt>
                <c:pt idx="12">
                  <c:v>2.240173673740073</c:v>
                </c:pt>
                <c:pt idx="13">
                  <c:v>1.8674956835368282</c:v>
                </c:pt>
                <c:pt idx="14">
                  <c:v>2.0624332872716344</c:v>
                </c:pt>
                <c:pt idx="15">
                  <c:v>2.1649468712143172</c:v>
                </c:pt>
                <c:pt idx="16">
                  <c:v>2.1814964665973413</c:v>
                </c:pt>
                <c:pt idx="17">
                  <c:v>2.2104521489621263</c:v>
                </c:pt>
                <c:pt idx="18">
                  <c:v>1.9129303066789483</c:v>
                </c:pt>
                <c:pt idx="19">
                  <c:v>1.7262934463171324</c:v>
                </c:pt>
                <c:pt idx="20">
                  <c:v>1.5144882528239509</c:v>
                </c:pt>
                <c:pt idx="21">
                  <c:v>1.6242686840151908</c:v>
                </c:pt>
                <c:pt idx="22">
                  <c:v>1.5683274655113673</c:v>
                </c:pt>
                <c:pt idx="23">
                  <c:v>1.4417960637504961</c:v>
                </c:pt>
                <c:pt idx="24">
                  <c:v>1.437864800221041</c:v>
                </c:pt>
                <c:pt idx="25">
                  <c:v>1.3868983106808004</c:v>
                </c:pt>
                <c:pt idx="26">
                  <c:v>1.3372606695858655</c:v>
                </c:pt>
                <c:pt idx="27">
                  <c:v>1.3395588698886949</c:v>
                </c:pt>
                <c:pt idx="28">
                  <c:v>1.2914590515808315</c:v>
                </c:pt>
                <c:pt idx="29">
                  <c:v>1.2650401383402146</c:v>
                </c:pt>
                <c:pt idx="30">
                  <c:v>1.261495399088195</c:v>
                </c:pt>
                <c:pt idx="31">
                  <c:v>1.2509154690045126</c:v>
                </c:pt>
                <c:pt idx="32">
                  <c:v>1.2232037270456828</c:v>
                </c:pt>
                <c:pt idx="33">
                  <c:v>1.2122301763004746</c:v>
                </c:pt>
                <c:pt idx="34">
                  <c:v>1.2005896429586962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8390272"/>
        <c:axId val="108391808"/>
      </c:lineChart>
      <c:catAx>
        <c:axId val="108390272"/>
        <c:scaling>
          <c:orientation val="minMax"/>
        </c:scaling>
        <c:delete val="0"/>
        <c:axPos val="b"/>
        <c:majorTickMark val="none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108391808"/>
        <c:crosses val="autoZero"/>
        <c:auto val="1"/>
        <c:lblAlgn val="ctr"/>
        <c:lblOffset val="100"/>
        <c:noMultiLvlLbl val="0"/>
      </c:catAx>
      <c:valAx>
        <c:axId val="108391808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#,##0.00;[Red]#,##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pt-BR"/>
          </a:p>
        </c:txPr>
        <c:crossAx val="10839027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pt-BR"/>
    </a:p>
  </c:txPr>
  <c:printSettings>
    <c:headerFooter alignWithMargins="0"/>
    <c:pageMargins b="0.984251969" l="0.78740157499999996" r="0.78740157499999996" t="0.984251969" header="0.49212598499999999" footer="0.49212598499999999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23</xdr:col>
      <xdr:colOff>47627</xdr:colOff>
      <xdr:row>47</xdr:row>
      <xdr:rowOff>0</xdr:rowOff>
    </xdr:from>
    <xdr:to>
      <xdr:col>29</xdr:col>
      <xdr:colOff>511969</xdr:colOff>
      <xdr:row>69</xdr:row>
      <xdr:rowOff>107156</xdr:rowOff>
    </xdr:to>
    <xdr:graphicFrame macro="">
      <xdr:nvGraphicFramePr>
        <xdr:cNvPr id="3" name="Gráfico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</xdr:row>
      <xdr:rowOff>9526</xdr:rowOff>
    </xdr:from>
    <xdr:to>
      <xdr:col>12</xdr:col>
      <xdr:colOff>9525</xdr:colOff>
      <xdr:row>24</xdr:row>
      <xdr:rowOff>152400</xdr:rowOff>
    </xdr:to>
    <xdr:graphicFrame macro="">
      <xdr:nvGraphicFramePr>
        <xdr:cNvPr id="56643270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314326</xdr:colOff>
      <xdr:row>1</xdr:row>
      <xdr:rowOff>28575</xdr:rowOff>
    </xdr:from>
    <xdr:to>
      <xdr:col>14</xdr:col>
      <xdr:colOff>76201</xdr:colOff>
      <xdr:row>28</xdr:row>
      <xdr:rowOff>104775</xdr:rowOff>
    </xdr:to>
    <xdr:graphicFrame macro="">
      <xdr:nvGraphicFramePr>
        <xdr:cNvPr id="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581025</xdr:colOff>
      <xdr:row>1</xdr:row>
      <xdr:rowOff>0</xdr:rowOff>
    </xdr:from>
    <xdr:to>
      <xdr:col>14</xdr:col>
      <xdr:colOff>133350</xdr:colOff>
      <xdr:row>28</xdr:row>
      <xdr:rowOff>114300</xdr:rowOff>
    </xdr:to>
    <xdr:graphicFrame macro="">
      <xdr:nvGraphicFramePr>
        <xdr:cNvPr id="6337870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561975</xdr:colOff>
      <xdr:row>0</xdr:row>
      <xdr:rowOff>152400</xdr:rowOff>
    </xdr:from>
    <xdr:to>
      <xdr:col>14</xdr:col>
      <xdr:colOff>95250</xdr:colOff>
      <xdr:row>29</xdr:row>
      <xdr:rowOff>38100</xdr:rowOff>
    </xdr:to>
    <xdr:graphicFrame macro="">
      <xdr:nvGraphicFramePr>
        <xdr:cNvPr id="6338075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590550</xdr:colOff>
      <xdr:row>1</xdr:row>
      <xdr:rowOff>76200</xdr:rowOff>
    </xdr:from>
    <xdr:to>
      <xdr:col>14</xdr:col>
      <xdr:colOff>76200</xdr:colOff>
      <xdr:row>28</xdr:row>
      <xdr:rowOff>152400</xdr:rowOff>
    </xdr:to>
    <xdr:graphicFrame macro="">
      <xdr:nvGraphicFramePr>
        <xdr:cNvPr id="6338280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Resultado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MT4" ddeTopic="BID">
    <ddeItems>
      <ddeItem name="AUDCAD" advise="1">
        <values>
          <value t="str">
            <val>0.98725</val>
          </value>
        </values>
      </ddeItem>
      <ddeItem name="AUDUSD" advise="1">
        <values>
          <value t="str">
            <val>0.74276</val>
          </value>
        </values>
      </ddeItem>
      <ddeItem name="CHFJPY" advise="1">
        <values>
          <value>
            <val>111006</val>
          </value>
        </values>
      </ddeItem>
      <ddeItem name="EURGBP" advise="1">
        <values>
          <value t="str">
            <val>0.87995</val>
          </value>
        </values>
      </ddeItem>
      <ddeItem name="EURJPY" advise="1">
        <values>
          <value>
            <val>128095</val>
          </value>
        </values>
      </ddeItem>
      <ddeItem name="EURUSD" advise="1">
        <values>
          <value>
            <val>116873</val>
          </value>
        </values>
      </ddeItem>
      <ddeItem name="GBPUSD" advise="1">
        <values>
          <value>
            <val>132807</val>
          </value>
        </values>
      </ddeItem>
      <ddeItem name="GOLD" advise="1">
        <values>
          <value t="str">
            <val>1269.24</val>
          </value>
        </values>
      </ddeItem>
      <ddeItem name="SILVER" advise="1">
        <values>
          <value>
            <val>16407</val>
          </value>
        </values>
      </ddeItem>
      <ddeItem name="StdDocumentName" ole="1" advise="1"/>
      <ddeItem name="USDCAD" advise="1">
        <values>
          <value>
            <val>132913</val>
          </value>
        </values>
      </ddeItem>
      <ddeItem name="USDJPY" advise="1">
        <values>
          <value>
            <val>109596</val>
          </value>
        </values>
      </ddeItem>
      <ddeItem name="WTI" advise="1">
        <values>
          <value t="str">
            <val>68.48</val>
          </value>
        </values>
      </ddeItem>
    </ddeItems>
  </ddeLin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MT4" ddeTopic="ASK">
    <ddeItems>
      <ddeItem name="audcad" advise="1">
        <values>
          <value t="str">
            <val>0.98752</val>
          </value>
        </values>
      </ddeItem>
      <ddeItem name="AUDUSD" advise="1">
        <values>
          <value t="str">
            <val>0.74294</val>
          </value>
        </values>
      </ddeItem>
      <ddeItem name="CHFJPY" advise="1">
        <values>
          <value>
            <val>111032</val>
          </value>
        </values>
      </ddeItem>
      <ddeItem name="EURGBP" advise="1">
        <values>
          <value t="str">
            <val>0.88012</val>
          </value>
        </values>
      </ddeItem>
      <ddeItem name="EURJPY" advise="1">
        <values>
          <value>
            <val>128117</val>
          </value>
        </values>
      </ddeItem>
      <ddeItem name="EURUSD" advise="1">
        <values>
          <value>
            <val>116888</val>
          </value>
        </values>
      </ddeItem>
      <ddeItem name="GBPUSD" advise="1">
        <values>
          <value>
            <val>132826</val>
          </value>
        </values>
      </ddeItem>
      <ddeItem name="GOLD" advise="1">
        <values>
          <value t="str">
            <val>1269.55</val>
          </value>
        </values>
      </ddeItem>
      <ddeItem name="SILVER" advise="1">
        <values>
          <value>
            <val>16441</val>
          </value>
        </values>
      </ddeItem>
      <ddeItem name="StdDocumentName" ole="1" advise="1"/>
      <ddeItem name="USDCAD" advise="1">
        <values>
          <value>
            <val>132933</val>
          </value>
        </values>
      </ddeItem>
      <ddeItem name="USDJPY" advise="1">
        <values>
          <value>
            <val>109610</val>
          </value>
        </values>
      </ddeItem>
      <ddeItem name="WTI" advise="1">
        <values>
          <value t="str">
            <val>68.52</val>
          </value>
        </values>
      </ddeItem>
    </ddeItems>
  </ddeLin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e"/>
      <sheetName val="CM"/>
      <sheetName val="WRe"/>
      <sheetName val="WM"/>
      <sheetName val="MRe"/>
      <sheetName val="MM"/>
      <sheetName val="PsyQuation - Star Trek"/>
      <sheetName val="PsyQuation - UFX"/>
    </sheetNames>
    <sheetDataSet>
      <sheetData sheetId="0">
        <row r="3">
          <cell r="J3">
            <v>31.109999999999673</v>
          </cell>
          <cell r="L3">
            <v>0.95404865004108363</v>
          </cell>
        </row>
        <row r="4">
          <cell r="J4">
            <v>226.21000000000004</v>
          </cell>
          <cell r="L4">
            <v>6.8716110512006576</v>
          </cell>
        </row>
        <row r="5">
          <cell r="J5">
            <v>-58.199999999999818</v>
          </cell>
          <cell r="L5">
            <v>-1.6542738249539481</v>
          </cell>
        </row>
        <row r="6">
          <cell r="J6">
            <v>-33.570000000000164</v>
          </cell>
          <cell r="L6">
            <v>-0.97024243054833481</v>
          </cell>
        </row>
        <row r="7">
          <cell r="J7">
            <v>-36.400000000000091</v>
          </cell>
          <cell r="L7">
            <v>-1.0623425821345525</v>
          </cell>
        </row>
        <row r="8">
          <cell r="J8">
            <v>41.400000000000091</v>
          </cell>
          <cell r="L8">
            <v>1.2212425405384704</v>
          </cell>
        </row>
        <row r="9">
          <cell r="J9">
            <v>52.550000000000182</v>
          </cell>
          <cell r="L9">
            <v>1.531449354343289</v>
          </cell>
        </row>
        <row r="10">
          <cell r="J10">
            <v>-13.980000000000018</v>
          </cell>
          <cell r="L10">
            <v>-0.40126982669047168</v>
          </cell>
        </row>
        <row r="11">
          <cell r="J11">
            <v>-10.920000000000073</v>
          </cell>
          <cell r="L11">
            <v>-0.31470103401768529</v>
          </cell>
        </row>
        <row r="12">
          <cell r="J12">
            <v>-46.349999999999909</v>
          </cell>
          <cell r="L12">
            <v>-1.3399671585179678</v>
          </cell>
        </row>
        <row r="13">
          <cell r="J13">
            <v>-4.1399999999998727</v>
          </cell>
          <cell r="L13">
            <v>-0.121311926954979</v>
          </cell>
        </row>
        <row r="14">
          <cell r="J14">
            <v>-27.240000000000236</v>
          </cell>
          <cell r="L14">
            <v>-0.7991668011324532</v>
          </cell>
        </row>
        <row r="15">
          <cell r="J15">
            <v>-128.36000000000013</v>
          </cell>
          <cell r="L15">
            <v>-3.7961618425994699</v>
          </cell>
        </row>
        <row r="16">
          <cell r="J16">
            <v>14.910000000000309</v>
          </cell>
          <cell r="L16">
            <v>0.45835318710709694</v>
          </cell>
        </row>
        <row r="17">
          <cell r="J17">
            <v>-1.9100000000003092</v>
          </cell>
          <cell r="L17">
            <v>-5.8448036329595186E-2</v>
          </cell>
        </row>
        <row r="18">
          <cell r="J18">
            <v>-16.5</v>
          </cell>
          <cell r="L18">
            <v>-0.50521287833555328</v>
          </cell>
        </row>
        <row r="19">
          <cell r="J19">
            <v>-29.75</v>
          </cell>
          <cell r="L19">
            <v>-0.91553955284740496</v>
          </cell>
        </row>
        <row r="20">
          <cell r="J20">
            <v>-26.699999999999818</v>
          </cell>
          <cell r="L20">
            <v>-0.82926980774605774</v>
          </cell>
        </row>
        <row r="21">
          <cell r="J21">
            <v>13.800000000000182</v>
          </cell>
          <cell r="L21">
            <v>0.43219542749765683</v>
          </cell>
        </row>
        <row r="22">
          <cell r="J22">
            <v>19.409999999999854</v>
          </cell>
          <cell r="L22">
            <v>0.60527628788823296</v>
          </cell>
        </row>
        <row r="23">
          <cell r="J23">
            <v>1.4000000000000909</v>
          </cell>
          <cell r="L23">
            <v>4.3394571339128295E-2</v>
          </cell>
        </row>
        <row r="24">
          <cell r="J24">
            <v>-1.5799999999999272</v>
          </cell>
          <cell r="L24">
            <v>-4.8952630584238092E-2</v>
          </cell>
        </row>
        <row r="25">
          <cell r="J25">
            <v>33.289999999999964</v>
          </cell>
          <cell r="L25">
            <v>1.0319184880487771</v>
          </cell>
        </row>
        <row r="26">
          <cell r="J26">
            <v>9.2799999999997453</v>
          </cell>
          <cell r="L26">
            <v>0.28472196654516108</v>
          </cell>
        </row>
        <row r="27">
          <cell r="J27">
            <v>42.050000000000182</v>
          </cell>
          <cell r="L27">
            <v>1.2864835097595357</v>
          </cell>
        </row>
        <row r="28">
          <cell r="J28">
            <v>25.210000000000036</v>
          </cell>
          <cell r="L28">
            <v>0.7614818842221327</v>
          </cell>
        </row>
        <row r="29">
          <cell r="J29">
            <v>22.809999999999945</v>
          </cell>
          <cell r="L29">
            <v>0.68378169347634332</v>
          </cell>
        </row>
        <row r="30">
          <cell r="J30">
            <v>-30.099999999999909</v>
          </cell>
          <cell r="L30">
            <v>-0.89618807444613224</v>
          </cell>
        </row>
        <row r="31">
          <cell r="J31">
            <v>20.419999999999618</v>
          </cell>
          <cell r="L31">
            <v>0.61347665814447694</v>
          </cell>
        </row>
        <row r="32">
          <cell r="J32">
            <v>27.550000000000182</v>
          </cell>
          <cell r="L32">
            <v>0.82263607834004238</v>
          </cell>
          <cell r="P32">
            <v>1.0120091755496351E-2</v>
          </cell>
        </row>
        <row r="33">
          <cell r="J33">
            <v>-32.400000000000091</v>
          </cell>
          <cell r="L33">
            <v>-0.95956215534245382</v>
          </cell>
        </row>
        <row r="34">
          <cell r="J34">
            <v>-35.2199999999998</v>
          </cell>
          <cell r="L34">
            <v>-1.0531855723743564</v>
          </cell>
        </row>
        <row r="35">
          <cell r="J35">
            <v>24.840000000000146</v>
          </cell>
          <cell r="L35">
            <v>0.75069811297946598</v>
          </cell>
        </row>
        <row r="36">
          <cell r="J36">
            <v>-36</v>
          </cell>
          <cell r="L36">
            <v>-1.0798617776924553</v>
          </cell>
        </row>
        <row r="37">
          <cell r="J37">
            <v>-36.590000000000146</v>
          </cell>
          <cell r="L37">
            <v>-1.1095410217844883</v>
          </cell>
        </row>
        <row r="38">
          <cell r="J38" t="str">
            <v/>
          </cell>
          <cell r="L38" t="str">
            <v/>
          </cell>
        </row>
        <row r="39">
          <cell r="J39" t="str">
            <v/>
          </cell>
          <cell r="L39" t="str">
            <v/>
          </cell>
        </row>
        <row r="40">
          <cell r="J40" t="str">
            <v/>
          </cell>
          <cell r="L40" t="str">
            <v/>
          </cell>
        </row>
        <row r="41">
          <cell r="J41" t="str">
            <v/>
          </cell>
          <cell r="L41" t="str">
            <v/>
          </cell>
        </row>
        <row r="42">
          <cell r="J42" t="str">
            <v/>
          </cell>
          <cell r="L42" t="str">
            <v/>
          </cell>
        </row>
        <row r="43">
          <cell r="J43" t="str">
            <v/>
          </cell>
          <cell r="L43" t="str">
            <v/>
          </cell>
        </row>
        <row r="44">
          <cell r="J44" t="str">
            <v/>
          </cell>
          <cell r="L44" t="str">
            <v/>
          </cell>
        </row>
        <row r="45">
          <cell r="J45" t="str">
            <v/>
          </cell>
          <cell r="L45" t="str">
            <v/>
          </cell>
        </row>
        <row r="46">
          <cell r="J46" t="str">
            <v/>
          </cell>
          <cell r="L46" t="str">
            <v/>
          </cell>
        </row>
        <row r="47">
          <cell r="J47" t="str">
            <v/>
          </cell>
          <cell r="L47" t="str">
            <v/>
          </cell>
        </row>
        <row r="48">
          <cell r="J48" t="str">
            <v/>
          </cell>
          <cell r="L48" t="str">
            <v/>
          </cell>
        </row>
        <row r="49">
          <cell r="J49" t="str">
            <v/>
          </cell>
          <cell r="L49" t="str">
            <v/>
          </cell>
        </row>
        <row r="50">
          <cell r="J50" t="str">
            <v/>
          </cell>
          <cell r="L50" t="str">
            <v/>
          </cell>
        </row>
        <row r="51">
          <cell r="J51" t="str">
            <v/>
          </cell>
          <cell r="L51" t="str">
            <v/>
          </cell>
        </row>
        <row r="52">
          <cell r="J52" t="str">
            <v/>
          </cell>
          <cell r="L52" t="str">
            <v/>
          </cell>
        </row>
        <row r="53">
          <cell r="J53" t="str">
            <v/>
          </cell>
          <cell r="L53" t="str">
            <v/>
          </cell>
        </row>
        <row r="54">
          <cell r="J54" t="str">
            <v/>
          </cell>
          <cell r="L54" t="str">
            <v/>
          </cell>
        </row>
        <row r="55">
          <cell r="J55" t="str">
            <v/>
          </cell>
          <cell r="L55" t="str">
            <v/>
          </cell>
        </row>
        <row r="56">
          <cell r="J56" t="str">
            <v/>
          </cell>
          <cell r="L56" t="str">
            <v/>
          </cell>
        </row>
        <row r="57">
          <cell r="J57" t="str">
            <v/>
          </cell>
          <cell r="L57" t="str">
            <v/>
          </cell>
        </row>
        <row r="58">
          <cell r="J58" t="str">
            <v/>
          </cell>
          <cell r="L58" t="str">
            <v/>
          </cell>
        </row>
        <row r="59">
          <cell r="J59" t="str">
            <v/>
          </cell>
          <cell r="L59" t="str">
            <v/>
          </cell>
        </row>
        <row r="60">
          <cell r="J60" t="str">
            <v/>
          </cell>
          <cell r="L60" t="str">
            <v/>
          </cell>
        </row>
        <row r="61">
          <cell r="J61" t="str">
            <v/>
          </cell>
          <cell r="L61" t="str">
            <v/>
          </cell>
        </row>
        <row r="62">
          <cell r="J62" t="str">
            <v/>
          </cell>
          <cell r="L62" t="str">
            <v/>
          </cell>
        </row>
        <row r="63">
          <cell r="J63" t="str">
            <v/>
          </cell>
          <cell r="L63" t="str">
            <v/>
          </cell>
        </row>
        <row r="64">
          <cell r="J64" t="str">
            <v/>
          </cell>
          <cell r="L64" t="str">
            <v/>
          </cell>
        </row>
        <row r="65">
          <cell r="J65" t="str">
            <v/>
          </cell>
          <cell r="L65" t="str">
            <v/>
          </cell>
        </row>
        <row r="66">
          <cell r="J66" t="str">
            <v/>
          </cell>
          <cell r="L66" t="str">
            <v/>
          </cell>
        </row>
        <row r="67">
          <cell r="J67" t="str">
            <v/>
          </cell>
          <cell r="L67" t="str">
            <v/>
          </cell>
        </row>
        <row r="68">
          <cell r="J68" t="str">
            <v/>
          </cell>
          <cell r="L68" t="str">
            <v/>
          </cell>
        </row>
        <row r="69">
          <cell r="J69" t="str">
            <v/>
          </cell>
          <cell r="L69" t="str">
            <v/>
          </cell>
        </row>
        <row r="70">
          <cell r="J70" t="str">
            <v/>
          </cell>
          <cell r="L70" t="str">
            <v/>
          </cell>
        </row>
        <row r="71">
          <cell r="J71" t="str">
            <v/>
          </cell>
          <cell r="L71" t="str">
            <v/>
          </cell>
        </row>
        <row r="72">
          <cell r="J72" t="str">
            <v/>
          </cell>
          <cell r="L72" t="str">
            <v/>
          </cell>
        </row>
        <row r="73">
          <cell r="J73" t="str">
            <v/>
          </cell>
          <cell r="L73" t="str">
            <v/>
          </cell>
        </row>
        <row r="74">
          <cell r="J74" t="str">
            <v/>
          </cell>
          <cell r="L74" t="str">
            <v/>
          </cell>
        </row>
        <row r="75">
          <cell r="J75" t="str">
            <v/>
          </cell>
          <cell r="L75" t="str">
            <v/>
          </cell>
        </row>
        <row r="76">
          <cell r="J76" t="str">
            <v/>
          </cell>
          <cell r="L76" t="str">
            <v/>
          </cell>
        </row>
        <row r="77">
          <cell r="J77" t="str">
            <v/>
          </cell>
          <cell r="L77" t="str">
            <v/>
          </cell>
        </row>
        <row r="78">
          <cell r="J78" t="str">
            <v/>
          </cell>
          <cell r="L78" t="str">
            <v/>
          </cell>
        </row>
        <row r="79">
          <cell r="J79" t="str">
            <v/>
          </cell>
          <cell r="L79" t="str">
            <v/>
          </cell>
        </row>
        <row r="80">
          <cell r="J80" t="str">
            <v/>
          </cell>
          <cell r="L80" t="str">
            <v/>
          </cell>
        </row>
        <row r="81">
          <cell r="J81" t="str">
            <v/>
          </cell>
          <cell r="L81" t="str">
            <v/>
          </cell>
        </row>
        <row r="82">
          <cell r="J82" t="str">
            <v/>
          </cell>
          <cell r="L82" t="str">
            <v/>
          </cell>
        </row>
        <row r="83">
          <cell r="J83" t="str">
            <v/>
          </cell>
          <cell r="L83" t="str">
            <v/>
          </cell>
        </row>
        <row r="84">
          <cell r="J84" t="str">
            <v/>
          </cell>
          <cell r="L84" t="str">
            <v/>
          </cell>
        </row>
        <row r="85">
          <cell r="J85" t="str">
            <v/>
          </cell>
          <cell r="L85" t="str">
            <v/>
          </cell>
        </row>
        <row r="86">
          <cell r="J86" t="str">
            <v/>
          </cell>
          <cell r="L86" t="str">
            <v/>
          </cell>
        </row>
        <row r="87">
          <cell r="J87" t="str">
            <v/>
          </cell>
          <cell r="L87" t="str">
            <v/>
          </cell>
        </row>
        <row r="88">
          <cell r="J88" t="str">
            <v/>
          </cell>
          <cell r="L88" t="str">
            <v/>
          </cell>
        </row>
        <row r="89">
          <cell r="J89" t="str">
            <v/>
          </cell>
          <cell r="L89" t="str">
            <v/>
          </cell>
        </row>
        <row r="90">
          <cell r="J90" t="str">
            <v/>
          </cell>
          <cell r="L90" t="str">
            <v/>
          </cell>
        </row>
        <row r="91">
          <cell r="J91" t="str">
            <v/>
          </cell>
          <cell r="L91" t="str">
            <v/>
          </cell>
        </row>
        <row r="92">
          <cell r="J92" t="str">
            <v/>
          </cell>
          <cell r="L92" t="str">
            <v/>
          </cell>
        </row>
        <row r="93">
          <cell r="J93" t="str">
            <v/>
          </cell>
          <cell r="L93" t="str">
            <v/>
          </cell>
        </row>
        <row r="94">
          <cell r="J94" t="str">
            <v/>
          </cell>
          <cell r="L94" t="str">
            <v/>
          </cell>
        </row>
        <row r="95">
          <cell r="J95" t="str">
            <v/>
          </cell>
          <cell r="L95" t="str">
            <v/>
          </cell>
        </row>
        <row r="96">
          <cell r="J96" t="str">
            <v/>
          </cell>
          <cell r="L96" t="str">
            <v/>
          </cell>
        </row>
        <row r="97">
          <cell r="J97" t="str">
            <v/>
          </cell>
          <cell r="L97" t="str">
            <v/>
          </cell>
        </row>
        <row r="98">
          <cell r="J98" t="str">
            <v/>
          </cell>
          <cell r="L98" t="str">
            <v/>
          </cell>
        </row>
        <row r="99">
          <cell r="J99" t="str">
            <v/>
          </cell>
          <cell r="L99" t="str">
            <v/>
          </cell>
        </row>
        <row r="100">
          <cell r="J100" t="str">
            <v/>
          </cell>
          <cell r="L100" t="str">
            <v/>
          </cell>
        </row>
        <row r="101">
          <cell r="J101" t="str">
            <v/>
          </cell>
          <cell r="L101" t="str">
            <v/>
          </cell>
        </row>
        <row r="102">
          <cell r="J102" t="str">
            <v/>
          </cell>
          <cell r="L102" t="str">
            <v/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0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1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2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Y32"/>
  <sheetViews>
    <sheetView zoomScale="90" zoomScaleNormal="90" workbookViewId="0">
      <selection activeCell="X17" sqref="X17"/>
    </sheetView>
  </sheetViews>
  <sheetFormatPr defaultRowHeight="12.75" x14ac:dyDescent="0.2"/>
  <cols>
    <col min="1" max="1" width="2.85546875" customWidth="1"/>
    <col min="2" max="10" width="2" bestFit="1" customWidth="1"/>
    <col min="11" max="11" width="8.140625" bestFit="1" customWidth="1"/>
    <col min="12" max="12" width="9" bestFit="1" customWidth="1"/>
    <col min="13" max="13" width="8.140625" bestFit="1" customWidth="1"/>
    <col min="14" max="14" width="12" bestFit="1" customWidth="1"/>
    <col min="15" max="15" width="8.140625" bestFit="1" customWidth="1"/>
    <col min="16" max="16" width="10.42578125" bestFit="1" customWidth="1"/>
    <col min="17" max="17" width="8.85546875" bestFit="1" customWidth="1"/>
    <col min="18" max="18" width="12" bestFit="1" customWidth="1"/>
    <col min="19" max="19" width="8.140625" bestFit="1" customWidth="1"/>
    <col min="20" max="20" width="10.42578125" bestFit="1" customWidth="1"/>
    <col min="21" max="21" width="8.85546875" bestFit="1" customWidth="1"/>
    <col min="22" max="22" width="9.28515625" bestFit="1" customWidth="1"/>
    <col min="23" max="23" width="7.5703125" customWidth="1"/>
    <col min="24" max="24" width="9.140625" bestFit="1" customWidth="1"/>
    <col min="25" max="25" width="2.85546875" customWidth="1"/>
  </cols>
  <sheetData>
    <row r="1" spans="2:25" ht="13.5" thickBot="1" x14ac:dyDescent="0.25"/>
    <row r="2" spans="2:25" ht="12.75" customHeight="1" x14ac:dyDescent="0.2">
      <c r="B2" s="351" t="s">
        <v>116</v>
      </c>
      <c r="C2" s="345"/>
      <c r="D2" s="345"/>
      <c r="E2" s="345"/>
      <c r="F2" s="345"/>
      <c r="G2" s="345"/>
      <c r="H2" s="345"/>
      <c r="I2" s="345"/>
      <c r="J2" s="345"/>
      <c r="K2" s="345"/>
      <c r="L2" s="345"/>
      <c r="M2" s="345"/>
      <c r="N2" s="273" t="s">
        <v>96</v>
      </c>
      <c r="O2" s="344" t="s">
        <v>94</v>
      </c>
      <c r="P2" s="345"/>
      <c r="Q2" s="346" t="s">
        <v>93</v>
      </c>
      <c r="R2" s="347"/>
      <c r="S2" s="344" t="s">
        <v>95</v>
      </c>
      <c r="T2" s="345"/>
      <c r="U2" s="352" t="s">
        <v>51</v>
      </c>
      <c r="V2" s="354" t="s">
        <v>108</v>
      </c>
      <c r="W2" s="354" t="s">
        <v>100</v>
      </c>
      <c r="X2" s="356" t="s">
        <v>114</v>
      </c>
    </row>
    <row r="3" spans="2:25" ht="13.5" thickBot="1" x14ac:dyDescent="0.25">
      <c r="B3" s="243">
        <v>1</v>
      </c>
      <c r="C3" s="244">
        <v>2</v>
      </c>
      <c r="D3" s="244">
        <v>3</v>
      </c>
      <c r="E3" s="244">
        <v>4</v>
      </c>
      <c r="F3" s="244">
        <v>5</v>
      </c>
      <c r="G3" s="244">
        <v>6</v>
      </c>
      <c r="H3" s="272">
        <v>7</v>
      </c>
      <c r="I3" s="272">
        <v>8</v>
      </c>
      <c r="J3" s="272">
        <v>9</v>
      </c>
      <c r="K3" s="272">
        <v>10</v>
      </c>
      <c r="L3" s="272">
        <v>11</v>
      </c>
      <c r="M3" s="272">
        <v>12</v>
      </c>
      <c r="N3" s="274"/>
      <c r="O3" s="245" t="s">
        <v>33</v>
      </c>
      <c r="P3" s="245" t="s">
        <v>32</v>
      </c>
      <c r="Q3" s="348"/>
      <c r="R3" s="349"/>
      <c r="S3" s="245" t="s">
        <v>33</v>
      </c>
      <c r="T3" s="245" t="s">
        <v>32</v>
      </c>
      <c r="U3" s="353"/>
      <c r="V3" s="355"/>
      <c r="W3" s="355"/>
      <c r="X3" s="357"/>
    </row>
    <row r="4" spans="2:25" x14ac:dyDescent="0.2">
      <c r="B4" s="210" t="s">
        <v>85</v>
      </c>
      <c r="C4" s="117"/>
      <c r="D4" s="286"/>
      <c r="E4" s="117"/>
      <c r="F4" s="117"/>
      <c r="G4" s="286"/>
      <c r="H4" s="117"/>
      <c r="I4" s="117"/>
      <c r="J4" s="286"/>
      <c r="K4" s="117"/>
      <c r="L4" s="117"/>
      <c r="M4" s="117"/>
      <c r="N4" s="211" t="s">
        <v>110</v>
      </c>
      <c r="O4" s="212" t="str">
        <f>[1]!AUDCAD</f>
        <v>0.98725</v>
      </c>
      <c r="P4" s="212" t="str">
        <f>[2]!audcad</f>
        <v>0.98752</v>
      </c>
      <c r="Q4" s="230">
        <f>VALUE(REPLACE(O4,SEARCH(".",O4),1,","))</f>
        <v>0.98724999999999996</v>
      </c>
      <c r="R4" s="231">
        <f>VALUE(REPLACE(P4,SEARCH(".",P4),1,","))</f>
        <v>0.98751999999999995</v>
      </c>
      <c r="S4" s="212">
        <f t="shared" ref="S4:S13" si="0">IF(Q4="",O4,Q4)</f>
        <v>0.98724999999999996</v>
      </c>
      <c r="T4" s="212">
        <f t="shared" ref="T4:T13" si="1">IF(R4="",P4,R4)</f>
        <v>0.98751999999999995</v>
      </c>
      <c r="U4" s="213">
        <f>10000*(T4-S4)</f>
        <v>2.6999999999999247</v>
      </c>
      <c r="V4" s="214">
        <v>100000</v>
      </c>
      <c r="W4" s="236">
        <v>10000</v>
      </c>
      <c r="X4" s="238">
        <f>T5/T4</f>
        <v>0.75232906675307853</v>
      </c>
    </row>
    <row r="5" spans="2:25" x14ac:dyDescent="0.2">
      <c r="B5" s="283"/>
      <c r="C5" s="284" t="s">
        <v>85</v>
      </c>
      <c r="D5" s="284"/>
      <c r="E5" s="284"/>
      <c r="F5" s="284"/>
      <c r="G5" s="284"/>
      <c r="H5" s="284"/>
      <c r="I5" s="284"/>
      <c r="J5" s="284"/>
      <c r="K5" s="284"/>
      <c r="L5" s="284"/>
      <c r="M5" s="284"/>
      <c r="N5" s="149" t="s">
        <v>86</v>
      </c>
      <c r="O5" s="139" t="str">
        <f>[1]!AUDUSD</f>
        <v>0.74276</v>
      </c>
      <c r="P5" s="139" t="str">
        <f>[2]!AUDUSD</f>
        <v>0.74294</v>
      </c>
      <c r="Q5" s="138">
        <f>VALUE(REPLACE(O5,SEARCH(".",O5),1,","))</f>
        <v>0.74275999999999998</v>
      </c>
      <c r="R5" s="138">
        <f>VALUE(REPLACE(P5,SEARCH(".",P5),1,","))</f>
        <v>0.74294000000000004</v>
      </c>
      <c r="S5" s="139">
        <f t="shared" si="0"/>
        <v>0.74275999999999998</v>
      </c>
      <c r="T5" s="139">
        <f t="shared" si="1"/>
        <v>0.74294000000000004</v>
      </c>
      <c r="U5" s="163">
        <f>10000*(T5-S5)</f>
        <v>1.8000000000006899</v>
      </c>
      <c r="V5" s="208">
        <v>100000</v>
      </c>
      <c r="W5" s="209">
        <v>10000</v>
      </c>
      <c r="X5" s="239">
        <v>1</v>
      </c>
    </row>
    <row r="6" spans="2:25" x14ac:dyDescent="0.2">
      <c r="B6" s="150"/>
      <c r="C6" s="207"/>
      <c r="D6" s="284" t="s">
        <v>85</v>
      </c>
      <c r="E6" s="207"/>
      <c r="F6" s="207"/>
      <c r="G6" s="284"/>
      <c r="H6" s="207"/>
      <c r="I6" s="207"/>
      <c r="J6" s="284"/>
      <c r="K6" s="207"/>
      <c r="L6" s="207"/>
      <c r="M6" s="207"/>
      <c r="N6" s="149" t="s">
        <v>111</v>
      </c>
      <c r="O6" s="270">
        <f>[1]!CHFJPY/1000</f>
        <v>111.006</v>
      </c>
      <c r="P6" s="270">
        <f>[2]!CHFJPY/1000</f>
        <v>111.032</v>
      </c>
      <c r="Q6" s="143"/>
      <c r="R6" s="143"/>
      <c r="S6" s="270">
        <f t="shared" si="0"/>
        <v>111.006</v>
      </c>
      <c r="T6" s="270">
        <f t="shared" si="1"/>
        <v>111.032</v>
      </c>
      <c r="U6" s="163">
        <f>100*(T6-S6)</f>
        <v>2.5999999999996248</v>
      </c>
      <c r="V6" s="208">
        <v>1000</v>
      </c>
      <c r="W6" s="209">
        <v>100</v>
      </c>
      <c r="X6" s="239">
        <f>10*V6/W6/T14</f>
        <v>0.91232551774473136</v>
      </c>
    </row>
    <row r="7" spans="2:25" x14ac:dyDescent="0.2">
      <c r="B7" s="283"/>
      <c r="C7" s="284"/>
      <c r="D7" s="284"/>
      <c r="E7" s="284" t="s">
        <v>85</v>
      </c>
      <c r="F7" s="284"/>
      <c r="G7" s="284"/>
      <c r="H7" s="284"/>
      <c r="I7" s="284"/>
      <c r="J7" s="284"/>
      <c r="K7" s="284"/>
      <c r="L7" s="284"/>
      <c r="M7" s="284"/>
      <c r="N7" s="149" t="s">
        <v>90</v>
      </c>
      <c r="O7" s="142" t="str">
        <f>[1]!EURGBP</f>
        <v>0.87995</v>
      </c>
      <c r="P7" s="142" t="str">
        <f>[2]!EURGBP</f>
        <v>0.88012</v>
      </c>
      <c r="Q7" s="143">
        <f>VALUE(REPLACE(O7,SEARCH(".",O7),1,","))</f>
        <v>0.87995000000000001</v>
      </c>
      <c r="R7" s="138">
        <f>VALUE(REPLACE(P7,SEARCH(".",P7),1,","))</f>
        <v>0.88012000000000001</v>
      </c>
      <c r="S7" s="142">
        <f t="shared" si="0"/>
        <v>0.87995000000000001</v>
      </c>
      <c r="T7" s="142">
        <f t="shared" si="1"/>
        <v>0.88012000000000001</v>
      </c>
      <c r="U7" s="163">
        <f>10000*(T7-S7)</f>
        <v>1.7000000000000348</v>
      </c>
      <c r="V7" s="208">
        <v>100000</v>
      </c>
      <c r="W7" s="209">
        <v>10000</v>
      </c>
      <c r="X7" s="239">
        <f>T10/T7</f>
        <v>1.5091805662864155</v>
      </c>
    </row>
    <row r="8" spans="2:25" x14ac:dyDescent="0.2">
      <c r="B8" s="150"/>
      <c r="C8" s="207"/>
      <c r="D8" s="284"/>
      <c r="E8" s="207"/>
      <c r="F8" s="207" t="s">
        <v>85</v>
      </c>
      <c r="G8" s="284"/>
      <c r="H8" s="207"/>
      <c r="I8" s="207"/>
      <c r="J8" s="284"/>
      <c r="K8" s="207"/>
      <c r="L8" s="207"/>
      <c r="M8" s="207"/>
      <c r="N8" s="149" t="s">
        <v>89</v>
      </c>
      <c r="O8" s="141">
        <f>[1]!EURJPY/1000</f>
        <v>128.095</v>
      </c>
      <c r="P8" s="141">
        <f>[2]!EURJPY/1000</f>
        <v>128.11699999999999</v>
      </c>
      <c r="Q8" s="138"/>
      <c r="R8" s="138"/>
      <c r="S8" s="141">
        <f t="shared" si="0"/>
        <v>128.095</v>
      </c>
      <c r="T8" s="141">
        <f t="shared" si="1"/>
        <v>128.11699999999999</v>
      </c>
      <c r="U8" s="163">
        <f>100*(T8-S8)</f>
        <v>2.199999999999136</v>
      </c>
      <c r="V8" s="208">
        <v>1000</v>
      </c>
      <c r="W8" s="209">
        <v>100</v>
      </c>
      <c r="X8" s="239">
        <f>100*T9/T8</f>
        <v>0.912353551831529</v>
      </c>
    </row>
    <row r="9" spans="2:25" ht="13.5" customHeight="1" x14ac:dyDescent="0.2">
      <c r="B9" s="283"/>
      <c r="C9" s="284"/>
      <c r="D9" s="284"/>
      <c r="E9" s="284"/>
      <c r="F9" s="284"/>
      <c r="G9" s="284" t="s">
        <v>85</v>
      </c>
      <c r="H9" s="284"/>
      <c r="I9" s="284"/>
      <c r="J9" s="284"/>
      <c r="K9" s="284"/>
      <c r="L9" s="284"/>
      <c r="M9" s="284"/>
      <c r="N9" s="149" t="s">
        <v>92</v>
      </c>
      <c r="O9" s="139">
        <f>[1]!EURUSD/100000</f>
        <v>1.16873</v>
      </c>
      <c r="P9" s="139">
        <f>[2]!EURUSD/100000</f>
        <v>1.1688799999999999</v>
      </c>
      <c r="Q9" s="140"/>
      <c r="R9" s="140"/>
      <c r="S9" s="139">
        <f t="shared" si="0"/>
        <v>1.16873</v>
      </c>
      <c r="T9" s="139">
        <f t="shared" si="1"/>
        <v>1.1688799999999999</v>
      </c>
      <c r="U9" s="163">
        <f>10000*(T9-S9)</f>
        <v>1.4999999999987246</v>
      </c>
      <c r="V9" s="208">
        <v>100000</v>
      </c>
      <c r="W9" s="209">
        <v>10000</v>
      </c>
      <c r="X9" s="239">
        <v>1</v>
      </c>
      <c r="Y9" t="s">
        <v>134</v>
      </c>
    </row>
    <row r="10" spans="2:25" x14ac:dyDescent="0.2">
      <c r="B10" s="150"/>
      <c r="C10" s="207"/>
      <c r="D10" s="284"/>
      <c r="E10" s="207"/>
      <c r="F10" s="207"/>
      <c r="G10" s="284"/>
      <c r="H10" s="207" t="s">
        <v>85</v>
      </c>
      <c r="I10" s="207"/>
      <c r="J10" s="284"/>
      <c r="K10" s="207"/>
      <c r="L10" s="207"/>
      <c r="M10" s="207"/>
      <c r="N10" s="149" t="s">
        <v>88</v>
      </c>
      <c r="O10" s="139">
        <f>[1]!GBPUSD/100000</f>
        <v>1.3280700000000001</v>
      </c>
      <c r="P10" s="139">
        <f>[2]!GBPUSD/100000</f>
        <v>1.32826</v>
      </c>
      <c r="Q10" s="140"/>
      <c r="R10" s="140"/>
      <c r="S10" s="139">
        <f t="shared" si="0"/>
        <v>1.3280700000000001</v>
      </c>
      <c r="T10" s="139">
        <f t="shared" si="1"/>
        <v>1.32826</v>
      </c>
      <c r="U10" s="163">
        <f>10000*(T10-S10)</f>
        <v>1.8999999999991246</v>
      </c>
      <c r="V10" s="208">
        <v>100000</v>
      </c>
      <c r="W10" s="209">
        <v>10000</v>
      </c>
      <c r="X10" s="239">
        <v>1</v>
      </c>
    </row>
    <row r="11" spans="2:25" x14ac:dyDescent="0.2">
      <c r="B11" s="283"/>
      <c r="C11" s="284"/>
      <c r="D11" s="284"/>
      <c r="E11" s="284"/>
      <c r="F11" s="284"/>
      <c r="G11" s="284"/>
      <c r="H11" s="284"/>
      <c r="I11" s="284" t="s">
        <v>85</v>
      </c>
      <c r="J11" s="284"/>
      <c r="K11" s="284"/>
      <c r="L11" s="284"/>
      <c r="M11" s="284"/>
      <c r="N11" s="156" t="s">
        <v>98</v>
      </c>
      <c r="O11" s="139" t="str">
        <f>[1]!GOLD</f>
        <v>1269.24</v>
      </c>
      <c r="P11" s="139" t="str">
        <f>[2]!GOLD</f>
        <v>1269.55</v>
      </c>
      <c r="Q11" s="157">
        <f>VALUE(REPLACE(O11,SEARCH(".",O11),1,","))</f>
        <v>1269.24</v>
      </c>
      <c r="R11" s="157">
        <f>VALUE(REPLACE(P11,SEARCH(".",P11),1,","))</f>
        <v>1269.55</v>
      </c>
      <c r="S11" s="158">
        <f t="shared" si="0"/>
        <v>1269.24</v>
      </c>
      <c r="T11" s="158">
        <f t="shared" si="1"/>
        <v>1269.55</v>
      </c>
      <c r="U11" s="164">
        <f>T11-S11</f>
        <v>0.30999999999994543</v>
      </c>
      <c r="V11" s="209">
        <v>100</v>
      </c>
      <c r="W11" s="209">
        <v>10</v>
      </c>
      <c r="X11" s="239">
        <v>1</v>
      </c>
      <c r="Y11" t="s">
        <v>134</v>
      </c>
    </row>
    <row r="12" spans="2:25" x14ac:dyDescent="0.2">
      <c r="B12" s="150"/>
      <c r="C12" s="207"/>
      <c r="D12" s="284"/>
      <c r="E12" s="207"/>
      <c r="F12" s="207"/>
      <c r="G12" s="284"/>
      <c r="H12" s="207"/>
      <c r="I12" s="207"/>
      <c r="J12" s="284" t="s">
        <v>85</v>
      </c>
      <c r="K12" s="207"/>
      <c r="L12" s="207"/>
      <c r="M12" s="207"/>
      <c r="N12" s="156" t="s">
        <v>99</v>
      </c>
      <c r="O12" s="141">
        <f>[1]!SILVER/1000</f>
        <v>16.407</v>
      </c>
      <c r="P12" s="141">
        <f>[2]!SILVER/1000</f>
        <v>16.440999999999999</v>
      </c>
      <c r="Q12" s="157"/>
      <c r="R12" s="157"/>
      <c r="S12" s="141">
        <f t="shared" si="0"/>
        <v>16.407</v>
      </c>
      <c r="T12" s="141">
        <f t="shared" si="1"/>
        <v>16.440999999999999</v>
      </c>
      <c r="U12" s="164">
        <f>T12-S12</f>
        <v>3.399999999999892E-2</v>
      </c>
      <c r="V12" s="209">
        <v>5000</v>
      </c>
      <c r="W12" s="209">
        <v>100</v>
      </c>
      <c r="X12" s="239">
        <v>1</v>
      </c>
    </row>
    <row r="13" spans="2:25" x14ac:dyDescent="0.2">
      <c r="B13" s="283"/>
      <c r="C13" s="284"/>
      <c r="D13" s="284"/>
      <c r="E13" s="284"/>
      <c r="F13" s="284"/>
      <c r="G13" s="284"/>
      <c r="H13" s="284"/>
      <c r="I13" s="284"/>
      <c r="J13" s="284"/>
      <c r="K13" s="284" t="s">
        <v>85</v>
      </c>
      <c r="L13" s="284"/>
      <c r="M13" s="284"/>
      <c r="N13" s="149" t="s">
        <v>87</v>
      </c>
      <c r="O13" s="139">
        <f>[1]!USDCAD/100000</f>
        <v>1.3291299999999999</v>
      </c>
      <c r="P13" s="139">
        <f>[2]!USDCAD/100000</f>
        <v>1.3293299999999999</v>
      </c>
      <c r="Q13" s="140"/>
      <c r="R13" s="140"/>
      <c r="S13" s="139">
        <f t="shared" si="0"/>
        <v>1.3291299999999999</v>
      </c>
      <c r="T13" s="139">
        <f t="shared" si="1"/>
        <v>1.3293299999999999</v>
      </c>
      <c r="U13" s="163">
        <f t="shared" ref="U13" si="2">10000*(T13-S13)</f>
        <v>1.9999999999997797</v>
      </c>
      <c r="V13" s="208">
        <v>100000</v>
      </c>
      <c r="W13" s="209">
        <v>10000</v>
      </c>
      <c r="X13" s="239">
        <f>1/S13</f>
        <v>0.75237185226426317</v>
      </c>
      <c r="Y13" t="s">
        <v>134</v>
      </c>
    </row>
    <row r="14" spans="2:25" x14ac:dyDescent="0.2">
      <c r="B14" s="150"/>
      <c r="C14" s="207"/>
      <c r="D14" s="284"/>
      <c r="E14" s="207"/>
      <c r="F14" s="207"/>
      <c r="G14" s="284"/>
      <c r="H14" s="207"/>
      <c r="I14" s="207"/>
      <c r="J14" s="284"/>
      <c r="K14" s="207"/>
      <c r="L14" s="207" t="s">
        <v>85</v>
      </c>
      <c r="M14" s="207"/>
      <c r="N14" s="149" t="s">
        <v>91</v>
      </c>
      <c r="O14" s="141">
        <f>[1]!USDJPY/1000</f>
        <v>109.596</v>
      </c>
      <c r="P14" s="141">
        <f>[2]!USDJPY/1000</f>
        <v>109.61</v>
      </c>
      <c r="Q14" s="138"/>
      <c r="R14" s="138"/>
      <c r="S14" s="141">
        <f t="shared" ref="S14:S15" si="3">IF(Q14="",O14,Q14)</f>
        <v>109.596</v>
      </c>
      <c r="T14" s="141">
        <f t="shared" ref="T14:T15" si="4">IF(R14="",P14,R14)</f>
        <v>109.61</v>
      </c>
      <c r="U14" s="163">
        <f>100*(T14-S14)</f>
        <v>1.3999999999995794</v>
      </c>
      <c r="V14" s="208">
        <v>1000</v>
      </c>
      <c r="W14" s="209">
        <v>100</v>
      </c>
      <c r="X14" s="239">
        <f>1/S14</f>
        <v>9.1244205992919453E-3</v>
      </c>
    </row>
    <row r="15" spans="2:25" ht="13.5" thickBot="1" x14ac:dyDescent="0.25">
      <c r="B15" s="151"/>
      <c r="C15" s="215"/>
      <c r="D15" s="285"/>
      <c r="E15" s="215"/>
      <c r="F15" s="215"/>
      <c r="G15" s="285"/>
      <c r="H15" s="215"/>
      <c r="I15" s="215"/>
      <c r="J15" s="285"/>
      <c r="K15" s="215"/>
      <c r="L15" s="215"/>
      <c r="M15" s="215" t="s">
        <v>85</v>
      </c>
      <c r="N15" s="152" t="s">
        <v>97</v>
      </c>
      <c r="O15" s="232" t="str">
        <f>[1]!WTI</f>
        <v>68.48</v>
      </c>
      <c r="P15" s="232" t="str">
        <f>[2]!WTI</f>
        <v>68.52</v>
      </c>
      <c r="Q15" s="153">
        <f t="shared" ref="Q15:R15" si="5">VALUE(REPLACE(O15,SEARCH(".",O15),1,","))</f>
        <v>68.48</v>
      </c>
      <c r="R15" s="153">
        <f t="shared" si="5"/>
        <v>68.52</v>
      </c>
      <c r="S15" s="233">
        <f t="shared" si="3"/>
        <v>68.48</v>
      </c>
      <c r="T15" s="233">
        <f t="shared" si="4"/>
        <v>68.52</v>
      </c>
      <c r="U15" s="165">
        <f>T15-S15</f>
        <v>3.9999999999992042E-2</v>
      </c>
      <c r="V15" s="216">
        <v>1000</v>
      </c>
      <c r="W15" s="216">
        <v>100</v>
      </c>
      <c r="X15" s="240">
        <v>1</v>
      </c>
      <c r="Y15" t="s">
        <v>134</v>
      </c>
    </row>
    <row r="16" spans="2:25" ht="13.5" thickBot="1" x14ac:dyDescent="0.25">
      <c r="X16" t="s">
        <v>135</v>
      </c>
    </row>
    <row r="17" spans="4:22" ht="13.5" customHeight="1" thickBot="1" x14ac:dyDescent="0.25">
      <c r="D17" s="276"/>
      <c r="K17" s="342">
        <v>1</v>
      </c>
      <c r="L17" s="350"/>
      <c r="M17" s="342">
        <v>2</v>
      </c>
      <c r="N17" s="343"/>
      <c r="O17" s="342">
        <v>3</v>
      </c>
      <c r="P17" s="343"/>
      <c r="Q17" s="342">
        <v>4</v>
      </c>
      <c r="R17" s="343"/>
      <c r="S17" s="342">
        <v>5</v>
      </c>
      <c r="T17" s="343"/>
      <c r="U17" s="342">
        <v>6</v>
      </c>
      <c r="V17" s="343"/>
    </row>
    <row r="18" spans="4:22" x14ac:dyDescent="0.2">
      <c r="D18" s="276"/>
      <c r="K18" s="235" t="s">
        <v>96</v>
      </c>
      <c r="L18" s="148" t="str">
        <f>INDEX(N4:N15,MATCH("x",B4:B15,0),1)</f>
        <v>AUDCAD</v>
      </c>
      <c r="M18" s="235" t="s">
        <v>96</v>
      </c>
      <c r="N18" s="148" t="str">
        <f>INDEX(N4:N15,MATCH("x",C4:C15,0),1)</f>
        <v>AUDUSD</v>
      </c>
      <c r="O18" s="235" t="s">
        <v>96</v>
      </c>
      <c r="P18" s="148" t="str">
        <f>INDEX(N4:N15,MATCH("x",D4:D15,0),1)</f>
        <v>CHFJPY</v>
      </c>
      <c r="Q18" s="235" t="s">
        <v>96</v>
      </c>
      <c r="R18" s="148" t="str">
        <f>INDEX(N4:N15,MATCH("x",E4:E15,0),1)</f>
        <v>EURGBP</v>
      </c>
      <c r="S18" s="247" t="s">
        <v>96</v>
      </c>
      <c r="T18" s="148" t="str">
        <f>INDEX(N4:N15,MATCH("x",F4:F15,0),1)</f>
        <v>EURJPY</v>
      </c>
      <c r="U18" s="247" t="s">
        <v>96</v>
      </c>
      <c r="V18" s="148" t="str">
        <f>INDEX(N4:N15,MATCH("x",G4:G15,0),1)</f>
        <v>EURUSD</v>
      </c>
    </row>
    <row r="19" spans="4:22" x14ac:dyDescent="0.2">
      <c r="D19" s="276"/>
      <c r="K19" s="145" t="s">
        <v>32</v>
      </c>
      <c r="L19" s="154">
        <f>INDEX(T4:T15,MATCH("x",B4:B15,0),1)</f>
        <v>0.98751999999999995</v>
      </c>
      <c r="M19" s="145" t="s">
        <v>32</v>
      </c>
      <c r="N19" s="154">
        <f>INDEX(T4:T15,MATCH("x",C4:C15,0),1)</f>
        <v>0.74294000000000004</v>
      </c>
      <c r="O19" s="145" t="s">
        <v>32</v>
      </c>
      <c r="P19" s="154">
        <f>INDEX(T4:T15,MATCH("x",D4:D15,0),1)</f>
        <v>111.032</v>
      </c>
      <c r="Q19" s="145" t="s">
        <v>32</v>
      </c>
      <c r="R19" s="154">
        <f>INDEX(T4:T15,MATCH("x",E4:E15,0),1)</f>
        <v>0.88012000000000001</v>
      </c>
      <c r="S19" s="145" t="s">
        <v>32</v>
      </c>
      <c r="T19" s="154">
        <f>INDEX(T4:T15,MATCH("x",F4:F15,0),1)</f>
        <v>128.11699999999999</v>
      </c>
      <c r="U19" s="145" t="s">
        <v>32</v>
      </c>
      <c r="V19" s="154">
        <f>INDEX(T4:T15,MATCH("x",G4:G15,0),1)</f>
        <v>1.1688799999999999</v>
      </c>
    </row>
    <row r="20" spans="4:22" x14ac:dyDescent="0.2">
      <c r="D20" s="276"/>
      <c r="K20" s="145" t="s">
        <v>33</v>
      </c>
      <c r="L20" s="154">
        <f>INDEX(S4:S15,MATCH("x",B4:B15,0),1)</f>
        <v>0.98724999999999996</v>
      </c>
      <c r="M20" s="145" t="s">
        <v>33</v>
      </c>
      <c r="N20" s="154">
        <f>INDEX(S4:S15,MATCH("x",C4:C15,0),1)</f>
        <v>0.74275999999999998</v>
      </c>
      <c r="O20" s="145" t="s">
        <v>33</v>
      </c>
      <c r="P20" s="154">
        <f>INDEX(S4:S15,MATCH("x",D4:D15,0),1)</f>
        <v>111.006</v>
      </c>
      <c r="Q20" s="145" t="s">
        <v>33</v>
      </c>
      <c r="R20" s="154">
        <f>INDEX(S4:S15,MATCH("x",E4:E15,0),1)</f>
        <v>0.87995000000000001</v>
      </c>
      <c r="S20" s="145" t="s">
        <v>33</v>
      </c>
      <c r="T20" s="154">
        <f>INDEX(S4:S15,MATCH("x",F4:F15,0),1)</f>
        <v>128.095</v>
      </c>
      <c r="U20" s="145" t="s">
        <v>33</v>
      </c>
      <c r="V20" s="154">
        <f>INDEX(S4:S15,MATCH("x",G4:G15,0),1)</f>
        <v>1.16873</v>
      </c>
    </row>
    <row r="21" spans="4:22" x14ac:dyDescent="0.2">
      <c r="D21" s="276"/>
      <c r="K21" s="145" t="s">
        <v>51</v>
      </c>
      <c r="L21" s="166">
        <f>INDEX(U4:U15,MATCH("x",B4:B15,0),1)</f>
        <v>2.6999999999999247</v>
      </c>
      <c r="M21" s="145" t="s">
        <v>51</v>
      </c>
      <c r="N21" s="166">
        <f>INDEX(U4:U15,MATCH("x",C4:C15,0),1)</f>
        <v>1.8000000000006899</v>
      </c>
      <c r="O21" s="145" t="s">
        <v>51</v>
      </c>
      <c r="P21" s="166">
        <f>INDEX(U4:U15,MATCH("x",D4:D15,0),1)</f>
        <v>2.5999999999996248</v>
      </c>
      <c r="Q21" s="145" t="s">
        <v>51</v>
      </c>
      <c r="R21" s="166">
        <f>INDEX(U4:U15,MATCH("x",E4:E15,0),1)</f>
        <v>1.7000000000000348</v>
      </c>
      <c r="S21" s="145" t="s">
        <v>51</v>
      </c>
      <c r="T21" s="166">
        <f>INDEX(U4:U15,MATCH("x",F4:F15,0),1)</f>
        <v>2.199999999999136</v>
      </c>
      <c r="U21" s="145" t="s">
        <v>51</v>
      </c>
      <c r="V21" s="166">
        <f>INDEX(U4:U15,MATCH("x",G4:G15,0),1)</f>
        <v>1.4999999999987246</v>
      </c>
    </row>
    <row r="22" spans="4:22" x14ac:dyDescent="0.2">
      <c r="D22" s="276"/>
      <c r="K22" s="145" t="s">
        <v>108</v>
      </c>
      <c r="L22" s="237">
        <f>INDEX(V4:V15,MATCH("x",B4:B15,0),1)</f>
        <v>100000</v>
      </c>
      <c r="M22" s="145" t="s">
        <v>108</v>
      </c>
      <c r="N22" s="237">
        <f>INDEX(V4:V15,MATCH("x",C4:C15,0),1)</f>
        <v>100000</v>
      </c>
      <c r="O22" s="145" t="s">
        <v>108</v>
      </c>
      <c r="P22" s="237">
        <f>INDEX(V4:V15,MATCH("x",D4:D15,0),1)</f>
        <v>1000</v>
      </c>
      <c r="Q22" s="145" t="s">
        <v>108</v>
      </c>
      <c r="R22" s="237">
        <f>INDEX(V4:V15,MATCH("x",E4:E15,0),1)</f>
        <v>100000</v>
      </c>
      <c r="S22" s="145" t="s">
        <v>108</v>
      </c>
      <c r="T22" s="237">
        <f>INDEX(V4:V15,MATCH("x",F4:F15,0),1)</f>
        <v>1000</v>
      </c>
      <c r="U22" s="145" t="s">
        <v>108</v>
      </c>
      <c r="V22" s="237">
        <f>INDEX(V4:V15,MATCH("x",G4:G15,0),1)</f>
        <v>100000</v>
      </c>
    </row>
    <row r="23" spans="4:22" x14ac:dyDescent="0.2">
      <c r="D23" s="276"/>
      <c r="K23" s="145" t="s">
        <v>100</v>
      </c>
      <c r="L23" s="237">
        <f>INDEX(W4:W15,MATCH("x",B4:B15,0),1)</f>
        <v>10000</v>
      </c>
      <c r="M23" s="145" t="s">
        <v>100</v>
      </c>
      <c r="N23" s="237">
        <f>INDEX(W4:W15,MATCH("x",C4:C15,0),1)</f>
        <v>10000</v>
      </c>
      <c r="O23" s="145" t="s">
        <v>100</v>
      </c>
      <c r="P23" s="237">
        <f>INDEX(W4:W15,MATCH("x",D4:D15,0),1)</f>
        <v>100</v>
      </c>
      <c r="Q23" s="145" t="s">
        <v>100</v>
      </c>
      <c r="R23" s="237">
        <f>INDEX(W4:W15,MATCH("x",E4:E15,0),1)</f>
        <v>10000</v>
      </c>
      <c r="S23" s="145" t="s">
        <v>100</v>
      </c>
      <c r="T23" s="237">
        <f>INDEX(W4:W15,MATCH("x",F4:F15,0),1)</f>
        <v>100</v>
      </c>
      <c r="U23" s="145" t="s">
        <v>100</v>
      </c>
      <c r="V23" s="237">
        <f>INDEX(W4:W15,MATCH("x",G4:G15,0),1)</f>
        <v>10000</v>
      </c>
    </row>
    <row r="24" spans="4:22" ht="13.5" thickBot="1" x14ac:dyDescent="0.25">
      <c r="D24" s="276"/>
      <c r="K24" s="146" t="s">
        <v>115</v>
      </c>
      <c r="L24" s="241">
        <f>INDEX(X4:X15,MATCH("x",B4:B15,0),1)</f>
        <v>0.75232906675307853</v>
      </c>
      <c r="M24" s="146" t="s">
        <v>115</v>
      </c>
      <c r="N24" s="241">
        <f>INDEX(X4:X15,MATCH("x",C4:C15,0),1)</f>
        <v>1</v>
      </c>
      <c r="O24" s="146" t="s">
        <v>115</v>
      </c>
      <c r="P24" s="241">
        <f>INDEX(X4:X15,MATCH("x",D4:D15,0),1)</f>
        <v>0.91232551774473136</v>
      </c>
      <c r="Q24" s="146" t="s">
        <v>115</v>
      </c>
      <c r="R24" s="241">
        <f>INDEX(X4:X15,MATCH("x",E4:E15,0),1)</f>
        <v>1.5091805662864155</v>
      </c>
      <c r="S24" s="146" t="s">
        <v>115</v>
      </c>
      <c r="T24" s="241">
        <f>INDEX(X4:X15,MATCH("x",F4:F15,0),1)</f>
        <v>0.912353551831529</v>
      </c>
      <c r="U24" s="146" t="s">
        <v>115</v>
      </c>
      <c r="V24" s="241">
        <f>INDEX(X4:X15,MATCH("x",G4:G15,0),1)</f>
        <v>1</v>
      </c>
    </row>
    <row r="25" spans="4:22" ht="13.5" customHeight="1" thickBot="1" x14ac:dyDescent="0.25">
      <c r="D25" s="276"/>
      <c r="K25" s="342">
        <v>7</v>
      </c>
      <c r="L25" s="350"/>
      <c r="M25" s="342">
        <v>8</v>
      </c>
      <c r="N25" s="343"/>
      <c r="O25" s="342">
        <v>9</v>
      </c>
      <c r="P25" s="343"/>
      <c r="Q25" s="342">
        <v>10</v>
      </c>
      <c r="R25" s="343"/>
      <c r="S25" s="342">
        <v>11</v>
      </c>
      <c r="T25" s="343"/>
      <c r="U25" s="342">
        <v>12</v>
      </c>
      <c r="V25" s="343"/>
    </row>
    <row r="26" spans="4:22" x14ac:dyDescent="0.2">
      <c r="D26" s="276"/>
      <c r="K26" s="271" t="s">
        <v>96</v>
      </c>
      <c r="L26" s="148" t="str">
        <f>INDEX(N4:N15,MATCH("x",H4:H15,0),1)</f>
        <v>GBPUSD</v>
      </c>
      <c r="M26" s="271" t="s">
        <v>96</v>
      </c>
      <c r="N26" s="148" t="str">
        <f>INDEX(N4:N15,MATCH("x",I4:I15,0),1)</f>
        <v>GOLD</v>
      </c>
      <c r="O26" s="271" t="s">
        <v>96</v>
      </c>
      <c r="P26" s="148" t="str">
        <f>INDEX(N4:N15,MATCH("x",J4:J15,0),1)</f>
        <v>SILVER</v>
      </c>
      <c r="Q26" s="271" t="s">
        <v>96</v>
      </c>
      <c r="R26" s="148" t="str">
        <f>INDEX(N4:N15,MATCH("x",K4:K15,0),1)</f>
        <v>USDCAD</v>
      </c>
      <c r="S26" s="271" t="s">
        <v>96</v>
      </c>
      <c r="T26" s="148" t="str">
        <f>INDEX(N4:N15,MATCH("x",L4:L15,0),1)</f>
        <v>USDJPY</v>
      </c>
      <c r="U26" s="271" t="s">
        <v>96</v>
      </c>
      <c r="V26" s="148" t="str">
        <f>INDEX(N4:N15,MATCH("x",M4:M15,0),1)</f>
        <v>WTI</v>
      </c>
    </row>
    <row r="27" spans="4:22" x14ac:dyDescent="0.2">
      <c r="D27" s="276"/>
      <c r="K27" s="145" t="s">
        <v>32</v>
      </c>
      <c r="L27" s="154">
        <f>INDEX(T4:T15,MATCH("x",H4:H15,0),1)</f>
        <v>1.32826</v>
      </c>
      <c r="M27" s="145" t="s">
        <v>32</v>
      </c>
      <c r="N27" s="154">
        <f>INDEX(T4:T15,MATCH("x",I4:I15,0),1)</f>
        <v>1269.55</v>
      </c>
      <c r="O27" s="145" t="s">
        <v>32</v>
      </c>
      <c r="P27" s="154">
        <f>INDEX(T4:T15,MATCH("x",J4:J15,0),1)</f>
        <v>16.440999999999999</v>
      </c>
      <c r="Q27" s="145" t="s">
        <v>32</v>
      </c>
      <c r="R27" s="154">
        <f>INDEX(T4:T15,MATCH("x",K4:K15,0),1)</f>
        <v>1.3293299999999999</v>
      </c>
      <c r="S27" s="145" t="s">
        <v>32</v>
      </c>
      <c r="T27" s="154">
        <f>INDEX(T4:T15,MATCH("x",L4:L15,0),1)</f>
        <v>109.61</v>
      </c>
      <c r="U27" s="145" t="s">
        <v>32</v>
      </c>
      <c r="V27" s="154">
        <f>INDEX(T4:T15,MATCH("x",M4:M15,0),1)</f>
        <v>68.52</v>
      </c>
    </row>
    <row r="28" spans="4:22" x14ac:dyDescent="0.2">
      <c r="D28" s="276"/>
      <c r="K28" s="145" t="s">
        <v>33</v>
      </c>
      <c r="L28" s="154">
        <f>INDEX(S4:S15,MATCH("x",H4:H15,0),1)</f>
        <v>1.3280700000000001</v>
      </c>
      <c r="M28" s="145" t="s">
        <v>33</v>
      </c>
      <c r="N28" s="154">
        <f>INDEX(S4:S15,MATCH("x",I4:I15,0),1)</f>
        <v>1269.24</v>
      </c>
      <c r="O28" s="145" t="s">
        <v>33</v>
      </c>
      <c r="P28" s="154">
        <f>INDEX(S4:S15,MATCH("x",J4:J15,0),1)</f>
        <v>16.407</v>
      </c>
      <c r="Q28" s="145" t="s">
        <v>33</v>
      </c>
      <c r="R28" s="154">
        <f>INDEX(S4:S15,MATCH("x",K4:K15,0),1)</f>
        <v>1.3291299999999999</v>
      </c>
      <c r="S28" s="145" t="s">
        <v>33</v>
      </c>
      <c r="T28" s="154">
        <f>INDEX(S4:S15,MATCH("x",L4:L15,0),1)</f>
        <v>109.596</v>
      </c>
      <c r="U28" s="145" t="s">
        <v>33</v>
      </c>
      <c r="V28" s="154">
        <f>INDEX(S4:S15,MATCH("x",M4:M15,0),1)</f>
        <v>68.48</v>
      </c>
    </row>
    <row r="29" spans="4:22" x14ac:dyDescent="0.2">
      <c r="D29" s="276"/>
      <c r="K29" s="145" t="s">
        <v>51</v>
      </c>
      <c r="L29" s="166">
        <f>INDEX(U4:U15,MATCH("x",H4:H15,0),1)</f>
        <v>1.8999999999991246</v>
      </c>
      <c r="M29" s="145" t="s">
        <v>51</v>
      </c>
      <c r="N29" s="166">
        <f>INDEX(U4:U15,MATCH("x",I4:I15,0),1)</f>
        <v>0.30999999999994543</v>
      </c>
      <c r="O29" s="145" t="s">
        <v>51</v>
      </c>
      <c r="P29" s="166">
        <f>INDEX(U4:U15,MATCH("x",J4:J15,0),1)</f>
        <v>3.399999999999892E-2</v>
      </c>
      <c r="Q29" s="145" t="s">
        <v>51</v>
      </c>
      <c r="R29" s="166">
        <f>INDEX(U4:U15,MATCH("x",K4:K15,0),1)</f>
        <v>1.9999999999997797</v>
      </c>
      <c r="S29" s="145" t="s">
        <v>51</v>
      </c>
      <c r="T29" s="166">
        <f>INDEX(U4:U15,MATCH("x",L4:L15,0),1)</f>
        <v>1.3999999999995794</v>
      </c>
      <c r="U29" s="145" t="s">
        <v>51</v>
      </c>
      <c r="V29" s="166">
        <f>INDEX(U4:U15,MATCH("x",M4:M15,0),1)</f>
        <v>3.9999999999992042E-2</v>
      </c>
    </row>
    <row r="30" spans="4:22" x14ac:dyDescent="0.2">
      <c r="D30" s="276"/>
      <c r="K30" s="145" t="s">
        <v>108</v>
      </c>
      <c r="L30" s="237">
        <f>INDEX(V4:V15,MATCH("x",H4:H15,0),1)</f>
        <v>100000</v>
      </c>
      <c r="M30" s="145" t="s">
        <v>108</v>
      </c>
      <c r="N30" s="237">
        <f>INDEX(V4:V15,MATCH("x",I4:I15,0),1)</f>
        <v>100</v>
      </c>
      <c r="O30" s="145" t="s">
        <v>108</v>
      </c>
      <c r="P30" s="237">
        <f>INDEX(V4:V15,MATCH("x",J4:J15,0),1)</f>
        <v>5000</v>
      </c>
      <c r="Q30" s="145" t="s">
        <v>108</v>
      </c>
      <c r="R30" s="237">
        <f>INDEX(V4:V15,MATCH("x",K4:K15,0),1)</f>
        <v>100000</v>
      </c>
      <c r="S30" s="145" t="s">
        <v>108</v>
      </c>
      <c r="T30" s="237">
        <f>INDEX(V4:V15,MATCH("x",L4:L15,0),1)</f>
        <v>1000</v>
      </c>
      <c r="U30" s="145" t="s">
        <v>108</v>
      </c>
      <c r="V30" s="237">
        <f>INDEX(V4:V15,MATCH("x",M4:M15,0),1)</f>
        <v>1000</v>
      </c>
    </row>
    <row r="31" spans="4:22" x14ac:dyDescent="0.2">
      <c r="D31" s="276"/>
      <c r="K31" s="145" t="s">
        <v>100</v>
      </c>
      <c r="L31" s="237">
        <f>INDEX(W4:W15,MATCH("x",H4:H15,0),1)</f>
        <v>10000</v>
      </c>
      <c r="M31" s="145" t="s">
        <v>100</v>
      </c>
      <c r="N31" s="237">
        <f>INDEX(W4:W15,MATCH("x",I4:I15,0),1)</f>
        <v>10</v>
      </c>
      <c r="O31" s="145" t="s">
        <v>100</v>
      </c>
      <c r="P31" s="237">
        <f>INDEX(W4:W15,MATCH("x",J4:J15,0),1)</f>
        <v>100</v>
      </c>
      <c r="Q31" s="145" t="s">
        <v>100</v>
      </c>
      <c r="R31" s="237">
        <f>INDEX(W4:W15,MATCH("x",K4:K15,0),1)</f>
        <v>10000</v>
      </c>
      <c r="S31" s="145" t="s">
        <v>100</v>
      </c>
      <c r="T31" s="237">
        <f>INDEX(W4:W15,MATCH("x",L4:L15,0),1)</f>
        <v>100</v>
      </c>
      <c r="U31" s="145" t="s">
        <v>100</v>
      </c>
      <c r="V31" s="237">
        <f>INDEX(W4:W15,MATCH("x",M4:M15,0),1)</f>
        <v>100</v>
      </c>
    </row>
    <row r="32" spans="4:22" ht="13.5" thickBot="1" x14ac:dyDescent="0.25">
      <c r="D32" s="276"/>
      <c r="K32" s="146" t="s">
        <v>115</v>
      </c>
      <c r="L32" s="241">
        <f>INDEX(X4:X15,MATCH("x",H4:H15,0),1)</f>
        <v>1</v>
      </c>
      <c r="M32" s="146" t="s">
        <v>115</v>
      </c>
      <c r="N32" s="241">
        <f>INDEX(X4:X15,MATCH("x",I4:I15,0),1)</f>
        <v>1</v>
      </c>
      <c r="O32" s="146" t="s">
        <v>115</v>
      </c>
      <c r="P32" s="241">
        <f>INDEX(X4:X15,MATCH("x",J4:J15,0),1)</f>
        <v>1</v>
      </c>
      <c r="Q32" s="146" t="s">
        <v>115</v>
      </c>
      <c r="R32" s="241">
        <f>INDEX(X4:X15,MATCH("x",K4:K15,0),1)</f>
        <v>0.75237185226426317</v>
      </c>
      <c r="S32" s="146" t="s">
        <v>115</v>
      </c>
      <c r="T32" s="241">
        <f>INDEX(X4:X15,MATCH("x",L4:L15,0),1)</f>
        <v>9.1244205992919453E-3</v>
      </c>
      <c r="U32" s="146" t="s">
        <v>115</v>
      </c>
      <c r="V32" s="241">
        <f>INDEX(X4:X15,MATCH("x",M4:M15,0),1)</f>
        <v>1</v>
      </c>
    </row>
  </sheetData>
  <mergeCells count="20">
    <mergeCell ref="U2:U3"/>
    <mergeCell ref="V2:V3"/>
    <mergeCell ref="W2:W3"/>
    <mergeCell ref="X2:X3"/>
    <mergeCell ref="U25:V25"/>
    <mergeCell ref="U17:V17"/>
    <mergeCell ref="K25:L25"/>
    <mergeCell ref="M25:N25"/>
    <mergeCell ref="O25:P25"/>
    <mergeCell ref="Q25:R25"/>
    <mergeCell ref="S25:T25"/>
    <mergeCell ref="S17:T17"/>
    <mergeCell ref="O2:P2"/>
    <mergeCell ref="Q2:R3"/>
    <mergeCell ref="S2:T2"/>
    <mergeCell ref="K17:L17"/>
    <mergeCell ref="O17:P17"/>
    <mergeCell ref="Q17:R17"/>
    <mergeCell ref="M17:N17"/>
    <mergeCell ref="B2:M2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0"/>
  <sheetViews>
    <sheetView zoomScale="90" zoomScaleNormal="90" workbookViewId="0">
      <selection activeCell="F14" sqref="F14"/>
    </sheetView>
  </sheetViews>
  <sheetFormatPr defaultRowHeight="12.75" x14ac:dyDescent="0.2"/>
  <cols>
    <col min="1" max="1" width="1.42578125" style="14" customWidth="1"/>
    <col min="2" max="2" width="5.85546875" customWidth="1"/>
    <col min="3" max="3" width="12.42578125" style="16" bestFit="1" customWidth="1"/>
    <col min="4" max="4" width="11.7109375" style="16" bestFit="1" customWidth="1"/>
    <col min="5" max="5" width="12" style="15" bestFit="1" customWidth="1"/>
    <col min="6" max="6" width="10" style="15" customWidth="1"/>
    <col min="7" max="7" width="9.85546875" style="15" bestFit="1" customWidth="1"/>
    <col min="8" max="8" width="12.7109375" style="15" customWidth="1"/>
    <col min="9" max="9" width="13.28515625" style="15" bestFit="1" customWidth="1"/>
    <col min="10" max="10" width="11.7109375" style="14" bestFit="1" customWidth="1"/>
    <col min="11" max="11" width="11" style="14" bestFit="1" customWidth="1"/>
    <col min="12" max="12" width="11.7109375" style="15" bestFit="1" customWidth="1"/>
    <col min="13" max="13" width="13.5703125" style="14" bestFit="1" customWidth="1"/>
    <col min="14" max="14" width="12" style="14" customWidth="1"/>
    <col min="15" max="15" width="1.42578125" style="14" customWidth="1"/>
    <col min="16" max="16" width="14.5703125" style="14" bestFit="1" customWidth="1"/>
    <col min="17" max="17" width="10.5703125" style="14" bestFit="1" customWidth="1"/>
    <col min="18" max="19" width="10.140625" style="14" bestFit="1" customWidth="1"/>
    <col min="20" max="20" width="2.42578125" style="14" customWidth="1"/>
    <col min="21" max="21" width="4" style="14" bestFit="1" customWidth="1"/>
    <col min="22" max="22" width="8.140625" style="14" bestFit="1" customWidth="1"/>
    <col min="23" max="25" width="9.140625" style="14"/>
    <col min="26" max="26" width="10.140625" style="14" bestFit="1" customWidth="1"/>
    <col min="27" max="27" width="9.140625" style="14"/>
    <col min="28" max="28" width="2.42578125" style="14" customWidth="1"/>
    <col min="29" max="16384" width="9.140625" style="14"/>
  </cols>
  <sheetData>
    <row r="1" spans="2:14" ht="13.5" thickBot="1" x14ac:dyDescent="0.25">
      <c r="L1" s="60"/>
      <c r="N1" s="50"/>
    </row>
    <row r="2" spans="2:14" ht="13.5" thickBot="1" x14ac:dyDescent="0.25">
      <c r="B2" s="137" t="s">
        <v>96</v>
      </c>
      <c r="C2" s="147" t="str">
        <f>Ativos!$L$18</f>
        <v>AUDCAD</v>
      </c>
      <c r="D2" s="162" t="s">
        <v>51</v>
      </c>
      <c r="E2" s="155">
        <f>Ativos!$L$21</f>
        <v>2.6999999999999247</v>
      </c>
      <c r="G2" s="171" t="s">
        <v>30</v>
      </c>
      <c r="H2" s="182">
        <f>SUM(D5:G5)</f>
        <v>3261.17</v>
      </c>
      <c r="I2" s="371" t="s">
        <v>70</v>
      </c>
      <c r="J2" s="345"/>
      <c r="K2" s="345"/>
      <c r="L2" s="372"/>
    </row>
    <row r="3" spans="2:14" ht="13.5" thickBot="1" x14ac:dyDescent="0.25">
      <c r="B3" s="373" t="s">
        <v>31</v>
      </c>
      <c r="C3" s="374"/>
      <c r="D3" s="377" t="s">
        <v>40</v>
      </c>
      <c r="E3" s="378"/>
      <c r="F3" s="381" t="s">
        <v>28</v>
      </c>
      <c r="G3" s="382"/>
      <c r="H3" s="382"/>
      <c r="I3" s="179" t="s">
        <v>46</v>
      </c>
      <c r="J3" s="184" t="s">
        <v>28</v>
      </c>
      <c r="K3" s="132" t="s">
        <v>48</v>
      </c>
      <c r="L3" s="96" t="s">
        <v>65</v>
      </c>
    </row>
    <row r="4" spans="2:14" ht="13.5" thickBot="1" x14ac:dyDescent="0.25">
      <c r="B4" s="375"/>
      <c r="C4" s="376"/>
      <c r="D4" s="379"/>
      <c r="E4" s="380"/>
      <c r="F4" s="144" t="s">
        <v>42</v>
      </c>
      <c r="G4" s="132" t="s">
        <v>43</v>
      </c>
      <c r="H4" s="133" t="s">
        <v>47</v>
      </c>
      <c r="I4" s="183"/>
      <c r="J4" s="126" t="str">
        <f>IF(I4="","",IF(N10="","",IF(B10=0,"",I4*N10)))</f>
        <v/>
      </c>
      <c r="K4" s="126" t="str">
        <f>IF(J4="","",IF(D5="","",100*J4/D5))</f>
        <v/>
      </c>
      <c r="L4" s="176" t="str">
        <f>IF(I4="","",IF(I10="","",IF(B10="","",IF(B10=0,"",IF(J4="","",I10+(J4-F5-G5)/N19/B10/J11)))))</f>
        <v/>
      </c>
    </row>
    <row r="5" spans="2:14" ht="13.5" thickBot="1" x14ac:dyDescent="0.25">
      <c r="B5" s="383">
        <f>D5+F5</f>
        <v>3261.17</v>
      </c>
      <c r="C5" s="384"/>
      <c r="D5" s="385">
        <f>CLog!$Z$42</f>
        <v>3261.17</v>
      </c>
      <c r="E5" s="386"/>
      <c r="F5" s="129">
        <f>IF(J10="",0,J10)</f>
        <v>0</v>
      </c>
      <c r="G5" s="31" t="str">
        <f>K10</f>
        <v/>
      </c>
      <c r="H5" s="122">
        <f>IF(F5="",IF(G5="","",G5),IF(G5="",F5,F5+G5))</f>
        <v>0</v>
      </c>
      <c r="I5" s="103" t="str">
        <f>IF(J5="","",IF(N10="","",J5/N10))</f>
        <v/>
      </c>
      <c r="J5" s="32" t="str">
        <f>IF(K5="","",K5*D5/100)</f>
        <v/>
      </c>
      <c r="K5" s="95" t="str">
        <f>IF(L5="","",100*B10*N19*J11*(L5-D10)/D5)</f>
        <v/>
      </c>
      <c r="L5" s="280"/>
      <c r="M5" s="326" t="s">
        <v>131</v>
      </c>
      <c r="N5" s="327">
        <f>[3]CRe!$P$32</f>
        <v>1.0120091755496351E-2</v>
      </c>
    </row>
    <row r="6" spans="2:14" ht="13.5" thickBot="1" x14ac:dyDescent="0.25">
      <c r="B6" s="388" t="s">
        <v>32</v>
      </c>
      <c r="C6" s="389"/>
      <c r="D6" s="390">
        <f>Ativos!$L$19</f>
        <v>0.98751999999999995</v>
      </c>
      <c r="E6" s="391"/>
      <c r="F6" s="130">
        <f>IF(F5="","",100*F5/D5)</f>
        <v>0</v>
      </c>
      <c r="G6" s="32" t="str">
        <f>IF(G5="","",100*G5/D5)</f>
        <v/>
      </c>
      <c r="H6" s="33">
        <f>IF(H5="","",100*(H2/D5-1))</f>
        <v>0</v>
      </c>
      <c r="I6" s="125" t="s">
        <v>73</v>
      </c>
      <c r="J6" s="126" t="str">
        <f>IF(K6="","",K6*D5/100)</f>
        <v/>
      </c>
      <c r="K6" s="127" t="str">
        <f>IF(L6="","",100*B10*N19*J11*(L6-D10)/D5)</f>
        <v/>
      </c>
      <c r="L6" s="324" t="str">
        <f>IF(J15&lt;&gt;"",J15,IF(H16="","",H16))</f>
        <v/>
      </c>
      <c r="M6" s="328" t="s">
        <v>133</v>
      </c>
      <c r="N6" s="330">
        <f>IF(N17="","",IF(N5="","",N17/N5))</f>
        <v>49.406666666677566</v>
      </c>
    </row>
    <row r="7" spans="2:14" ht="13.5" thickBot="1" x14ac:dyDescent="0.25">
      <c r="B7" s="392" t="s">
        <v>33</v>
      </c>
      <c r="C7" s="393"/>
      <c r="D7" s="394">
        <f>Ativos!$L$20</f>
        <v>0.98724999999999996</v>
      </c>
      <c r="E7" s="395"/>
      <c r="F7" s="381" t="s">
        <v>29</v>
      </c>
      <c r="G7" s="382"/>
      <c r="H7" s="387"/>
      <c r="I7" s="172" t="s">
        <v>49</v>
      </c>
      <c r="J7" s="32">
        <f>IF(K7="","",-K7*D5/100)</f>
        <v>-16.253937479744206</v>
      </c>
      <c r="K7" s="177">
        <f>Risk!$C$13</f>
        <v>0.49840816270676491</v>
      </c>
      <c r="L7" s="325" t="str">
        <f>IF(K7="","",IF(I10="","",IF(K7=0,"",IF(B10=0,"",I10-(H2-D5-J7)/N19/B10))))</f>
        <v/>
      </c>
      <c r="M7" s="93" t="s">
        <v>67</v>
      </c>
      <c r="N7" s="329">
        <f>IF(N17="","",IF(K7="","",IF(K7=0,"",N17/K7)))</f>
        <v>1.0031938427424425</v>
      </c>
    </row>
    <row r="8" spans="2:14" ht="12.75" customHeight="1" x14ac:dyDescent="0.2">
      <c r="B8" s="398" t="s">
        <v>41</v>
      </c>
      <c r="C8" s="364" t="s">
        <v>71</v>
      </c>
      <c r="D8" s="368" t="s">
        <v>44</v>
      </c>
      <c r="E8" s="368" t="s">
        <v>45</v>
      </c>
      <c r="F8" s="364" t="s">
        <v>53</v>
      </c>
      <c r="G8" s="401" t="s">
        <v>109</v>
      </c>
      <c r="H8" s="366"/>
      <c r="I8" s="368" t="s">
        <v>65</v>
      </c>
      <c r="J8" s="366" t="s">
        <v>123</v>
      </c>
      <c r="K8" s="364" t="s">
        <v>28</v>
      </c>
      <c r="L8" s="358" t="s">
        <v>29</v>
      </c>
      <c r="M8" s="360" t="s">
        <v>75</v>
      </c>
      <c r="N8" s="361"/>
    </row>
    <row r="9" spans="2:14" ht="13.5" thickBot="1" x14ac:dyDescent="0.25">
      <c r="B9" s="399"/>
      <c r="C9" s="400"/>
      <c r="D9" s="365"/>
      <c r="E9" s="365"/>
      <c r="F9" s="365"/>
      <c r="G9" s="402"/>
      <c r="H9" s="367"/>
      <c r="I9" s="365"/>
      <c r="J9" s="367"/>
      <c r="K9" s="365"/>
      <c r="L9" s="359"/>
      <c r="M9" s="99" t="s">
        <v>52</v>
      </c>
      <c r="N9" s="55" t="s">
        <v>53</v>
      </c>
    </row>
    <row r="10" spans="2:14" ht="13.5" thickBot="1" x14ac:dyDescent="0.25">
      <c r="B10" s="105" t="str">
        <f>IF(B11&lt;&gt;"",B11,IF(H18="","",H18))</f>
        <v/>
      </c>
      <c r="C10" s="106" t="str">
        <f>IF(B10="","",IF(B10&gt;0,N19*B10*D6/D5,-N19*B10*D7/D5))</f>
        <v/>
      </c>
      <c r="D10" s="107" t="str">
        <f>IF(D11&lt;&gt;"",D11,IF(H17="","",H17))</f>
        <v/>
      </c>
      <c r="E10" s="107" t="str">
        <f>IF(E11&lt;&gt;"",E11,IF(J19="","",J19))</f>
        <v/>
      </c>
      <c r="F10" s="98" t="str">
        <f>IF(B10="","",IF(D10="","",IF(E10="","",B10*N$19*J11*(E10-D10))))</f>
        <v/>
      </c>
      <c r="G10" s="167">
        <v>0</v>
      </c>
      <c r="H10" s="168"/>
      <c r="I10" s="104" t="str">
        <f>IF(B10="","",IF(B10&gt;0,D$7,D$6))</f>
        <v/>
      </c>
      <c r="J10" s="128" t="str">
        <f>IF(B10="","",IF(H10="t",B10*N$19*(E10-D10)+G10,IF(H10="s",B10*N$19*(L6-D10)+G10,"")))</f>
        <v/>
      </c>
      <c r="K10" s="98" t="str">
        <f>IF(B10="","",IF(H10="",B10*N19*J11*(I10-D10)+G10,""))</f>
        <v/>
      </c>
      <c r="L10" s="102" t="str">
        <f>IF(B10="","",IF(H10&lt;&gt;"",100*J10/D$5,100*K10/D$5))</f>
        <v/>
      </c>
      <c r="M10" s="115" t="str">
        <f>IF(E10="","",E10)</f>
        <v/>
      </c>
      <c r="N10" s="102" t="str">
        <f>IF(B10="","",IF(D10="","",IF(M10="","",B10*N$19*J11*(M10-D10))))</f>
        <v/>
      </c>
    </row>
    <row r="11" spans="2:14" ht="13.5" thickBot="1" x14ac:dyDescent="0.25">
      <c r="B11" s="288"/>
      <c r="C11" s="314" t="s">
        <v>79</v>
      </c>
      <c r="D11" s="315"/>
      <c r="E11" s="114"/>
      <c r="G11" s="162" t="s">
        <v>100</v>
      </c>
      <c r="H11" s="169">
        <f>Ativos!$L$23</f>
        <v>10000</v>
      </c>
      <c r="I11" s="223" t="s">
        <v>114</v>
      </c>
      <c r="J11" s="242">
        <f>Ativos!$L$24</f>
        <v>0.75232906675307853</v>
      </c>
      <c r="M11" s="100" t="s">
        <v>56</v>
      </c>
      <c r="N11" s="101" t="str">
        <f>IF(F10="","",F10+G10)</f>
        <v/>
      </c>
    </row>
    <row r="12" spans="2:14" ht="13.5" thickBot="1" x14ac:dyDescent="0.25">
      <c r="B12" s="316">
        <f>D5/N19/3</f>
        <v>1.0870566666666666E-2</v>
      </c>
      <c r="C12" s="317" t="s">
        <v>130</v>
      </c>
      <c r="D12" s="131"/>
      <c r="G12" s="14"/>
      <c r="I12" s="108"/>
      <c r="K12" s="15"/>
      <c r="M12" s="57" t="s">
        <v>54</v>
      </c>
      <c r="N12" s="56" t="str">
        <f>IF(N11="","",100*N11/D5)</f>
        <v/>
      </c>
    </row>
    <row r="13" spans="2:14" ht="13.5" thickBot="1" x14ac:dyDescent="0.25">
      <c r="B13" s="15"/>
      <c r="D13" s="403" t="s">
        <v>127</v>
      </c>
      <c r="E13" s="404"/>
      <c r="F13" s="405" t="s">
        <v>128</v>
      </c>
      <c r="G13" s="404"/>
      <c r="H13" s="298" t="s">
        <v>74</v>
      </c>
      <c r="I13" s="369" t="s">
        <v>112</v>
      </c>
      <c r="J13" s="370"/>
      <c r="M13" s="58" t="s">
        <v>125</v>
      </c>
      <c r="N13" s="59" t="str">
        <f>IF(N11="","",IF(J6="","",IF(J6=0,9999.9999,IF(J6&gt;0,"No Loss",-N11/J6))))</f>
        <v/>
      </c>
    </row>
    <row r="14" spans="2:14" ht="13.5" thickBot="1" x14ac:dyDescent="0.25">
      <c r="B14" s="15"/>
      <c r="C14" s="109" t="s">
        <v>76</v>
      </c>
      <c r="D14" s="116"/>
      <c r="E14" s="305" t="str">
        <f>IF(D14="","",D14)</f>
        <v/>
      </c>
      <c r="F14" s="299"/>
      <c r="G14" s="136" t="str">
        <f>IF(F14="","",F14)</f>
        <v/>
      </c>
      <c r="H14" s="174"/>
      <c r="I14" s="222" t="s">
        <v>113</v>
      </c>
      <c r="J14" s="226"/>
      <c r="M14" s="362" t="s">
        <v>82</v>
      </c>
      <c r="N14" s="363"/>
    </row>
    <row r="15" spans="2:14" ht="13.5" thickBot="1" x14ac:dyDescent="0.25">
      <c r="C15" s="110" t="s">
        <v>77</v>
      </c>
      <c r="D15" s="118">
        <v>20</v>
      </c>
      <c r="E15" s="306">
        <v>3</v>
      </c>
      <c r="F15" s="300">
        <v>15</v>
      </c>
      <c r="G15" s="297">
        <v>1</v>
      </c>
      <c r="H15" s="227" t="str">
        <f>IF(D$24="x",IF(E$24="",IF(F$24="",IF(G$24="",D15,""),""),""),IF(E$24="x",IF(F$24="",IF(G$24="",E15,""),""),IF(F$24="x",IF(G$24="",F15,""),IF(G$24="x",G15,""))))</f>
        <v/>
      </c>
      <c r="I15" s="93" t="s">
        <v>73</v>
      </c>
      <c r="J15" s="178" t="str">
        <f>IF(J14="","",IF(H15="","",IF(B10="","",IF(B10&gt;0,J14-H15/$H$11,IF(B10&lt;0,J14+H15/$H$11,"")))))</f>
        <v/>
      </c>
      <c r="K15" s="396" t="s">
        <v>129</v>
      </c>
      <c r="L15" s="406"/>
      <c r="M15" s="89" t="s">
        <v>84</v>
      </c>
      <c r="N15" s="124">
        <v>0.5</v>
      </c>
    </row>
    <row r="16" spans="2:14" ht="13.5" thickBot="1" x14ac:dyDescent="0.25">
      <c r="C16" s="111" t="s">
        <v>73</v>
      </c>
      <c r="D16" s="112" t="str">
        <f>IF(D14="","",IF(D15="","",D14-D15/$H$11))</f>
        <v/>
      </c>
      <c r="E16" s="307" t="str">
        <f>IF(E14="","",IF(E15="","",E14-E15/$H$11))</f>
        <v/>
      </c>
      <c r="F16" s="188" t="str">
        <f>IF(F14="","",IF(F15="","",F14+F15/$H$11))</f>
        <v/>
      </c>
      <c r="G16" s="82" t="str">
        <f>IF(G14="","",IF(G15="","",G14+G15/$H$11))</f>
        <v/>
      </c>
      <c r="H16" s="173" t="str">
        <f>IF(D$24="x",IF(E$24="",IF(F$24="",IF(G$24="",D16,""),""),""),IF(E$24="x",IF(F$24="",IF(G$24="",E16,""),""),IF(F$24="x",IF(G$24="",F16,""),IF(G$24="x",G16,""))))</f>
        <v/>
      </c>
      <c r="I16" s="14"/>
      <c r="J16" s="15"/>
      <c r="K16" s="181" t="s">
        <v>31</v>
      </c>
      <c r="L16" s="338" t="s">
        <v>64</v>
      </c>
      <c r="M16" s="90" t="s">
        <v>80</v>
      </c>
      <c r="N16" s="86">
        <v>20</v>
      </c>
    </row>
    <row r="17" spans="1:28" x14ac:dyDescent="0.2">
      <c r="C17" s="109" t="s">
        <v>72</v>
      </c>
      <c r="D17" s="159" t="str">
        <f>IF(D16="","",D6)</f>
        <v/>
      </c>
      <c r="E17" s="308" t="str">
        <f>IF(E16="","",D6)</f>
        <v/>
      </c>
      <c r="F17" s="301" t="str">
        <f>IF(F16="","",D7)</f>
        <v/>
      </c>
      <c r="G17" s="160" t="str">
        <f>IF(G16="","",D7)</f>
        <v/>
      </c>
      <c r="H17" s="180" t="str">
        <f>IF(D11&lt;&gt;"",D11,IF(D$24="x",IF(E$24="",IF(F$24="",IF(G$24="",D17,""),""),""),IF(E$24="x",IF(F$24="",IF(G$24="",E17,""),""),IF(F$24="x",IF(G$24="",F17,""),IF(G$24="x",G17,"")))))</f>
        <v/>
      </c>
      <c r="I17" s="396" t="s">
        <v>104</v>
      </c>
      <c r="J17" s="397"/>
      <c r="K17" s="339">
        <v>10000</v>
      </c>
      <c r="L17" s="340" t="str">
        <f>IF(H18="","",IF(K17="","",IF(D5="","",H18*K17/D5)))</f>
        <v/>
      </c>
      <c r="M17" s="336" t="s">
        <v>81</v>
      </c>
      <c r="N17" s="92">
        <f>IF(N15="","",IF(N16="","",IF(K7="","",IF(K7&lt;N15,N15,N15+N16*(K7-N15)/100))))</f>
        <v>0.5</v>
      </c>
    </row>
    <row r="18" spans="1:28" ht="13.5" thickBot="1" x14ac:dyDescent="0.25">
      <c r="A18" s="94"/>
      <c r="C18" s="189" t="s">
        <v>64</v>
      </c>
      <c r="D18" s="97" t="str">
        <f>IF(D17="","",IF(N17="","",N17*D5/100/(D17-D16)/N19/J11))</f>
        <v/>
      </c>
      <c r="E18" s="293" t="str">
        <f>IF(E17="","",IF(N17="","",N17*D5/100/(E17-E16)/N19/J11))</f>
        <v/>
      </c>
      <c r="F18" s="302" t="str">
        <f>IF(F17="","",IF(N17="","",N17*D5/100/(F17-F16)/N19/J11))</f>
        <v/>
      </c>
      <c r="G18" s="161" t="str">
        <f>IF(G17="","",IF(N17="","",N17*D5/100/(G17-G16)/N19/J11))</f>
        <v/>
      </c>
      <c r="H18" s="194" t="str">
        <f>IF(B11&lt;&gt;"",B11,IF(D$24="x",IF(E$24="",IF(F$24="",IF(G$24="",D18,""),""),""),IF(E$24="x",IF(F$24="",IF(G$24="",E18,""),""),IF(F$24="x",IF(G$24="",F18,""),IF(G$24="x",G18,"")))))</f>
        <v/>
      </c>
      <c r="I18" s="181" t="s">
        <v>105</v>
      </c>
      <c r="J18" s="335" t="s">
        <v>65</v>
      </c>
      <c r="K18" s="225" t="s">
        <v>130</v>
      </c>
      <c r="L18" s="293">
        <f>IF(K17="","",K17/N19/J11/3)</f>
        <v>4.4306852953580812E-2</v>
      </c>
      <c r="M18" s="337" t="s">
        <v>83</v>
      </c>
      <c r="N18" s="87">
        <f>IF(N17="","",N17*D5/100)</f>
        <v>16.30585</v>
      </c>
      <c r="O18" s="94"/>
      <c r="AB18" s="94"/>
    </row>
    <row r="19" spans="1:28" ht="13.5" thickBot="1" x14ac:dyDescent="0.25">
      <c r="C19" s="135" t="s">
        <v>101</v>
      </c>
      <c r="D19" s="309" t="str">
        <f>IF(D18="","",D$17+(D$17-D$16))</f>
        <v/>
      </c>
      <c r="E19" s="305" t="str">
        <f>IF(E18="","",E$17+(E$17-E$16))</f>
        <v/>
      </c>
      <c r="F19" s="303" t="str">
        <f>IF(F18="","",F$17-(F$16-F$17))</f>
        <v/>
      </c>
      <c r="G19" s="136" t="str">
        <f>IF(G18="","",G$17-(G$16-G$17))</f>
        <v/>
      </c>
      <c r="H19" s="196" t="str">
        <f t="shared" ref="H19" si="0">IF(H18="","",H$17+(H$17-H$16))</f>
        <v/>
      </c>
      <c r="I19" s="191" t="s">
        <v>85</v>
      </c>
      <c r="J19" s="186" t="str">
        <f>IF(I19="x",H19,IF(I20="x",H20,IF(I21="x",H21,IF(I22="x",H22,IF(I23="x",H23,"")))))</f>
        <v/>
      </c>
      <c r="M19" s="88" t="s">
        <v>55</v>
      </c>
      <c r="N19" s="203">
        <f>Ativos!$L$22</f>
        <v>100000</v>
      </c>
    </row>
    <row r="20" spans="1:28" ht="13.5" thickBot="1" x14ac:dyDescent="0.25">
      <c r="C20" s="57" t="s">
        <v>102</v>
      </c>
      <c r="D20" s="310" t="str">
        <f>IF(D19="","",D$17+2*(D$17-D$16))</f>
        <v/>
      </c>
      <c r="E20" s="311" t="str">
        <f>IF(E19="","",E$17+2*(E$17-E$16))</f>
        <v/>
      </c>
      <c r="F20" s="187" t="str">
        <f>IF(F19="","",F$17-2*(F$16-F$17))</f>
        <v/>
      </c>
      <c r="G20" s="170" t="str">
        <f>IF(G19="","",G$17-2*(G$16-G$17))</f>
        <v/>
      </c>
      <c r="H20" s="197" t="str">
        <f>IF(H19="","",H$17+2*(H$17-H$16))</f>
        <v/>
      </c>
      <c r="I20" s="192"/>
      <c r="J20" s="15"/>
      <c r="M20" s="85" t="s">
        <v>68</v>
      </c>
      <c r="N20" s="234">
        <v>500</v>
      </c>
    </row>
    <row r="21" spans="1:28" ht="13.5" thickBot="1" x14ac:dyDescent="0.25">
      <c r="C21" s="57" t="s">
        <v>103</v>
      </c>
      <c r="D21" s="112" t="str">
        <f>IF(D20="","",D$17+3*(D$17-D$16))</f>
        <v/>
      </c>
      <c r="E21" s="307" t="str">
        <f>IF(E20="","",E$17+3*(E$17-E$16))</f>
        <v/>
      </c>
      <c r="F21" s="188" t="str">
        <f>IF(F20="","",F$17-3*(F$16-F$17))</f>
        <v/>
      </c>
      <c r="G21" s="82" t="str">
        <f>IF(G20="","",G$17-3*(G$16-G$17))</f>
        <v/>
      </c>
      <c r="H21" s="197" t="str">
        <f>IF(H20="","",H$17+3*(H$17-H$16))</f>
        <v/>
      </c>
      <c r="I21" s="268"/>
      <c r="J21" s="381" t="s">
        <v>124</v>
      </c>
      <c r="K21" s="387"/>
      <c r="M21" s="121" t="s">
        <v>69</v>
      </c>
      <c r="N21" s="84">
        <f>IF(D5="","",IF(N19="","",IF(N20="","",D5*N20/N19/D6)))</f>
        <v>16.511918745949448</v>
      </c>
    </row>
    <row r="22" spans="1:28" x14ac:dyDescent="0.2">
      <c r="C22" s="57" t="s">
        <v>106</v>
      </c>
      <c r="D22" s="310" t="str">
        <f>IF(D21="","",D$17+4*(D$17-D$16))</f>
        <v/>
      </c>
      <c r="E22" s="311" t="str">
        <f>IF(E21="","",E$17+4*(E$17-E$16))</f>
        <v/>
      </c>
      <c r="F22" s="187" t="str">
        <f>IF(F21="","",F$17-4*(F$16-F$17))</f>
        <v/>
      </c>
      <c r="G22" s="170" t="str">
        <f>IF(G21="","",G$17-4*(G$16-G$17))</f>
        <v/>
      </c>
      <c r="H22" s="197" t="str">
        <f>IF(H21="","",H$17+4*(H$17-H$16))</f>
        <v/>
      </c>
      <c r="I22" s="268"/>
      <c r="J22" s="281"/>
      <c r="K22" s="282" t="str">
        <f>IF(K23="","",IF(H17="","",(K23-H17)/(H17-H16)))</f>
        <v/>
      </c>
      <c r="L22" s="278" t="s">
        <v>125</v>
      </c>
      <c r="M22" s="15"/>
    </row>
    <row r="23" spans="1:28" ht="13.5" thickBot="1" x14ac:dyDescent="0.25">
      <c r="C23" s="58" t="s">
        <v>107</v>
      </c>
      <c r="D23" s="112" t="str">
        <f>IF(D22="","",D$17+5*(D$17-D$16))</f>
        <v/>
      </c>
      <c r="E23" s="307" t="str">
        <f>IF(E22="","",E$17+5*(E$17-E$16))</f>
        <v/>
      </c>
      <c r="F23" s="188" t="str">
        <f>IF(F22="","",F$17-5*(F$16-F$17))</f>
        <v/>
      </c>
      <c r="G23" s="82" t="str">
        <f>IF(G22="","",G$17-5*(G$16-G$17))</f>
        <v/>
      </c>
      <c r="H23" s="198" t="str">
        <f>IF(H22="","",H$17+5*(H$17-H$16))</f>
        <v/>
      </c>
      <c r="I23" s="269"/>
      <c r="J23" s="277" t="str">
        <f>IF(J22="","",IF(H17="","",H17+J22*(H17-H16)))</f>
        <v/>
      </c>
      <c r="K23" s="280"/>
      <c r="L23" s="279" t="s">
        <v>126</v>
      </c>
    </row>
    <row r="24" spans="1:28" ht="13.5" thickBot="1" x14ac:dyDescent="0.25">
      <c r="C24" s="190" t="s">
        <v>78</v>
      </c>
      <c r="D24" s="119"/>
      <c r="E24" s="312"/>
      <c r="F24" s="304"/>
      <c r="G24" s="123"/>
      <c r="H24" s="195" t="str">
        <f>IF(D$24="x",IF(E$24="",IF(F$24="",IF(G$24="",D13,""),""),""),IF(E$24="x",IF(F$24="",IF(G$24="",D13,""),""),IF(F$24="x",IF(G$24="",F13,""),IF(G$24="x",F13,""))))</f>
        <v/>
      </c>
      <c r="I24" s="14"/>
      <c r="J24" s="15"/>
    </row>
    <row r="25" spans="1:28" x14ac:dyDescent="0.2">
      <c r="I25" s="14"/>
      <c r="J25" s="15"/>
    </row>
    <row r="26" spans="1:28" x14ac:dyDescent="0.2">
      <c r="D26" s="131"/>
      <c r="G26" s="113"/>
      <c r="H26" s="14"/>
      <c r="I26" s="131"/>
      <c r="J26" s="15"/>
    </row>
    <row r="27" spans="1:28" x14ac:dyDescent="0.2">
      <c r="I27" s="131"/>
      <c r="J27" s="15"/>
    </row>
    <row r="28" spans="1:28" x14ac:dyDescent="0.2">
      <c r="I28" s="14"/>
      <c r="J28" s="15"/>
    </row>
    <row r="29" spans="1:28" x14ac:dyDescent="0.2">
      <c r="I29" s="14"/>
      <c r="L29" s="14"/>
    </row>
    <row r="30" spans="1:28" x14ac:dyDescent="0.2">
      <c r="I30" s="14"/>
      <c r="L30" s="14"/>
    </row>
  </sheetData>
  <mergeCells count="30">
    <mergeCell ref="J21:K21"/>
    <mergeCell ref="B6:C6"/>
    <mergeCell ref="D6:E6"/>
    <mergeCell ref="B7:C7"/>
    <mergeCell ref="D7:E7"/>
    <mergeCell ref="F7:H7"/>
    <mergeCell ref="I17:J17"/>
    <mergeCell ref="B8:B9"/>
    <mergeCell ref="C8:C9"/>
    <mergeCell ref="D8:D9"/>
    <mergeCell ref="E8:E9"/>
    <mergeCell ref="F8:F9"/>
    <mergeCell ref="G8:G9"/>
    <mergeCell ref="D13:E13"/>
    <mergeCell ref="F13:G13"/>
    <mergeCell ref="K15:L15"/>
    <mergeCell ref="I2:L2"/>
    <mergeCell ref="B3:C4"/>
    <mergeCell ref="D3:E4"/>
    <mergeCell ref="F3:H3"/>
    <mergeCell ref="B5:C5"/>
    <mergeCell ref="D5:E5"/>
    <mergeCell ref="L8:L9"/>
    <mergeCell ref="M8:N8"/>
    <mergeCell ref="M14:N14"/>
    <mergeCell ref="K8:K9"/>
    <mergeCell ref="H8:H9"/>
    <mergeCell ref="J8:J9"/>
    <mergeCell ref="I8:I9"/>
    <mergeCell ref="I13:J13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0"/>
  <sheetViews>
    <sheetView zoomScale="95" zoomScaleNormal="95" workbookViewId="0">
      <selection activeCell="N13" sqref="N13"/>
    </sheetView>
  </sheetViews>
  <sheetFormatPr defaultRowHeight="12.75" x14ac:dyDescent="0.2"/>
  <cols>
    <col min="1" max="1" width="1.42578125" style="14" customWidth="1"/>
    <col min="2" max="2" width="5.85546875" customWidth="1"/>
    <col min="3" max="3" width="12.42578125" style="16" bestFit="1" customWidth="1"/>
    <col min="4" max="4" width="10.85546875" style="16" bestFit="1" customWidth="1"/>
    <col min="5" max="5" width="10.85546875" style="15" bestFit="1" customWidth="1"/>
    <col min="6" max="6" width="10" style="15" customWidth="1"/>
    <col min="7" max="7" width="9.85546875" style="15" bestFit="1" customWidth="1"/>
    <col min="8" max="8" width="12.7109375" style="15" customWidth="1"/>
    <col min="9" max="9" width="13.28515625" style="15" bestFit="1" customWidth="1"/>
    <col min="10" max="10" width="10" style="14" bestFit="1" customWidth="1"/>
    <col min="11" max="11" width="10.7109375" style="14" bestFit="1" customWidth="1"/>
    <col min="12" max="12" width="10" style="15" bestFit="1" customWidth="1"/>
    <col min="13" max="13" width="13.5703125" style="14" bestFit="1" customWidth="1"/>
    <col min="14" max="14" width="12" style="14" customWidth="1"/>
    <col min="15" max="15" width="1.42578125" style="14" customWidth="1"/>
    <col min="16" max="16" width="14.5703125" style="14" bestFit="1" customWidth="1"/>
    <col min="17" max="17" width="10.5703125" style="14" bestFit="1" customWidth="1"/>
    <col min="18" max="19" width="10.140625" style="14" bestFit="1" customWidth="1"/>
    <col min="20" max="20" width="2.42578125" style="14" customWidth="1"/>
    <col min="21" max="21" width="4" style="14" bestFit="1" customWidth="1"/>
    <col min="22" max="22" width="8.140625" style="14" bestFit="1" customWidth="1"/>
    <col min="23" max="25" width="9.140625" style="14"/>
    <col min="26" max="26" width="10.140625" style="14" bestFit="1" customWidth="1"/>
    <col min="27" max="27" width="9.140625" style="14"/>
    <col min="28" max="28" width="2.42578125" style="14" customWidth="1"/>
    <col min="29" max="16384" width="9.140625" style="14"/>
  </cols>
  <sheetData>
    <row r="1" spans="2:14" ht="13.5" thickBot="1" x14ac:dyDescent="0.25">
      <c r="L1" s="60"/>
      <c r="N1" s="50"/>
    </row>
    <row r="2" spans="2:14" ht="13.5" thickBot="1" x14ac:dyDescent="0.25">
      <c r="B2" s="204" t="s">
        <v>96</v>
      </c>
      <c r="C2" s="147" t="str">
        <f>Ativos!$N$18</f>
        <v>AUDUSD</v>
      </c>
      <c r="D2" s="204" t="s">
        <v>51</v>
      </c>
      <c r="E2" s="155">
        <f>Ativos!$N$21</f>
        <v>1.8000000000006899</v>
      </c>
      <c r="G2" s="171" t="s">
        <v>30</v>
      </c>
      <c r="H2" s="182">
        <f>SUM(D5:G5)</f>
        <v>3261.17</v>
      </c>
      <c r="I2" s="371" t="s">
        <v>70</v>
      </c>
      <c r="J2" s="345"/>
      <c r="K2" s="345"/>
      <c r="L2" s="372"/>
    </row>
    <row r="3" spans="2:14" ht="13.5" thickBot="1" x14ac:dyDescent="0.25">
      <c r="B3" s="373" t="s">
        <v>31</v>
      </c>
      <c r="C3" s="374"/>
      <c r="D3" s="377" t="s">
        <v>40</v>
      </c>
      <c r="E3" s="378"/>
      <c r="F3" s="381" t="s">
        <v>28</v>
      </c>
      <c r="G3" s="382"/>
      <c r="H3" s="382"/>
      <c r="I3" s="206" t="s">
        <v>46</v>
      </c>
      <c r="J3" s="184" t="s">
        <v>28</v>
      </c>
      <c r="K3" s="132" t="s">
        <v>48</v>
      </c>
      <c r="L3" s="96" t="s">
        <v>65</v>
      </c>
    </row>
    <row r="4" spans="2:14" ht="13.5" thickBot="1" x14ac:dyDescent="0.25">
      <c r="B4" s="375"/>
      <c r="C4" s="376"/>
      <c r="D4" s="379"/>
      <c r="E4" s="380"/>
      <c r="F4" s="144" t="s">
        <v>42</v>
      </c>
      <c r="G4" s="132" t="s">
        <v>43</v>
      </c>
      <c r="H4" s="133" t="s">
        <v>47</v>
      </c>
      <c r="I4" s="183"/>
      <c r="J4" s="126" t="str">
        <f>IF(I4="","",IF(N10="","",IF(B10=0,"",I4*N10)))</f>
        <v/>
      </c>
      <c r="K4" s="126" t="str">
        <f>IF(J4="","",IF(D5="","",100*J4/D5))</f>
        <v/>
      </c>
      <c r="L4" s="176" t="str">
        <f>IF(I4="","",IF(I10="","",IF(B10="","",IF(B10=0,"",IF(J4="","",I10+(J4-F5-G5)/N19/B10/J11)))))</f>
        <v/>
      </c>
    </row>
    <row r="5" spans="2:14" ht="13.5" thickBot="1" x14ac:dyDescent="0.25">
      <c r="B5" s="383">
        <f>D5+F5</f>
        <v>3261.17</v>
      </c>
      <c r="C5" s="384"/>
      <c r="D5" s="407">
        <f>CLog!$Z$42</f>
        <v>3261.17</v>
      </c>
      <c r="E5" s="408"/>
      <c r="F5" s="129">
        <f>IF(J10="",0,J10)</f>
        <v>0</v>
      </c>
      <c r="G5" s="31" t="str">
        <f>K10</f>
        <v/>
      </c>
      <c r="H5" s="122">
        <f>IF(F5="",IF(G5="","",G5),IF(G5="",F5,F5+G5))</f>
        <v>0</v>
      </c>
      <c r="I5" s="103" t="str">
        <f>IF(J5="","",IF(N10="","",J5/N10))</f>
        <v/>
      </c>
      <c r="J5" s="32" t="str">
        <f>IF(K5="","",K5*D5/100)</f>
        <v/>
      </c>
      <c r="K5" s="95" t="str">
        <f>IF(L5="","",100*B10*N19*J11*(L5-D10)/D5)</f>
        <v/>
      </c>
      <c r="L5" s="175"/>
      <c r="M5" s="326" t="s">
        <v>131</v>
      </c>
      <c r="N5" s="327">
        <f>[3]CRe!$P$32</f>
        <v>1.0120091755496351E-2</v>
      </c>
    </row>
    <row r="6" spans="2:14" ht="13.5" thickBot="1" x14ac:dyDescent="0.25">
      <c r="B6" s="388" t="s">
        <v>32</v>
      </c>
      <c r="C6" s="389"/>
      <c r="D6" s="390">
        <f>Ativos!$N$19</f>
        <v>0.74294000000000004</v>
      </c>
      <c r="E6" s="391"/>
      <c r="F6" s="130">
        <f>IF(F5="","",100*F5/D5)</f>
        <v>0</v>
      </c>
      <c r="G6" s="32" t="str">
        <f>IF(G5="","",100*G5/D5)</f>
        <v/>
      </c>
      <c r="H6" s="33">
        <f>IF(H5="","",100*(H2/D5-1))</f>
        <v>0</v>
      </c>
      <c r="I6" s="125" t="s">
        <v>73</v>
      </c>
      <c r="J6" s="126" t="str">
        <f>IF(K6="","",K6*D5/100)</f>
        <v/>
      </c>
      <c r="K6" s="127" t="str">
        <f>IF(L6="","",100*B10*N19*J11*(L6-D10)/D5)</f>
        <v/>
      </c>
      <c r="L6" s="176" t="str">
        <f>IF(J15&lt;&gt;"",J15,IF(H16="","",H16))</f>
        <v/>
      </c>
      <c r="M6" s="328" t="s">
        <v>133</v>
      </c>
      <c r="N6" s="330">
        <f>IF(N17="","",IF(N5="","",N17/N5))</f>
        <v>49.406666666677566</v>
      </c>
    </row>
    <row r="7" spans="2:14" ht="13.5" thickBot="1" x14ac:dyDescent="0.25">
      <c r="B7" s="392" t="s">
        <v>33</v>
      </c>
      <c r="C7" s="393"/>
      <c r="D7" s="394">
        <f>Ativos!$N$20</f>
        <v>0.74275999999999998</v>
      </c>
      <c r="E7" s="395"/>
      <c r="F7" s="381" t="s">
        <v>29</v>
      </c>
      <c r="G7" s="382"/>
      <c r="H7" s="387"/>
      <c r="I7" s="206" t="s">
        <v>49</v>
      </c>
      <c r="J7" s="32">
        <f>IF(K7="","",-K7*D5/100)</f>
        <v>-16.253937479744206</v>
      </c>
      <c r="K7" s="177">
        <f>Risk!$C$13</f>
        <v>0.49840816270676491</v>
      </c>
      <c r="L7" s="178" t="str">
        <f>IF(K7="","",IF(I10="","",IF(K7=0,"",IF(B10=0,"",I10-(H2-D5-J7)/N19/B10))))</f>
        <v/>
      </c>
      <c r="M7" s="93" t="s">
        <v>67</v>
      </c>
      <c r="N7" s="329">
        <f>IF(N17="","",IF(K7="","",IF(K7=0,"",N17/K7)))</f>
        <v>1.0031938427424425</v>
      </c>
    </row>
    <row r="8" spans="2:14" ht="12.75" customHeight="1" x14ac:dyDescent="0.2">
      <c r="B8" s="398" t="s">
        <v>41</v>
      </c>
      <c r="C8" s="364" t="s">
        <v>71</v>
      </c>
      <c r="D8" s="368" t="s">
        <v>44</v>
      </c>
      <c r="E8" s="368" t="s">
        <v>45</v>
      </c>
      <c r="F8" s="364" t="s">
        <v>53</v>
      </c>
      <c r="G8" s="401" t="s">
        <v>109</v>
      </c>
      <c r="H8" s="366"/>
      <c r="I8" s="368" t="s">
        <v>65</v>
      </c>
      <c r="J8" s="366" t="s">
        <v>123</v>
      </c>
      <c r="K8" s="364" t="s">
        <v>28</v>
      </c>
      <c r="L8" s="358" t="s">
        <v>29</v>
      </c>
      <c r="M8" s="409" t="s">
        <v>75</v>
      </c>
      <c r="N8" s="410"/>
    </row>
    <row r="9" spans="2:14" ht="13.5" thickBot="1" x14ac:dyDescent="0.25">
      <c r="B9" s="399"/>
      <c r="C9" s="400"/>
      <c r="D9" s="365"/>
      <c r="E9" s="365"/>
      <c r="F9" s="365"/>
      <c r="G9" s="402"/>
      <c r="H9" s="367"/>
      <c r="I9" s="365"/>
      <c r="J9" s="367"/>
      <c r="K9" s="365"/>
      <c r="L9" s="359"/>
      <c r="M9" s="99" t="s">
        <v>52</v>
      </c>
      <c r="N9" s="205" t="s">
        <v>53</v>
      </c>
    </row>
    <row r="10" spans="2:14" ht="13.5" thickBot="1" x14ac:dyDescent="0.25">
      <c r="B10" s="105" t="str">
        <f>IF(B11&lt;&gt;"",B11,IF(H18="","",H18))</f>
        <v/>
      </c>
      <c r="C10" s="106" t="str">
        <f>IF(B10="","",IF(B10&gt;0,N19*B10*D6/D5,-N19*B10*D7/D5))</f>
        <v/>
      </c>
      <c r="D10" s="107" t="str">
        <f>IF(D11&lt;&gt;"",D11,IF(H17="","",H17))</f>
        <v/>
      </c>
      <c r="E10" s="107" t="str">
        <f>IF(E11&lt;&gt;"",E11,IF(J19="","",J19))</f>
        <v/>
      </c>
      <c r="F10" s="98" t="str">
        <f>IF(B10="","",IF(D10="","",IF(E10="","",B10*N$19*J11*(E10-D10))))</f>
        <v/>
      </c>
      <c r="G10" s="167">
        <v>0</v>
      </c>
      <c r="H10" s="168"/>
      <c r="I10" s="104" t="str">
        <f>IF(B10="","",IF(B10&gt;0,D$7,D$6))</f>
        <v/>
      </c>
      <c r="J10" s="128" t="str">
        <f>IF(B10="","",IF(H10="t",B10*N$19*(E10-D10)+G10,IF(H10="s",B10*N$19*(L6-D10)+G10,"")))</f>
        <v/>
      </c>
      <c r="K10" s="98" t="str">
        <f>IF(B10="","",IF(H10="",B10*N19*J11*(I10-D10)+G10,""))</f>
        <v/>
      </c>
      <c r="L10" s="102" t="str">
        <f>IF(B10="","",IF(H10&lt;&gt;"",100*J10/D$5,100*K10/D$5))</f>
        <v/>
      </c>
      <c r="M10" s="115" t="str">
        <f>IF(E10="","",E10)</f>
        <v/>
      </c>
      <c r="N10" s="102" t="str">
        <f>IF(B10="","",IF(D10="","",IF(M10="","",B10*N$19*J11*(M10-D10))))</f>
        <v/>
      </c>
    </row>
    <row r="11" spans="2:14" ht="13.5" thickBot="1" x14ac:dyDescent="0.25">
      <c r="B11" s="288"/>
      <c r="C11" s="314" t="s">
        <v>79</v>
      </c>
      <c r="D11" s="315"/>
      <c r="E11" s="114"/>
      <c r="G11" s="204" t="s">
        <v>100</v>
      </c>
      <c r="H11" s="169">
        <f>Ativos!$N$23</f>
        <v>10000</v>
      </c>
      <c r="I11" s="223" t="s">
        <v>114</v>
      </c>
      <c r="J11" s="242">
        <f>Ativos!$N$24</f>
        <v>1</v>
      </c>
      <c r="M11" s="100" t="s">
        <v>56</v>
      </c>
      <c r="N11" s="101" t="str">
        <f>IF(F10="","",F10+G10)</f>
        <v/>
      </c>
    </row>
    <row r="12" spans="2:14" ht="13.5" thickBot="1" x14ac:dyDescent="0.25">
      <c r="B12" s="316">
        <f>D5/N19/3</f>
        <v>1.0870566666666666E-2</v>
      </c>
      <c r="C12" s="317" t="s">
        <v>130</v>
      </c>
      <c r="D12" s="131"/>
      <c r="G12" s="14"/>
      <c r="I12" s="108"/>
      <c r="K12" s="15"/>
      <c r="M12" s="57" t="s">
        <v>54</v>
      </c>
      <c r="N12" s="56" t="str">
        <f>IF(N11="","",100*N11/D5)</f>
        <v/>
      </c>
    </row>
    <row r="13" spans="2:14" ht="13.5" thickBot="1" x14ac:dyDescent="0.25">
      <c r="B13" s="15"/>
      <c r="D13" s="403" t="s">
        <v>127</v>
      </c>
      <c r="E13" s="404"/>
      <c r="F13" s="405" t="s">
        <v>128</v>
      </c>
      <c r="G13" s="404"/>
      <c r="H13" s="298" t="s">
        <v>74</v>
      </c>
      <c r="I13" s="369" t="s">
        <v>112</v>
      </c>
      <c r="J13" s="370"/>
      <c r="M13" s="58" t="s">
        <v>125</v>
      </c>
      <c r="N13" s="59" t="str">
        <f>IF(N11="","",IF(J6="","",IF(J6=0,9999.9999,IF(J6&gt;0,"No Loss",-N11/J6))))</f>
        <v/>
      </c>
    </row>
    <row r="14" spans="2:14" ht="13.5" thickBot="1" x14ac:dyDescent="0.25">
      <c r="B14" s="15"/>
      <c r="C14" s="109" t="s">
        <v>76</v>
      </c>
      <c r="D14" s="116"/>
      <c r="E14" s="305" t="str">
        <f>IF(D14="","",D14)</f>
        <v/>
      </c>
      <c r="F14" s="299"/>
      <c r="G14" s="136" t="str">
        <f>IF(F14="","",F14)</f>
        <v/>
      </c>
      <c r="H14" s="174"/>
      <c r="I14" s="222" t="s">
        <v>113</v>
      </c>
      <c r="J14" s="226"/>
      <c r="M14" s="362" t="s">
        <v>82</v>
      </c>
      <c r="N14" s="363"/>
    </row>
    <row r="15" spans="2:14" ht="13.5" thickBot="1" x14ac:dyDescent="0.25">
      <c r="C15" s="110" t="s">
        <v>77</v>
      </c>
      <c r="D15" s="331">
        <f>'1'!D15</f>
        <v>20</v>
      </c>
      <c r="E15" s="332">
        <f>'1'!E15</f>
        <v>3</v>
      </c>
      <c r="F15" s="333">
        <f>'1'!F15</f>
        <v>15</v>
      </c>
      <c r="G15" s="334">
        <f>'1'!G15</f>
        <v>1</v>
      </c>
      <c r="H15" s="227" t="str">
        <f>IF(D$24="x",IF(E$24="",IF(F$24="",IF(G$24="",D15,""),""),""),IF(E$24="x",IF(F$24="",IF(G$24="",E15,""),""),IF(F$24="x",IF(G$24="",F15,""),IF(G$24="x",G15,""))))</f>
        <v/>
      </c>
      <c r="I15" s="93" t="s">
        <v>73</v>
      </c>
      <c r="J15" s="178" t="str">
        <f>IF(J14="","",IF(H15="","",IF(B10="","",IF(B10&gt;0,J14-H15/$H$11,IF(B10&lt;0,J14+H15/$H$11,"")))))</f>
        <v/>
      </c>
      <c r="K15" s="396" t="s">
        <v>129</v>
      </c>
      <c r="L15" s="406"/>
      <c r="M15" s="89" t="s">
        <v>84</v>
      </c>
      <c r="N15" s="296">
        <f>'1'!$N$15</f>
        <v>0.5</v>
      </c>
    </row>
    <row r="16" spans="2:14" ht="13.5" thickBot="1" x14ac:dyDescent="0.25">
      <c r="C16" s="111" t="s">
        <v>73</v>
      </c>
      <c r="D16" s="112" t="str">
        <f>IF(D14="","",IF(D15="","",D14-D15/$H$11))</f>
        <v/>
      </c>
      <c r="E16" s="307" t="str">
        <f>IF(E14="","",IF(E15="","",E14-E15/$H$11))</f>
        <v/>
      </c>
      <c r="F16" s="188" t="str">
        <f>IF(F14="","",IF(F15="","",F14+F15/$H$11))</f>
        <v/>
      </c>
      <c r="G16" s="82" t="str">
        <f>IF(G14="","",IF(G15="","",G14+G15/$H$11))</f>
        <v/>
      </c>
      <c r="H16" s="173" t="str">
        <f>IF(D$24="x",IF(E$24="",IF(F$24="",IF(G$24="",D16,""),""),""),IF(E$24="x",IF(F$24="",IF(G$24="",E16,""),""),IF(F$24="x",IF(G$24="",F16,""),IF(G$24="x",G16,""))))</f>
        <v/>
      </c>
      <c r="I16" s="14"/>
      <c r="J16" s="15"/>
      <c r="K16" s="181" t="s">
        <v>31</v>
      </c>
      <c r="L16" s="338" t="s">
        <v>64</v>
      </c>
      <c r="M16" s="90" t="s">
        <v>80</v>
      </c>
      <c r="N16" s="199">
        <f>'1'!$N$16</f>
        <v>20</v>
      </c>
    </row>
    <row r="17" spans="1:28" x14ac:dyDescent="0.2">
      <c r="C17" s="109" t="s">
        <v>72</v>
      </c>
      <c r="D17" s="159" t="str">
        <f>IF(D16="","",D6)</f>
        <v/>
      </c>
      <c r="E17" s="308" t="str">
        <f>IF(E16="","",D6)</f>
        <v/>
      </c>
      <c r="F17" s="301" t="str">
        <f>IF(F16="","",D7)</f>
        <v/>
      </c>
      <c r="G17" s="160" t="str">
        <f>IF(G16="","",D7)</f>
        <v/>
      </c>
      <c r="H17" s="180" t="str">
        <f>IF(D11&lt;&gt;"",D11,IF(D$24="x",IF(E$24="",IF(F$24="",IF(G$24="",D17,""),""),""),IF(E$24="x",IF(F$24="",IF(G$24="",E17,""),""),IF(F$24="x",IF(G$24="",F17,""),IF(G$24="x",G17,"")))))</f>
        <v/>
      </c>
      <c r="I17" s="396" t="s">
        <v>104</v>
      </c>
      <c r="J17" s="397"/>
      <c r="K17" s="341">
        <f>'1'!$K$17</f>
        <v>10000</v>
      </c>
      <c r="L17" s="340" t="str">
        <f>IF(H18="","",IF(K17="","",IF(D5="","",H18*K17/D5)))</f>
        <v/>
      </c>
      <c r="M17" s="336" t="s">
        <v>81</v>
      </c>
      <c r="N17" s="199">
        <f>'1'!N17</f>
        <v>0.5</v>
      </c>
    </row>
    <row r="18" spans="1:28" ht="13.5" thickBot="1" x14ac:dyDescent="0.25">
      <c r="A18" s="94"/>
      <c r="C18" s="189" t="s">
        <v>64</v>
      </c>
      <c r="D18" s="97" t="str">
        <f>IF(D17="","",IF(N17="","",N17*D5/100/(D17-D16)/N19/J11))</f>
        <v/>
      </c>
      <c r="E18" s="293" t="str">
        <f>IF(E17="","",IF(N17="","",N17*D5/100/(E17-E16)/N19/J11))</f>
        <v/>
      </c>
      <c r="F18" s="302" t="str">
        <f>IF(F17="","",IF(N17="","",N17*D5/100/(F17-F16)/N19/J11))</f>
        <v/>
      </c>
      <c r="G18" s="161" t="str">
        <f>IF(G17="","",IF(N17="","",N17*D5/100/(G17-G16)/N19/J11))</f>
        <v/>
      </c>
      <c r="H18" s="194" t="str">
        <f>IF(B11&lt;&gt;"",B11,IF(D$24="x",IF(E$24="",IF(F$24="",IF(G$24="",D18,""),""),""),IF(E$24="x",IF(F$24="",IF(G$24="",E18,""),""),IF(F$24="x",IF(G$24="",F18,""),IF(G$24="x",G18,"")))))</f>
        <v/>
      </c>
      <c r="I18" s="181" t="s">
        <v>105</v>
      </c>
      <c r="J18" s="335" t="s">
        <v>65</v>
      </c>
      <c r="K18" s="225" t="s">
        <v>130</v>
      </c>
      <c r="L18" s="293">
        <f>IF(K17="","",K17/N19/J11/3)</f>
        <v>3.3333333333333333E-2</v>
      </c>
      <c r="M18" s="337" t="s">
        <v>83</v>
      </c>
      <c r="N18" s="321">
        <f>'1'!N18</f>
        <v>16.30585</v>
      </c>
      <c r="O18" s="94"/>
      <c r="AB18" s="94"/>
    </row>
    <row r="19" spans="1:28" ht="13.5" thickBot="1" x14ac:dyDescent="0.25">
      <c r="C19" s="135" t="s">
        <v>101</v>
      </c>
      <c r="D19" s="309" t="str">
        <f>IF(D18="","",D$17+(D$17-D$16))</f>
        <v/>
      </c>
      <c r="E19" s="305" t="str">
        <f>IF(E18="","",E$17+(E$17-E$16))</f>
        <v/>
      </c>
      <c r="F19" s="303" t="str">
        <f>IF(F18="","",F$17-(F$16-F$17))</f>
        <v/>
      </c>
      <c r="G19" s="136" t="str">
        <f>IF(G18="","",G$17-(G$16-G$17))</f>
        <v/>
      </c>
      <c r="H19" s="196" t="str">
        <f t="shared" ref="H19" si="0">IF(H18="","",H$17+(H$17-H$16))</f>
        <v/>
      </c>
      <c r="I19" s="191" t="s">
        <v>85</v>
      </c>
      <c r="J19" s="186" t="str">
        <f>IF(I19="x",H19,IF(I20="x",H20,IF(I21="x",H21,IF(I22="x",H22,IF(I23="x",H23,"")))))</f>
        <v/>
      </c>
      <c r="M19" s="88" t="s">
        <v>55</v>
      </c>
      <c r="N19" s="203">
        <f>Ativos!$N$22</f>
        <v>100000</v>
      </c>
    </row>
    <row r="20" spans="1:28" ht="13.5" thickBot="1" x14ac:dyDescent="0.25">
      <c r="C20" s="57" t="s">
        <v>102</v>
      </c>
      <c r="D20" s="310" t="str">
        <f>IF(D19="","",D$17+2*(D$17-D$16))</f>
        <v/>
      </c>
      <c r="E20" s="311" t="str">
        <f>IF(E19="","",E$17+2*(E$17-E$16))</f>
        <v/>
      </c>
      <c r="F20" s="187" t="str">
        <f>IF(F19="","",F$17-2*(F$16-F$17))</f>
        <v/>
      </c>
      <c r="G20" s="170" t="str">
        <f>IF(G19="","",G$17-2*(G$16-G$17))</f>
        <v/>
      </c>
      <c r="H20" s="197" t="str">
        <f>IF(H19="","",H$17+2*(H$17-H$16))</f>
        <v/>
      </c>
      <c r="I20" s="192"/>
      <c r="J20" s="15"/>
      <c r="M20" s="85" t="s">
        <v>68</v>
      </c>
      <c r="N20" s="322">
        <f>'1'!$N$20</f>
        <v>500</v>
      </c>
    </row>
    <row r="21" spans="1:28" ht="13.5" thickBot="1" x14ac:dyDescent="0.25">
      <c r="C21" s="57" t="s">
        <v>103</v>
      </c>
      <c r="D21" s="112" t="str">
        <f>IF(D20="","",D$17+3*(D$17-D$16))</f>
        <v/>
      </c>
      <c r="E21" s="307" t="str">
        <f>IF(E20="","",E$17+3*(E$17-E$16))</f>
        <v/>
      </c>
      <c r="F21" s="188" t="str">
        <f>IF(F20="","",F$17-3*(F$16-F$17))</f>
        <v/>
      </c>
      <c r="G21" s="82" t="str">
        <f>IF(G20="","",G$17-3*(G$16-G$17))</f>
        <v/>
      </c>
      <c r="H21" s="197" t="str">
        <f>IF(H20="","",H$17+3*(H$17-H$16))</f>
        <v/>
      </c>
      <c r="I21" s="192"/>
      <c r="J21" s="381" t="s">
        <v>124</v>
      </c>
      <c r="K21" s="387"/>
      <c r="M21" s="121" t="s">
        <v>69</v>
      </c>
      <c r="N21" s="84">
        <f>IF(D5="","",IF(N19="","",IF(N20="","",D5*N20/N19/D6)))</f>
        <v>21.947734675747704</v>
      </c>
    </row>
    <row r="22" spans="1:28" x14ac:dyDescent="0.2">
      <c r="C22" s="57" t="s">
        <v>106</v>
      </c>
      <c r="D22" s="310" t="str">
        <f>IF(D21="","",D$17+4*(D$17-D$16))</f>
        <v/>
      </c>
      <c r="E22" s="311" t="str">
        <f>IF(E21="","",E$17+4*(E$17-E$16))</f>
        <v/>
      </c>
      <c r="F22" s="187" t="str">
        <f>IF(F21="","",F$17-4*(F$16-F$17))</f>
        <v/>
      </c>
      <c r="G22" s="170" t="str">
        <f>IF(G21="","",G$17-4*(G$16-G$17))</f>
        <v/>
      </c>
      <c r="H22" s="197" t="str">
        <f>IF(H21="","",H$17+4*(H$17-H$16))</f>
        <v/>
      </c>
      <c r="I22" s="192"/>
      <c r="J22" s="281"/>
      <c r="K22" s="282" t="str">
        <f>IF(K23="","",IF(H17="","",(K23-H17)/(H17-H16)))</f>
        <v/>
      </c>
      <c r="L22" s="278" t="s">
        <v>125</v>
      </c>
      <c r="M22" s="15"/>
    </row>
    <row r="23" spans="1:28" ht="13.5" thickBot="1" x14ac:dyDescent="0.25">
      <c r="C23" s="58" t="s">
        <v>107</v>
      </c>
      <c r="D23" s="112" t="str">
        <f>IF(D22="","",D$17+5*(D$17-D$16))</f>
        <v/>
      </c>
      <c r="E23" s="307" t="str">
        <f>IF(E22="","",E$17+5*(E$17-E$16))</f>
        <v/>
      </c>
      <c r="F23" s="188" t="str">
        <f>IF(F22="","",F$17-5*(F$16-F$17))</f>
        <v/>
      </c>
      <c r="G23" s="82" t="str">
        <f>IF(G22="","",G$17-5*(G$16-G$17))</f>
        <v/>
      </c>
      <c r="H23" s="198" t="str">
        <f>IF(H22="","",H$17+5*(H$17-H$16))</f>
        <v/>
      </c>
      <c r="I23" s="193"/>
      <c r="J23" s="277" t="str">
        <f>IF(J22="","",IF(H17="","",H17+J22*(H17-H16)))</f>
        <v/>
      </c>
      <c r="K23" s="280"/>
      <c r="L23" s="279" t="s">
        <v>126</v>
      </c>
    </row>
    <row r="24" spans="1:28" ht="13.5" thickBot="1" x14ac:dyDescent="0.25">
      <c r="C24" s="190" t="s">
        <v>78</v>
      </c>
      <c r="D24" s="119"/>
      <c r="E24" s="312"/>
      <c r="F24" s="304"/>
      <c r="G24" s="123"/>
      <c r="H24" s="195" t="str">
        <f>IF(D$24="x",IF(E$24="",IF(F$24="",IF(G$24="",D13,""),""),""),IF(E$24="x",IF(F$24="",IF(G$24="",D13,""),""),IF(F$24="x",IF(G$24="",F13,""),IF(G$24="x",F13,""))))</f>
        <v/>
      </c>
      <c r="I24" s="14"/>
      <c r="J24" s="15"/>
    </row>
    <row r="25" spans="1:28" x14ac:dyDescent="0.2">
      <c r="I25" s="14"/>
      <c r="J25" s="15"/>
    </row>
    <row r="26" spans="1:28" x14ac:dyDescent="0.2">
      <c r="G26" s="113"/>
      <c r="H26" s="14"/>
      <c r="I26" s="14"/>
      <c r="J26" s="15"/>
    </row>
    <row r="27" spans="1:28" x14ac:dyDescent="0.2">
      <c r="I27" s="14"/>
      <c r="J27" s="15"/>
    </row>
    <row r="28" spans="1:28" x14ac:dyDescent="0.2">
      <c r="I28" s="14"/>
      <c r="J28" s="15"/>
    </row>
    <row r="29" spans="1:28" x14ac:dyDescent="0.2">
      <c r="I29" s="14"/>
      <c r="L29" s="14"/>
    </row>
    <row r="30" spans="1:28" x14ac:dyDescent="0.2">
      <c r="I30" s="14"/>
      <c r="L30" s="14"/>
    </row>
  </sheetData>
  <mergeCells count="30">
    <mergeCell ref="D13:E13"/>
    <mergeCell ref="F13:G13"/>
    <mergeCell ref="J21:K21"/>
    <mergeCell ref="M8:N8"/>
    <mergeCell ref="M14:N14"/>
    <mergeCell ref="I17:J17"/>
    <mergeCell ref="G8:G9"/>
    <mergeCell ref="H8:H9"/>
    <mergeCell ref="I8:I9"/>
    <mergeCell ref="J8:J9"/>
    <mergeCell ref="K8:K9"/>
    <mergeCell ref="L8:L9"/>
    <mergeCell ref="I13:J13"/>
    <mergeCell ref="K15:L15"/>
    <mergeCell ref="B6:C6"/>
    <mergeCell ref="D6:E6"/>
    <mergeCell ref="B7:C7"/>
    <mergeCell ref="D7:E7"/>
    <mergeCell ref="F7:H7"/>
    <mergeCell ref="B8:B9"/>
    <mergeCell ref="C8:C9"/>
    <mergeCell ref="D8:D9"/>
    <mergeCell ref="E8:E9"/>
    <mergeCell ref="F8:F9"/>
    <mergeCell ref="I2:L2"/>
    <mergeCell ref="B3:C4"/>
    <mergeCell ref="D3:E4"/>
    <mergeCell ref="F3:H3"/>
    <mergeCell ref="B5:C5"/>
    <mergeCell ref="D5:E5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0"/>
  <sheetViews>
    <sheetView zoomScale="95" zoomScaleNormal="95" workbookViewId="0">
      <selection activeCell="C31" sqref="C31"/>
    </sheetView>
  </sheetViews>
  <sheetFormatPr defaultRowHeight="12.75" x14ac:dyDescent="0.2"/>
  <cols>
    <col min="1" max="1" width="1.42578125" style="14" customWidth="1"/>
    <col min="2" max="2" width="5.85546875" customWidth="1"/>
    <col min="3" max="3" width="12.42578125" style="16" bestFit="1" customWidth="1"/>
    <col min="4" max="4" width="10.85546875" style="16" bestFit="1" customWidth="1"/>
    <col min="5" max="5" width="10.85546875" style="15" bestFit="1" customWidth="1"/>
    <col min="6" max="6" width="10" style="15" customWidth="1"/>
    <col min="7" max="7" width="9.85546875" style="15" bestFit="1" customWidth="1"/>
    <col min="8" max="8" width="12.7109375" style="15" customWidth="1"/>
    <col min="9" max="9" width="13.28515625" style="15" bestFit="1" customWidth="1"/>
    <col min="10" max="10" width="10" style="14" bestFit="1" customWidth="1"/>
    <col min="11" max="11" width="10.7109375" style="14" bestFit="1" customWidth="1"/>
    <col min="12" max="12" width="10" style="15" bestFit="1" customWidth="1"/>
    <col min="13" max="13" width="13.5703125" style="14" bestFit="1" customWidth="1"/>
    <col min="14" max="14" width="12" style="14" customWidth="1"/>
    <col min="15" max="15" width="1.42578125" style="14" customWidth="1"/>
    <col min="16" max="16" width="14.5703125" style="14" bestFit="1" customWidth="1"/>
    <col min="17" max="17" width="10.5703125" style="14" bestFit="1" customWidth="1"/>
    <col min="18" max="19" width="10.140625" style="14" bestFit="1" customWidth="1"/>
    <col min="20" max="20" width="2.42578125" style="14" customWidth="1"/>
    <col min="21" max="21" width="4" style="14" bestFit="1" customWidth="1"/>
    <col min="22" max="22" width="8.140625" style="14" bestFit="1" customWidth="1"/>
    <col min="23" max="25" width="9.140625" style="14"/>
    <col min="26" max="26" width="10.140625" style="14" bestFit="1" customWidth="1"/>
    <col min="27" max="27" width="9.140625" style="14"/>
    <col min="28" max="28" width="2.42578125" style="14" customWidth="1"/>
    <col min="29" max="16384" width="9.140625" style="14"/>
  </cols>
  <sheetData>
    <row r="1" spans="2:14" ht="13.5" thickBot="1" x14ac:dyDescent="0.25">
      <c r="L1" s="60"/>
      <c r="N1" s="50"/>
    </row>
    <row r="2" spans="2:14" ht="13.5" thickBot="1" x14ac:dyDescent="0.25">
      <c r="B2" s="219" t="s">
        <v>96</v>
      </c>
      <c r="C2" s="147" t="str">
        <f>Ativos!$P$18</f>
        <v>CHFJPY</v>
      </c>
      <c r="D2" s="219" t="s">
        <v>51</v>
      </c>
      <c r="E2" s="155">
        <f>Ativos!$P$21</f>
        <v>2.5999999999996248</v>
      </c>
      <c r="G2" s="171" t="s">
        <v>30</v>
      </c>
      <c r="H2" s="182">
        <f>SUM(D5:G5)</f>
        <v>3261.17</v>
      </c>
      <c r="I2" s="371" t="s">
        <v>70</v>
      </c>
      <c r="J2" s="345"/>
      <c r="K2" s="345"/>
      <c r="L2" s="372"/>
    </row>
    <row r="3" spans="2:14" ht="13.5" thickBot="1" x14ac:dyDescent="0.25">
      <c r="B3" s="373" t="s">
        <v>31</v>
      </c>
      <c r="C3" s="374"/>
      <c r="D3" s="377" t="s">
        <v>40</v>
      </c>
      <c r="E3" s="378"/>
      <c r="F3" s="381" t="s">
        <v>28</v>
      </c>
      <c r="G3" s="382"/>
      <c r="H3" s="382"/>
      <c r="I3" s="221" t="s">
        <v>46</v>
      </c>
      <c r="J3" s="184" t="s">
        <v>28</v>
      </c>
      <c r="K3" s="132" t="s">
        <v>48</v>
      </c>
      <c r="L3" s="96" t="s">
        <v>65</v>
      </c>
    </row>
    <row r="4" spans="2:14" ht="13.5" thickBot="1" x14ac:dyDescent="0.25">
      <c r="B4" s="375"/>
      <c r="C4" s="376"/>
      <c r="D4" s="379"/>
      <c r="E4" s="380"/>
      <c r="F4" s="144" t="s">
        <v>42</v>
      </c>
      <c r="G4" s="132" t="s">
        <v>43</v>
      </c>
      <c r="H4" s="133" t="s">
        <v>47</v>
      </c>
      <c r="I4" s="183"/>
      <c r="J4" s="126" t="str">
        <f>IF(I4="","",IF(N10="","",IF(B10=0,"",I4*N10)))</f>
        <v/>
      </c>
      <c r="K4" s="126" t="str">
        <f>IF(J4="","",IF(D5="","",100*J4/D5))</f>
        <v/>
      </c>
      <c r="L4" s="176" t="str">
        <f>IF(I4="","",IF(I10="","",IF(B10="","",IF(B10=0,"",IF(J4="","",I10+(J4-F5-G5)/N19/B10/J11)))))</f>
        <v/>
      </c>
    </row>
    <row r="5" spans="2:14" ht="13.5" thickBot="1" x14ac:dyDescent="0.25">
      <c r="B5" s="383">
        <f>D5+F5</f>
        <v>3261.17</v>
      </c>
      <c r="C5" s="384"/>
      <c r="D5" s="407">
        <f>CLog!$Z$42</f>
        <v>3261.17</v>
      </c>
      <c r="E5" s="408"/>
      <c r="F5" s="129">
        <f>IF(J10="",0,J10)</f>
        <v>0</v>
      </c>
      <c r="G5" s="31" t="str">
        <f>K10</f>
        <v/>
      </c>
      <c r="H5" s="122">
        <f>IF(F5="",IF(G5="","",G5),IF(G5="",F5,F5+G5))</f>
        <v>0</v>
      </c>
      <c r="I5" s="103" t="str">
        <f>IF(J5="","",IF(N10="","",J5/N10))</f>
        <v/>
      </c>
      <c r="J5" s="32" t="str">
        <f>IF(K5="","",K5*D5/100)</f>
        <v/>
      </c>
      <c r="K5" s="95" t="str">
        <f>IF(L5="","",100*B10*N19*J11*(L5-D10)/D5)</f>
        <v/>
      </c>
      <c r="L5" s="175"/>
      <c r="M5" s="326" t="s">
        <v>131</v>
      </c>
      <c r="N5" s="327">
        <f>[3]CRe!$P$32</f>
        <v>1.0120091755496351E-2</v>
      </c>
    </row>
    <row r="6" spans="2:14" ht="13.5" thickBot="1" x14ac:dyDescent="0.25">
      <c r="B6" s="388" t="s">
        <v>32</v>
      </c>
      <c r="C6" s="389"/>
      <c r="D6" s="390">
        <f>Ativos!$P$19</f>
        <v>111.032</v>
      </c>
      <c r="E6" s="391"/>
      <c r="F6" s="130">
        <f>IF(F5="","",100*F5/D5)</f>
        <v>0</v>
      </c>
      <c r="G6" s="32" t="str">
        <f>IF(G5="","",100*G5/D5)</f>
        <v/>
      </c>
      <c r="H6" s="33">
        <f>IF(H5="","",100*(H2/D5-1))</f>
        <v>0</v>
      </c>
      <c r="I6" s="125" t="s">
        <v>73</v>
      </c>
      <c r="J6" s="126" t="str">
        <f>IF(K6="","",K6*D5/100)</f>
        <v/>
      </c>
      <c r="K6" s="127" t="str">
        <f>IF(L6="","",100*B10*N19*J11*(L6-D10)/D5)</f>
        <v/>
      </c>
      <c r="L6" s="176" t="str">
        <f>IF(J15&lt;&gt;"",J15,IF(H16="","",H16))</f>
        <v/>
      </c>
      <c r="M6" s="328" t="s">
        <v>133</v>
      </c>
      <c r="N6" s="330">
        <f>IF(N17="","",IF(N5="","",N17/N5))</f>
        <v>49.406666666677566</v>
      </c>
    </row>
    <row r="7" spans="2:14" ht="13.5" thickBot="1" x14ac:dyDescent="0.25">
      <c r="B7" s="392" t="s">
        <v>33</v>
      </c>
      <c r="C7" s="393"/>
      <c r="D7" s="394">
        <f>Ativos!$P$20</f>
        <v>111.006</v>
      </c>
      <c r="E7" s="395"/>
      <c r="F7" s="381" t="s">
        <v>29</v>
      </c>
      <c r="G7" s="382"/>
      <c r="H7" s="387"/>
      <c r="I7" s="221" t="s">
        <v>49</v>
      </c>
      <c r="J7" s="32">
        <f>IF(K7="","",-K7*D5/100)</f>
        <v>-16.253937479744206</v>
      </c>
      <c r="K7" s="177">
        <f>Risk!$C$13</f>
        <v>0.49840816270676491</v>
      </c>
      <c r="L7" s="178" t="str">
        <f>IF(K7="","",IF(I10="","",IF(K7=0,"",IF(B10=0,"",I10-(H2-D5-J7)/N19/B10))))</f>
        <v/>
      </c>
      <c r="M7" s="93" t="s">
        <v>67</v>
      </c>
      <c r="N7" s="329">
        <f>IF(N17="","",IF(K7="","",IF(K7=0,"",N17/K7)))</f>
        <v>1.0031938427424425</v>
      </c>
    </row>
    <row r="8" spans="2:14" ht="12.75" customHeight="1" x14ac:dyDescent="0.2">
      <c r="B8" s="398" t="s">
        <v>41</v>
      </c>
      <c r="C8" s="364" t="s">
        <v>71</v>
      </c>
      <c r="D8" s="368" t="s">
        <v>44</v>
      </c>
      <c r="E8" s="368" t="s">
        <v>45</v>
      </c>
      <c r="F8" s="364" t="s">
        <v>53</v>
      </c>
      <c r="G8" s="401" t="s">
        <v>109</v>
      </c>
      <c r="H8" s="366"/>
      <c r="I8" s="368" t="s">
        <v>65</v>
      </c>
      <c r="J8" s="366" t="s">
        <v>123</v>
      </c>
      <c r="K8" s="364" t="s">
        <v>28</v>
      </c>
      <c r="L8" s="358" t="s">
        <v>29</v>
      </c>
      <c r="M8" s="409" t="s">
        <v>75</v>
      </c>
      <c r="N8" s="410"/>
    </row>
    <row r="9" spans="2:14" ht="13.5" thickBot="1" x14ac:dyDescent="0.25">
      <c r="B9" s="399"/>
      <c r="C9" s="400"/>
      <c r="D9" s="365"/>
      <c r="E9" s="365"/>
      <c r="F9" s="365"/>
      <c r="G9" s="402"/>
      <c r="H9" s="367"/>
      <c r="I9" s="365"/>
      <c r="J9" s="367"/>
      <c r="K9" s="365"/>
      <c r="L9" s="359"/>
      <c r="M9" s="99" t="s">
        <v>52</v>
      </c>
      <c r="N9" s="220" t="s">
        <v>53</v>
      </c>
    </row>
    <row r="10" spans="2:14" ht="13.5" thickBot="1" x14ac:dyDescent="0.25">
      <c r="B10" s="105" t="str">
        <f>IF(B11&lt;&gt;"",B11,IF(H18="","",H18))</f>
        <v/>
      </c>
      <c r="C10" s="106" t="str">
        <f>IF(B10="","",IF(B10&gt;0,N19*B10*D6/D5,-N19*B10*D7/D5))</f>
        <v/>
      </c>
      <c r="D10" s="107" t="str">
        <f>IF(D11&lt;&gt;"",D11,IF(H17="","",H17))</f>
        <v/>
      </c>
      <c r="E10" s="107" t="str">
        <f>IF(E11&lt;&gt;"",E11,IF(J19="","",J19))</f>
        <v/>
      </c>
      <c r="F10" s="98" t="str">
        <f>IF(B10="","",IF(D10="","",IF(E10="","",B10*N$19*J11*(E10-D10))))</f>
        <v/>
      </c>
      <c r="G10" s="167">
        <v>0</v>
      </c>
      <c r="H10" s="168"/>
      <c r="I10" s="104" t="str">
        <f>IF(B10="","",IF(B10&gt;0,D$7,D$6))</f>
        <v/>
      </c>
      <c r="J10" s="128" t="str">
        <f>IF(B10="","",IF(H10="t",B10*N$19*(E10-D10)+G10,IF(H10="s",B10*N$19*(L6-D10)+G10,"")))</f>
        <v/>
      </c>
      <c r="K10" s="98" t="str">
        <f>IF(B10="","",IF(H10="",B10*N19*J11*(I10-D10)+G10,""))</f>
        <v/>
      </c>
      <c r="L10" s="102" t="str">
        <f>IF(B10="","",IF(H10&lt;&gt;"",100*J10/D$5,100*K10/D$5))</f>
        <v/>
      </c>
      <c r="M10" s="115" t="str">
        <f>IF(E10="","",E10)</f>
        <v/>
      </c>
      <c r="N10" s="102" t="str">
        <f>IF(B10="","",IF(D10="","",IF(M10="","",B10*N$19*J11*(M10-D10))))</f>
        <v/>
      </c>
    </row>
    <row r="11" spans="2:14" ht="13.5" thickBot="1" x14ac:dyDescent="0.25">
      <c r="B11" s="288"/>
      <c r="C11" s="314" t="s">
        <v>79</v>
      </c>
      <c r="D11" s="315"/>
      <c r="E11" s="114"/>
      <c r="G11" s="219" t="s">
        <v>100</v>
      </c>
      <c r="H11" s="169">
        <f>Ativos!$P$23</f>
        <v>100</v>
      </c>
      <c r="I11" s="223" t="s">
        <v>114</v>
      </c>
      <c r="J11" s="242">
        <f>Ativos!$P$24</f>
        <v>0.91232551774473136</v>
      </c>
      <c r="M11" s="100" t="s">
        <v>56</v>
      </c>
      <c r="N11" s="101" t="str">
        <f>IF(F10="","",F10+G10)</f>
        <v/>
      </c>
    </row>
    <row r="12" spans="2:14" ht="13.5" thickBot="1" x14ac:dyDescent="0.25">
      <c r="B12" s="316">
        <f>D5/N19/3</f>
        <v>1.0870566666666666</v>
      </c>
      <c r="C12" s="317" t="s">
        <v>130</v>
      </c>
      <c r="D12" s="131"/>
      <c r="G12" s="14"/>
      <c r="I12" s="108"/>
      <c r="K12" s="15"/>
      <c r="M12" s="57" t="s">
        <v>54</v>
      </c>
      <c r="N12" s="56" t="str">
        <f>IF(N11="","",100*N11/D5)</f>
        <v/>
      </c>
    </row>
    <row r="13" spans="2:14" ht="13.5" thickBot="1" x14ac:dyDescent="0.25">
      <c r="B13" s="15"/>
      <c r="D13" s="403" t="s">
        <v>127</v>
      </c>
      <c r="E13" s="404"/>
      <c r="F13" s="405" t="s">
        <v>128</v>
      </c>
      <c r="G13" s="404"/>
      <c r="H13" s="298" t="s">
        <v>74</v>
      </c>
      <c r="I13" s="369" t="s">
        <v>112</v>
      </c>
      <c r="J13" s="370"/>
      <c r="M13" s="58" t="s">
        <v>125</v>
      </c>
      <c r="N13" s="59" t="str">
        <f>IF(N11="","",IF(J6="","",IF(J6=0,9999.9999,IF(J6&gt;0,"No Loss",-N11/J6))))</f>
        <v/>
      </c>
    </row>
    <row r="14" spans="2:14" ht="13.5" thickBot="1" x14ac:dyDescent="0.25">
      <c r="B14" s="15"/>
      <c r="C14" s="109" t="s">
        <v>76</v>
      </c>
      <c r="D14" s="116"/>
      <c r="E14" s="305" t="str">
        <f>IF(D14="","",D14)</f>
        <v/>
      </c>
      <c r="F14" s="299"/>
      <c r="G14" s="136" t="str">
        <f>IF(F14="","",F14)</f>
        <v/>
      </c>
      <c r="H14" s="174"/>
      <c r="I14" s="222" t="s">
        <v>113</v>
      </c>
      <c r="J14" s="226"/>
      <c r="M14" s="362" t="s">
        <v>82</v>
      </c>
      <c r="N14" s="363"/>
    </row>
    <row r="15" spans="2:14" ht="13.5" thickBot="1" x14ac:dyDescent="0.25">
      <c r="C15" s="110" t="s">
        <v>77</v>
      </c>
      <c r="D15" s="331">
        <f>'1'!D15</f>
        <v>20</v>
      </c>
      <c r="E15" s="332">
        <f>'1'!E15</f>
        <v>3</v>
      </c>
      <c r="F15" s="333">
        <f>'1'!F15</f>
        <v>15</v>
      </c>
      <c r="G15" s="334">
        <f>'1'!G15</f>
        <v>1</v>
      </c>
      <c r="H15" s="227" t="str">
        <f>IF(D$24="x",IF(E$24="",IF(F$24="",IF(G$24="",D15,""),""),""),IF(E$24="x",IF(F$24="",IF(G$24="",E15,""),""),IF(F$24="x",IF(G$24="",F15,""),IF(G$24="x",G15,""))))</f>
        <v/>
      </c>
      <c r="I15" s="93" t="s">
        <v>73</v>
      </c>
      <c r="J15" s="178" t="str">
        <f>IF(J14="","",IF(H15="","",IF(B10="","",IF(B10&gt;0,J14-H15/$H$11,IF(B10&lt;0,J14+H15/$H$11,"")))))</f>
        <v/>
      </c>
      <c r="K15" s="396" t="s">
        <v>129</v>
      </c>
      <c r="L15" s="406"/>
      <c r="M15" s="89" t="s">
        <v>84</v>
      </c>
      <c r="N15" s="296">
        <f>'1'!$N$15</f>
        <v>0.5</v>
      </c>
    </row>
    <row r="16" spans="2:14" ht="13.5" thickBot="1" x14ac:dyDescent="0.25">
      <c r="C16" s="111" t="s">
        <v>73</v>
      </c>
      <c r="D16" s="112" t="str">
        <f>IF(D14="","",IF(D15="","",D14-D15/$H$11))</f>
        <v/>
      </c>
      <c r="E16" s="307" t="str">
        <f>IF(E14="","",IF(E15="","",E14-E15/$H$11))</f>
        <v/>
      </c>
      <c r="F16" s="188" t="str">
        <f>IF(F14="","",IF(F15="","",F14+F15/$H$11))</f>
        <v/>
      </c>
      <c r="G16" s="82" t="str">
        <f>IF(G14="","",IF(G15="","",G14+G15/$H$11))</f>
        <v/>
      </c>
      <c r="H16" s="173" t="str">
        <f>IF(D$24="x",IF(E$24="",IF(F$24="",IF(G$24="",D16,""),""),""),IF(E$24="x",IF(F$24="",IF(G$24="",E16,""),""),IF(F$24="x",IF(G$24="",F16,""),IF(G$24="x",G16,""))))</f>
        <v/>
      </c>
      <c r="I16" s="14"/>
      <c r="J16" s="15"/>
      <c r="K16" s="313" t="s">
        <v>31</v>
      </c>
      <c r="L16" s="96" t="s">
        <v>64</v>
      </c>
      <c r="M16" s="90" t="s">
        <v>80</v>
      </c>
      <c r="N16" s="199">
        <f>'1'!$N$16</f>
        <v>20</v>
      </c>
    </row>
    <row r="17" spans="1:28" x14ac:dyDescent="0.2">
      <c r="C17" s="109" t="s">
        <v>72</v>
      </c>
      <c r="D17" s="159" t="str">
        <f>IF(D16="","",D6)</f>
        <v/>
      </c>
      <c r="E17" s="308" t="str">
        <f>IF(E16="","",D6)</f>
        <v/>
      </c>
      <c r="F17" s="301" t="str">
        <f>IF(F16="","",D7)</f>
        <v/>
      </c>
      <c r="G17" s="160" t="str">
        <f>IF(G16="","",D7)</f>
        <v/>
      </c>
      <c r="H17" s="180" t="str">
        <f>IF(D11&lt;&gt;"",D11,IF(D$24="x",IF(E$24="",IF(F$24="",IF(G$24="",D17,""),""),""),IF(E$24="x",IF(F$24="",IF(G$24="",E17,""),""),IF(F$24="x",IF(G$24="",F17,""),IF(G$24="x",G17,"")))))</f>
        <v/>
      </c>
      <c r="I17" s="396" t="s">
        <v>104</v>
      </c>
      <c r="J17" s="406"/>
      <c r="K17" s="341">
        <f>'1'!$K$17</f>
        <v>10000</v>
      </c>
      <c r="L17" s="340" t="str">
        <f>IF(H18="","",IF(K17="","",IF(D5="","",H18*K17/D5)))</f>
        <v/>
      </c>
      <c r="M17" s="90" t="s">
        <v>81</v>
      </c>
      <c r="N17" s="199">
        <f>'1'!N17</f>
        <v>0.5</v>
      </c>
    </row>
    <row r="18" spans="1:28" ht="13.5" thickBot="1" x14ac:dyDescent="0.25">
      <c r="A18" s="94"/>
      <c r="C18" s="189" t="s">
        <v>64</v>
      </c>
      <c r="D18" s="97" t="str">
        <f>IF(D17="","",IF(N17="","",N17*D5/100/(D17-D16)/N19/J11))</f>
        <v/>
      </c>
      <c r="E18" s="293" t="str">
        <f>IF(E17="","",IF(N17="","",N17*D5/100/(E17-E16)/N19/J11))</f>
        <v/>
      </c>
      <c r="F18" s="302" t="str">
        <f>IF(F17="","",IF(N17="","",N17*D5/100/(F17-F16)/N19/J11))</f>
        <v/>
      </c>
      <c r="G18" s="161" t="str">
        <f>IF(G17="","",IF(N17="","",N17*D5/100/(G17-G16)/N19/J11))</f>
        <v/>
      </c>
      <c r="H18" s="194" t="str">
        <f>IF(B11&lt;&gt;"",B11,IF(D$24="x",IF(E$24="",IF(F$24="",IF(G$24="",D18,""),""),""),IF(E$24="x",IF(F$24="",IF(G$24="",E18,""),""),IF(F$24="x",IF(G$24="",F18,""),IF(G$24="x",G18,"")))))</f>
        <v/>
      </c>
      <c r="I18" s="181" t="s">
        <v>105</v>
      </c>
      <c r="J18" s="185" t="s">
        <v>65</v>
      </c>
      <c r="K18" s="225" t="s">
        <v>130</v>
      </c>
      <c r="L18" s="293">
        <f>IF(K17="","",K17/N19/J11/3)</f>
        <v>3.6536666666666666</v>
      </c>
      <c r="M18" s="91" t="s">
        <v>83</v>
      </c>
      <c r="N18" s="321">
        <f>'1'!N18</f>
        <v>16.30585</v>
      </c>
      <c r="O18" s="94"/>
      <c r="AB18" s="94"/>
    </row>
    <row r="19" spans="1:28" ht="13.5" thickBot="1" x14ac:dyDescent="0.25">
      <c r="C19" s="135" t="s">
        <v>101</v>
      </c>
      <c r="D19" s="309" t="str">
        <f>IF(D18="","",D$17+(D$17-D$16))</f>
        <v/>
      </c>
      <c r="E19" s="305" t="str">
        <f>IF(E18="","",E$17+(E$17-E$16))</f>
        <v/>
      </c>
      <c r="F19" s="303" t="str">
        <f>IF(F18="","",F$17-(F$16-F$17))</f>
        <v/>
      </c>
      <c r="G19" s="136" t="str">
        <f>IF(G18="","",G$17-(G$16-G$17))</f>
        <v/>
      </c>
      <c r="H19" s="196" t="str">
        <f t="shared" ref="H19" si="0">IF(H18="","",H$17+(H$17-H$16))</f>
        <v/>
      </c>
      <c r="I19" s="191" t="s">
        <v>85</v>
      </c>
      <c r="J19" s="186" t="str">
        <f>IF(I19="x",H19,IF(I20="x",H20,IF(I21="x",H21,IF(I22="x",H22,IF(I23="x",H23,"")))))</f>
        <v/>
      </c>
      <c r="M19" s="88" t="s">
        <v>55</v>
      </c>
      <c r="N19" s="203">
        <f>Ativos!$P$22</f>
        <v>1000</v>
      </c>
    </row>
    <row r="20" spans="1:28" ht="13.5" thickBot="1" x14ac:dyDescent="0.25">
      <c r="C20" s="57" t="s">
        <v>102</v>
      </c>
      <c r="D20" s="310" t="str">
        <f>IF(D19="","",D$17+2*(D$17-D$16))</f>
        <v/>
      </c>
      <c r="E20" s="311" t="str">
        <f>IF(E19="","",E$17+2*(E$17-E$16))</f>
        <v/>
      </c>
      <c r="F20" s="187" t="str">
        <f>IF(F19="","",F$17-2*(F$16-F$17))</f>
        <v/>
      </c>
      <c r="G20" s="170" t="str">
        <f>IF(G19="","",G$17-2*(G$16-G$17))</f>
        <v/>
      </c>
      <c r="H20" s="197" t="str">
        <f>IF(H19="","",H$17+2*(H$17-H$16))</f>
        <v/>
      </c>
      <c r="I20" s="192"/>
      <c r="J20" s="15"/>
      <c r="M20" s="85" t="s">
        <v>68</v>
      </c>
      <c r="N20" s="322">
        <f>'1'!$N$20</f>
        <v>500</v>
      </c>
    </row>
    <row r="21" spans="1:28" ht="13.5" thickBot="1" x14ac:dyDescent="0.25">
      <c r="C21" s="57" t="s">
        <v>103</v>
      </c>
      <c r="D21" s="112" t="str">
        <f>IF(D20="","",D$17+3*(D$17-D$16))</f>
        <v/>
      </c>
      <c r="E21" s="307" t="str">
        <f>IF(E20="","",E$17+3*(E$17-E$16))</f>
        <v/>
      </c>
      <c r="F21" s="188" t="str">
        <f>IF(F20="","",F$17-3*(F$16-F$17))</f>
        <v/>
      </c>
      <c r="G21" s="82" t="str">
        <f>IF(G20="","",G$17-3*(G$16-G$17))</f>
        <v/>
      </c>
      <c r="H21" s="197" t="str">
        <f>IF(H20="","",H$17+3*(H$17-H$16))</f>
        <v/>
      </c>
      <c r="I21" s="192"/>
      <c r="J21" s="381" t="s">
        <v>124</v>
      </c>
      <c r="K21" s="387"/>
      <c r="M21" s="121" t="s">
        <v>69</v>
      </c>
      <c r="N21" s="84">
        <f>IF(D5="","",IF(N19="","",IF(N20="","",D5*N20/N19/D6)))</f>
        <v>14.685721233518265</v>
      </c>
    </row>
    <row r="22" spans="1:28" x14ac:dyDescent="0.2">
      <c r="C22" s="57" t="s">
        <v>106</v>
      </c>
      <c r="D22" s="310" t="str">
        <f>IF(D21="","",D$17+4*(D$17-D$16))</f>
        <v/>
      </c>
      <c r="E22" s="311" t="str">
        <f>IF(E21="","",E$17+4*(E$17-E$16))</f>
        <v/>
      </c>
      <c r="F22" s="187" t="str">
        <f>IF(F21="","",F$17-4*(F$16-F$17))</f>
        <v/>
      </c>
      <c r="G22" s="170" t="str">
        <f>IF(G21="","",G$17-4*(G$16-G$17))</f>
        <v/>
      </c>
      <c r="H22" s="197" t="str">
        <f>IF(H21="","",H$17+4*(H$17-H$16))</f>
        <v/>
      </c>
      <c r="I22" s="192"/>
      <c r="J22" s="281"/>
      <c r="K22" s="282" t="str">
        <f>IF(K23="","",IF(H17="","",(K23-H17)/(H17-H16)))</f>
        <v/>
      </c>
      <c r="L22" s="278" t="s">
        <v>125</v>
      </c>
      <c r="M22" s="15"/>
    </row>
    <row r="23" spans="1:28" ht="13.5" thickBot="1" x14ac:dyDescent="0.25">
      <c r="C23" s="58" t="s">
        <v>107</v>
      </c>
      <c r="D23" s="112" t="str">
        <f>IF(D22="","",D$17+5*(D$17-D$16))</f>
        <v/>
      </c>
      <c r="E23" s="307" t="str">
        <f>IF(E22="","",E$17+5*(E$17-E$16))</f>
        <v/>
      </c>
      <c r="F23" s="188" t="str">
        <f>IF(F22="","",F$17-5*(F$16-F$17))</f>
        <v/>
      </c>
      <c r="G23" s="82" t="str">
        <f>IF(G22="","",G$17-5*(G$16-G$17))</f>
        <v/>
      </c>
      <c r="H23" s="198" t="str">
        <f>IF(H22="","",H$17+5*(H$17-H$16))</f>
        <v/>
      </c>
      <c r="I23" s="193"/>
      <c r="J23" s="277" t="str">
        <f>IF(J22="","",IF(H17="","",H17+J22*(H17-H16)))</f>
        <v/>
      </c>
      <c r="K23" s="280"/>
      <c r="L23" s="279" t="s">
        <v>126</v>
      </c>
    </row>
    <row r="24" spans="1:28" ht="13.5" thickBot="1" x14ac:dyDescent="0.25">
      <c r="C24" s="190" t="s">
        <v>78</v>
      </c>
      <c r="D24" s="119"/>
      <c r="E24" s="312"/>
      <c r="F24" s="304"/>
      <c r="G24" s="123"/>
      <c r="H24" s="195" t="str">
        <f>IF(D$24="x",IF(E$24="",IF(F$24="",IF(G$24="",D13,""),""),""),IF(E$24="x",IF(F$24="",IF(G$24="",D13,""),""),IF(F$24="x",IF(G$24="",F13,""),IF(G$24="x",F13,""))))</f>
        <v/>
      </c>
      <c r="I24" s="14"/>
      <c r="J24" s="15"/>
      <c r="K24" s="15"/>
    </row>
    <row r="25" spans="1:28" x14ac:dyDescent="0.2">
      <c r="I25" s="14"/>
      <c r="J25" s="15"/>
      <c r="K25" s="15"/>
    </row>
    <row r="26" spans="1:28" x14ac:dyDescent="0.2">
      <c r="G26" s="113"/>
      <c r="H26" s="14"/>
      <c r="I26" s="14"/>
      <c r="J26" s="15"/>
      <c r="K26" s="15"/>
    </row>
    <row r="27" spans="1:28" x14ac:dyDescent="0.2">
      <c r="I27" s="14"/>
      <c r="J27" s="15"/>
      <c r="K27" s="15"/>
    </row>
    <row r="28" spans="1:28" x14ac:dyDescent="0.2">
      <c r="I28" s="14"/>
      <c r="J28" s="15"/>
      <c r="K28" s="15"/>
    </row>
    <row r="29" spans="1:28" x14ac:dyDescent="0.2">
      <c r="I29" s="14"/>
      <c r="J29" s="15"/>
      <c r="K29" s="15"/>
    </row>
    <row r="30" spans="1:28" x14ac:dyDescent="0.2">
      <c r="I30" s="14"/>
      <c r="L30" s="14"/>
    </row>
  </sheetData>
  <mergeCells count="30">
    <mergeCell ref="K15:L15"/>
    <mergeCell ref="J21:K21"/>
    <mergeCell ref="I2:L2"/>
    <mergeCell ref="B3:C4"/>
    <mergeCell ref="D3:E4"/>
    <mergeCell ref="F3:H3"/>
    <mergeCell ref="B5:C5"/>
    <mergeCell ref="D5:E5"/>
    <mergeCell ref="B8:B9"/>
    <mergeCell ref="C8:C9"/>
    <mergeCell ref="D8:D9"/>
    <mergeCell ref="E8:E9"/>
    <mergeCell ref="F8:F9"/>
    <mergeCell ref="B6:C6"/>
    <mergeCell ref="D6:E6"/>
    <mergeCell ref="B7:C7"/>
    <mergeCell ref="D7:E7"/>
    <mergeCell ref="F7:H7"/>
    <mergeCell ref="M8:N8"/>
    <mergeCell ref="M14:N14"/>
    <mergeCell ref="K8:K9"/>
    <mergeCell ref="L8:L9"/>
    <mergeCell ref="D13:E13"/>
    <mergeCell ref="F13:G13"/>
    <mergeCell ref="I17:J17"/>
    <mergeCell ref="G8:G9"/>
    <mergeCell ref="H8:H9"/>
    <mergeCell ref="I8:I9"/>
    <mergeCell ref="J8:J9"/>
    <mergeCell ref="I13:J13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0"/>
  <sheetViews>
    <sheetView zoomScale="90" zoomScaleNormal="90" workbookViewId="0">
      <selection activeCell="N13" sqref="N13"/>
    </sheetView>
  </sheetViews>
  <sheetFormatPr defaultRowHeight="12.75" x14ac:dyDescent="0.2"/>
  <cols>
    <col min="1" max="1" width="1.42578125" style="14" customWidth="1"/>
    <col min="2" max="2" width="5.85546875" customWidth="1"/>
    <col min="3" max="3" width="12.5703125" style="16" bestFit="1" customWidth="1"/>
    <col min="4" max="4" width="11.7109375" style="16" bestFit="1" customWidth="1"/>
    <col min="5" max="6" width="11.7109375" style="15" bestFit="1" customWidth="1"/>
    <col min="7" max="7" width="10" style="15" bestFit="1" customWidth="1"/>
    <col min="8" max="8" width="12.7109375" style="15" customWidth="1"/>
    <col min="9" max="9" width="13.42578125" style="15" bestFit="1" customWidth="1"/>
    <col min="10" max="10" width="11.7109375" style="14" bestFit="1" customWidth="1"/>
    <col min="11" max="11" width="11" style="14" bestFit="1" customWidth="1"/>
    <col min="12" max="12" width="11.7109375" style="15" bestFit="1" customWidth="1"/>
    <col min="13" max="13" width="13.7109375" style="14" bestFit="1" customWidth="1"/>
    <col min="14" max="14" width="11.7109375" style="14" customWidth="1"/>
    <col min="15" max="15" width="1.42578125" style="14" customWidth="1"/>
    <col min="16" max="16" width="14.5703125" style="14" bestFit="1" customWidth="1"/>
    <col min="17" max="17" width="10.5703125" style="14" bestFit="1" customWidth="1"/>
    <col min="18" max="19" width="10.140625" style="14" bestFit="1" customWidth="1"/>
    <col min="20" max="20" width="2.42578125" style="14" customWidth="1"/>
    <col min="21" max="21" width="4" style="14" bestFit="1" customWidth="1"/>
    <col min="22" max="22" width="8.140625" style="14" bestFit="1" customWidth="1"/>
    <col min="23" max="25" width="9.140625" style="14"/>
    <col min="26" max="26" width="10.140625" style="14" bestFit="1" customWidth="1"/>
    <col min="27" max="27" width="9.140625" style="14"/>
    <col min="28" max="28" width="2.42578125" style="14" customWidth="1"/>
    <col min="29" max="16384" width="9.140625" style="14"/>
  </cols>
  <sheetData>
    <row r="1" spans="2:14" ht="13.5" thickBot="1" x14ac:dyDescent="0.25">
      <c r="L1" s="60"/>
      <c r="N1" s="50"/>
    </row>
    <row r="2" spans="2:14" ht="13.5" thickBot="1" x14ac:dyDescent="0.25">
      <c r="B2" s="223" t="s">
        <v>96</v>
      </c>
      <c r="C2" s="147" t="str">
        <f>Ativos!$R$18</f>
        <v>EURGBP</v>
      </c>
      <c r="D2" s="223" t="s">
        <v>51</v>
      </c>
      <c r="E2" s="155">
        <f>Ativos!$R$21</f>
        <v>1.7000000000000348</v>
      </c>
      <c r="G2" s="171" t="s">
        <v>30</v>
      </c>
      <c r="H2" s="182">
        <f>SUM(D5:G5)</f>
        <v>3261.17</v>
      </c>
      <c r="I2" s="371" t="s">
        <v>70</v>
      </c>
      <c r="J2" s="345"/>
      <c r="K2" s="345"/>
      <c r="L2" s="372"/>
    </row>
    <row r="3" spans="2:14" ht="13.5" customHeight="1" thickBot="1" x14ac:dyDescent="0.25">
      <c r="B3" s="373" t="s">
        <v>31</v>
      </c>
      <c r="C3" s="374"/>
      <c r="D3" s="377" t="s">
        <v>40</v>
      </c>
      <c r="E3" s="378"/>
      <c r="F3" s="381" t="s">
        <v>28</v>
      </c>
      <c r="G3" s="382"/>
      <c r="H3" s="382"/>
      <c r="I3" s="225" t="s">
        <v>46</v>
      </c>
      <c r="J3" s="184" t="s">
        <v>28</v>
      </c>
      <c r="K3" s="132" t="s">
        <v>48</v>
      </c>
      <c r="L3" s="96" t="s">
        <v>65</v>
      </c>
    </row>
    <row r="4" spans="2:14" ht="13.5" thickBot="1" x14ac:dyDescent="0.25">
      <c r="B4" s="375"/>
      <c r="C4" s="376"/>
      <c r="D4" s="379"/>
      <c r="E4" s="380"/>
      <c r="F4" s="144" t="s">
        <v>42</v>
      </c>
      <c r="G4" s="132" t="s">
        <v>43</v>
      </c>
      <c r="H4" s="133" t="s">
        <v>47</v>
      </c>
      <c r="I4" s="183"/>
      <c r="J4" s="126" t="str">
        <f>IF(I4="","",IF(N10="","",IF(B10=0,"",I4*N10)))</f>
        <v/>
      </c>
      <c r="K4" s="126" t="str">
        <f>IF(J4="","",IF(D5="","",100*J4/D5))</f>
        <v/>
      </c>
      <c r="L4" s="176" t="str">
        <f>IF(I4="","",IF(I10="","",IF(B10="","",IF(B10=0,"",IF(J4="","",I10+(J4-F5-G5)/N19/B10/J11)))))</f>
        <v/>
      </c>
    </row>
    <row r="5" spans="2:14" ht="13.5" thickBot="1" x14ac:dyDescent="0.25">
      <c r="B5" s="383">
        <f>D5+F5</f>
        <v>3261.17</v>
      </c>
      <c r="C5" s="384"/>
      <c r="D5" s="407">
        <f>CLog!$Z$42</f>
        <v>3261.17</v>
      </c>
      <c r="E5" s="408"/>
      <c r="F5" s="129">
        <f>IF(J10="",0,J10)</f>
        <v>0</v>
      </c>
      <c r="G5" s="31" t="str">
        <f>K10</f>
        <v/>
      </c>
      <c r="H5" s="122">
        <f>IF(F5="",IF(G5="","",G5),IF(G5="",F5,F5+G5))</f>
        <v>0</v>
      </c>
      <c r="I5" s="103" t="str">
        <f>IF(J5="","",IF(N10="","",J5/N10))</f>
        <v/>
      </c>
      <c r="J5" s="32" t="str">
        <f>IF(K5="","",K5*D5/100)</f>
        <v/>
      </c>
      <c r="K5" s="95" t="str">
        <f>IF(L5="","",100*B10*N19*J11*(L5-D10)/D5)</f>
        <v/>
      </c>
      <c r="L5" s="175"/>
      <c r="M5" s="326" t="s">
        <v>131</v>
      </c>
      <c r="N5" s="327">
        <f>[3]CRe!$P$32</f>
        <v>1.0120091755496351E-2</v>
      </c>
    </row>
    <row r="6" spans="2:14" ht="13.5" thickBot="1" x14ac:dyDescent="0.25">
      <c r="B6" s="388" t="s">
        <v>32</v>
      </c>
      <c r="C6" s="389"/>
      <c r="D6" s="390">
        <f>Ativos!$R$19</f>
        <v>0.88012000000000001</v>
      </c>
      <c r="E6" s="391"/>
      <c r="F6" s="130">
        <f>IF(F5="","",100*F5/D5)</f>
        <v>0</v>
      </c>
      <c r="G6" s="32" t="str">
        <f>IF(G5="","",100*G5/D5)</f>
        <v/>
      </c>
      <c r="H6" s="33">
        <f>IF(H5="","",100*(H2/D5-1))</f>
        <v>0</v>
      </c>
      <c r="I6" s="125" t="s">
        <v>73</v>
      </c>
      <c r="J6" s="126" t="str">
        <f>IF(K6="","",K6*D5/100)</f>
        <v/>
      </c>
      <c r="K6" s="127" t="str">
        <f>IF(L6="","",100*B10*N19*J11*(L6-D10)/D5)</f>
        <v/>
      </c>
      <c r="L6" s="176" t="str">
        <f>IF(J15&lt;&gt;"",J15,IF(H16="","",H16))</f>
        <v/>
      </c>
      <c r="M6" s="328" t="s">
        <v>133</v>
      </c>
      <c r="N6" s="330">
        <f>IF(N17="","",IF(N5="","",N17/N5))</f>
        <v>49.406666666677566</v>
      </c>
    </row>
    <row r="7" spans="2:14" ht="13.5" thickBot="1" x14ac:dyDescent="0.25">
      <c r="B7" s="392" t="s">
        <v>33</v>
      </c>
      <c r="C7" s="393"/>
      <c r="D7" s="394">
        <f>Ativos!$R$20</f>
        <v>0.87995000000000001</v>
      </c>
      <c r="E7" s="395"/>
      <c r="F7" s="381" t="s">
        <v>29</v>
      </c>
      <c r="G7" s="382"/>
      <c r="H7" s="387"/>
      <c r="I7" s="225" t="s">
        <v>49</v>
      </c>
      <c r="J7" s="32">
        <f>IF(K7="","",-K7*D5/100)</f>
        <v>-16.253937479744206</v>
      </c>
      <c r="K7" s="177">
        <f>Risk!$C$13</f>
        <v>0.49840816270676491</v>
      </c>
      <c r="L7" s="178" t="str">
        <f>IF(K7="","",IF(I10="","",IF(K7=0,"",IF(B10=0,"",I10-(H2-D5-J7)/N19/B10))))</f>
        <v/>
      </c>
      <c r="M7" s="93" t="s">
        <v>67</v>
      </c>
      <c r="N7" s="329">
        <f>IF(N17="","",IF(K7="","",IF(K7=0,"",N17/K7)))</f>
        <v>1.0031938427424425</v>
      </c>
    </row>
    <row r="8" spans="2:14" ht="12.75" customHeight="1" x14ac:dyDescent="0.2">
      <c r="B8" s="398" t="s">
        <v>41</v>
      </c>
      <c r="C8" s="364" t="s">
        <v>71</v>
      </c>
      <c r="D8" s="368" t="s">
        <v>44</v>
      </c>
      <c r="E8" s="368" t="s">
        <v>45</v>
      </c>
      <c r="F8" s="364" t="s">
        <v>53</v>
      </c>
      <c r="G8" s="401" t="s">
        <v>109</v>
      </c>
      <c r="H8" s="366"/>
      <c r="I8" s="368" t="s">
        <v>65</v>
      </c>
      <c r="J8" s="366" t="s">
        <v>123</v>
      </c>
      <c r="K8" s="364" t="s">
        <v>28</v>
      </c>
      <c r="L8" s="358" t="s">
        <v>29</v>
      </c>
      <c r="M8" s="409" t="s">
        <v>75</v>
      </c>
      <c r="N8" s="410"/>
    </row>
    <row r="9" spans="2:14" ht="13.5" thickBot="1" x14ac:dyDescent="0.25">
      <c r="B9" s="399"/>
      <c r="C9" s="400"/>
      <c r="D9" s="365"/>
      <c r="E9" s="365"/>
      <c r="F9" s="365"/>
      <c r="G9" s="402"/>
      <c r="H9" s="367"/>
      <c r="I9" s="365"/>
      <c r="J9" s="367"/>
      <c r="K9" s="365"/>
      <c r="L9" s="359"/>
      <c r="M9" s="99" t="s">
        <v>52</v>
      </c>
      <c r="N9" s="224" t="s">
        <v>53</v>
      </c>
    </row>
    <row r="10" spans="2:14" ht="13.5" thickBot="1" x14ac:dyDescent="0.25">
      <c r="B10" s="105" t="str">
        <f>IF(B11&lt;&gt;"",B11,IF(H18="","",H18))</f>
        <v/>
      </c>
      <c r="C10" s="106" t="str">
        <f>IF(B10="","",IF(B10&gt;0,N19*B10*D6/D5,-N19*B10*D7/D5))</f>
        <v/>
      </c>
      <c r="D10" s="107" t="str">
        <f>IF(D11&lt;&gt;"",D11,IF(H17="","",H17))</f>
        <v/>
      </c>
      <c r="E10" s="107" t="str">
        <f>IF(E11&lt;&gt;"",E11,IF(J19="","",J19))</f>
        <v/>
      </c>
      <c r="F10" s="98" t="str">
        <f>IF(B10="","",IF(D10="","",IF(E10="","",B10*N$19*J11*(E10-D10))))</f>
        <v/>
      </c>
      <c r="G10" s="167">
        <v>0</v>
      </c>
      <c r="H10" s="168"/>
      <c r="I10" s="104" t="str">
        <f>IF(B10="","",IF(B10&gt;0,D$7,D$6))</f>
        <v/>
      </c>
      <c r="J10" s="128" t="str">
        <f>IF(B10="","",IF(H10="t",B10*N$19*(E10-D10)+G10,IF(H10="s",B10*N$19*(L6-D10)+G10,"")))</f>
        <v/>
      </c>
      <c r="K10" s="98" t="str">
        <f>IF(B10="","",IF(H10="",B10*N19*J11*(I10-D10)+G10,""))</f>
        <v/>
      </c>
      <c r="L10" s="102" t="str">
        <f>IF(B10="","",IF(H10&lt;&gt;"",100*J10/D$5,100*K10/D$5))</f>
        <v/>
      </c>
      <c r="M10" s="115" t="str">
        <f>IF(E10="","",E10)</f>
        <v/>
      </c>
      <c r="N10" s="102" t="str">
        <f>IF(B10="","",IF(D10="","",IF(M10="","",B10*N$19*J11*(M10-D10))))</f>
        <v/>
      </c>
    </row>
    <row r="11" spans="2:14" ht="13.5" thickBot="1" x14ac:dyDescent="0.25">
      <c r="B11" s="288"/>
      <c r="C11" s="314" t="s">
        <v>79</v>
      </c>
      <c r="D11" s="315"/>
      <c r="E11" s="114"/>
      <c r="G11" s="223" t="s">
        <v>100</v>
      </c>
      <c r="H11" s="169">
        <f>Ativos!$R$23</f>
        <v>10000</v>
      </c>
      <c r="I11" s="223" t="s">
        <v>114</v>
      </c>
      <c r="J11" s="242">
        <f>Ativos!$R$24</f>
        <v>1.5091805662864155</v>
      </c>
      <c r="M11" s="100" t="s">
        <v>56</v>
      </c>
      <c r="N11" s="101" t="str">
        <f>IF(F10="","",F10+G10)</f>
        <v/>
      </c>
    </row>
    <row r="12" spans="2:14" ht="13.5" thickBot="1" x14ac:dyDescent="0.25">
      <c r="B12" s="316">
        <f>D5/N19/3</f>
        <v>1.0870566666666666E-2</v>
      </c>
      <c r="C12" s="317" t="s">
        <v>130</v>
      </c>
      <c r="D12" s="131"/>
      <c r="G12" s="14"/>
      <c r="I12" s="108"/>
      <c r="K12" s="15"/>
      <c r="M12" s="57" t="s">
        <v>54</v>
      </c>
      <c r="N12" s="56" t="str">
        <f>IF(N11="","",100*N11/D5)</f>
        <v/>
      </c>
    </row>
    <row r="13" spans="2:14" ht="13.5" thickBot="1" x14ac:dyDescent="0.25">
      <c r="B13" s="15"/>
      <c r="D13" s="403" t="s">
        <v>127</v>
      </c>
      <c r="E13" s="404"/>
      <c r="F13" s="405" t="s">
        <v>128</v>
      </c>
      <c r="G13" s="404"/>
      <c r="H13" s="298" t="s">
        <v>74</v>
      </c>
      <c r="I13" s="369" t="s">
        <v>112</v>
      </c>
      <c r="J13" s="370"/>
      <c r="M13" s="58" t="s">
        <v>125</v>
      </c>
      <c r="N13" s="59" t="str">
        <f>IF(N11="","",IF(J6="","",IF(J6=0,9999.9999,IF(J6&gt;0,"No Loss",-N11/J6))))</f>
        <v/>
      </c>
    </row>
    <row r="14" spans="2:14" ht="13.5" thickBot="1" x14ac:dyDescent="0.25">
      <c r="B14" s="15"/>
      <c r="C14" s="109" t="s">
        <v>76</v>
      </c>
      <c r="D14" s="116"/>
      <c r="E14" s="305" t="str">
        <f>IF(D14="","",D14)</f>
        <v/>
      </c>
      <c r="F14" s="299"/>
      <c r="G14" s="136" t="str">
        <f>IF(F14="","",F14)</f>
        <v/>
      </c>
      <c r="H14" s="174"/>
      <c r="I14" s="222" t="s">
        <v>113</v>
      </c>
      <c r="J14" s="226"/>
      <c r="M14" s="362" t="s">
        <v>82</v>
      </c>
      <c r="N14" s="363"/>
    </row>
    <row r="15" spans="2:14" ht="13.5" thickBot="1" x14ac:dyDescent="0.25">
      <c r="C15" s="110" t="s">
        <v>77</v>
      </c>
      <c r="D15" s="331">
        <f>'1'!D15</f>
        <v>20</v>
      </c>
      <c r="E15" s="332">
        <f>'1'!E15</f>
        <v>3</v>
      </c>
      <c r="F15" s="333">
        <f>'1'!F15</f>
        <v>15</v>
      </c>
      <c r="G15" s="334">
        <f>'1'!G15</f>
        <v>1</v>
      </c>
      <c r="H15" s="227" t="str">
        <f>IF(D$24="x",IF(E$24="",IF(F$24="",IF(G$24="",D15,""),""),""),IF(E$24="x",IF(F$24="",IF(G$24="",E15,""),""),IF(F$24="x",IF(G$24="",F15,""),IF(G$24="x",G15,""))))</f>
        <v/>
      </c>
      <c r="I15" s="93" t="s">
        <v>73</v>
      </c>
      <c r="J15" s="178" t="str">
        <f>IF(J14="","",IF(H15="","",IF(B10="","",IF(B10&gt;0,J14-H15/$H$11,IF(B10&lt;0,J14+H15/$H$11,"")))))</f>
        <v/>
      </c>
      <c r="K15" s="396" t="s">
        <v>129</v>
      </c>
      <c r="L15" s="406"/>
      <c r="M15" s="89" t="s">
        <v>84</v>
      </c>
      <c r="N15" s="296">
        <f>'1'!$N$15</f>
        <v>0.5</v>
      </c>
    </row>
    <row r="16" spans="2:14" ht="13.5" thickBot="1" x14ac:dyDescent="0.25">
      <c r="C16" s="111" t="s">
        <v>73</v>
      </c>
      <c r="D16" s="112" t="str">
        <f>IF(D14="","",IF(D15="","",D14-D15/$H$11))</f>
        <v/>
      </c>
      <c r="E16" s="307" t="str">
        <f>IF(E14="","",IF(E15="","",E14-E15/$H$11))</f>
        <v/>
      </c>
      <c r="F16" s="188" t="str">
        <f>IF(F14="","",IF(F15="","",F14+F15/$H$11))</f>
        <v/>
      </c>
      <c r="G16" s="82" t="str">
        <f>IF(G14="","",IF(G15="","",G14+G15/$H$11))</f>
        <v/>
      </c>
      <c r="H16" s="173" t="str">
        <f>IF(D$24="x",IF(E$24="",IF(F$24="",IF(G$24="",D16,""),""),""),IF(E$24="x",IF(F$24="",IF(G$24="",E16,""),""),IF(F$24="x",IF(G$24="",F16,""),IF(G$24="x",G16,""))))</f>
        <v/>
      </c>
      <c r="I16" s="14"/>
      <c r="J16" s="15"/>
      <c r="K16" s="313" t="s">
        <v>31</v>
      </c>
      <c r="L16" s="96" t="s">
        <v>64</v>
      </c>
      <c r="M16" s="90" t="s">
        <v>80</v>
      </c>
      <c r="N16" s="199">
        <f>'1'!$N$16</f>
        <v>20</v>
      </c>
    </row>
    <row r="17" spans="1:28" x14ac:dyDescent="0.2">
      <c r="C17" s="109" t="s">
        <v>72</v>
      </c>
      <c r="D17" s="159" t="str">
        <f>IF(D16="","",D6)</f>
        <v/>
      </c>
      <c r="E17" s="308" t="str">
        <f>IF(E16="","",D6)</f>
        <v/>
      </c>
      <c r="F17" s="301" t="str">
        <f>IF(F16="","",D7)</f>
        <v/>
      </c>
      <c r="G17" s="160" t="str">
        <f>IF(G16="","",D7)</f>
        <v/>
      </c>
      <c r="H17" s="180" t="str">
        <f>IF(D11&lt;&gt;"",D11,IF(D$24="x",IF(E$24="",IF(F$24="",IF(G$24="",D17,""),""),""),IF(E$24="x",IF(F$24="",IF(G$24="",E17,""),""),IF(F$24="x",IF(G$24="",F17,""),IF(G$24="x",G17,"")))))</f>
        <v/>
      </c>
      <c r="I17" s="396" t="s">
        <v>104</v>
      </c>
      <c r="J17" s="406"/>
      <c r="K17" s="341">
        <f>'1'!$K$17</f>
        <v>10000</v>
      </c>
      <c r="L17" s="340" t="str">
        <f>IF(H18="","",IF(K17="","",IF(D5="","",H18*K17/D5)))</f>
        <v/>
      </c>
      <c r="M17" s="90" t="s">
        <v>81</v>
      </c>
      <c r="N17" s="199">
        <f>'1'!N17</f>
        <v>0.5</v>
      </c>
    </row>
    <row r="18" spans="1:28" ht="13.5" thickBot="1" x14ac:dyDescent="0.25">
      <c r="A18" s="94"/>
      <c r="C18" s="189" t="s">
        <v>64</v>
      </c>
      <c r="D18" s="97" t="str">
        <f>IF(D17="","",IF(N17="","",N17*D5/100/(D17-D16)/N19/J11))</f>
        <v/>
      </c>
      <c r="E18" s="293" t="str">
        <f>IF(E17="","",IF(N17="","",N17*D5/100/(E17-E16)/N19/J11))</f>
        <v/>
      </c>
      <c r="F18" s="302" t="str">
        <f>IF(F17="","",IF(N17="","",N17*D5/100/(F17-F16)/N19/J11))</f>
        <v/>
      </c>
      <c r="G18" s="161" t="str">
        <f>IF(G17="","",IF(N17="","",N17*D5/100/(G17-G16)/N19/J11))</f>
        <v/>
      </c>
      <c r="H18" s="194" t="str">
        <f>IF(B11&lt;&gt;"",B11,IF(D$24="x",IF(E$24="",IF(F$24="",IF(G$24="",D18,""),""),""),IF(E$24="x",IF(F$24="",IF(G$24="",E18,""),""),IF(F$24="x",IF(G$24="",F18,""),IF(G$24="x",G18,"")))))</f>
        <v/>
      </c>
      <c r="I18" s="181" t="s">
        <v>105</v>
      </c>
      <c r="J18" s="185" t="s">
        <v>65</v>
      </c>
      <c r="K18" s="225" t="s">
        <v>130</v>
      </c>
      <c r="L18" s="293">
        <f>IF(K17="","",K17/N19/J11/3)</f>
        <v>2.208704119173455E-2</v>
      </c>
      <c r="M18" s="91" t="s">
        <v>83</v>
      </c>
      <c r="N18" s="321">
        <f>'1'!N18</f>
        <v>16.30585</v>
      </c>
      <c r="O18" s="94"/>
      <c r="AB18" s="94"/>
    </row>
    <row r="19" spans="1:28" ht="13.5" thickBot="1" x14ac:dyDescent="0.25">
      <c r="C19" s="135" t="s">
        <v>101</v>
      </c>
      <c r="D19" s="309" t="str">
        <f>IF(D18="","",D$17+(D$17-D$16))</f>
        <v/>
      </c>
      <c r="E19" s="305" t="str">
        <f>IF(E18="","",E$17+(E$17-E$16))</f>
        <v/>
      </c>
      <c r="F19" s="303" t="str">
        <f>IF(F18="","",F$17-(F$16-F$17))</f>
        <v/>
      </c>
      <c r="G19" s="136" t="str">
        <f>IF(G18="","",G$17-(G$16-G$17))</f>
        <v/>
      </c>
      <c r="H19" s="196" t="str">
        <f t="shared" ref="H19" si="0">IF(H18="","",H$17+(H$17-H$16))</f>
        <v/>
      </c>
      <c r="I19" s="191" t="s">
        <v>85</v>
      </c>
      <c r="J19" s="186" t="str">
        <f>IF(I19="x",H19,IF(I20="x",H20,IF(I21="x",H21,IF(I22="x",H22,IF(I23="x",H23,"")))))</f>
        <v/>
      </c>
      <c r="M19" s="88" t="s">
        <v>55</v>
      </c>
      <c r="N19" s="203">
        <f>Ativos!$R$22</f>
        <v>100000</v>
      </c>
    </row>
    <row r="20" spans="1:28" ht="13.5" thickBot="1" x14ac:dyDescent="0.25">
      <c r="C20" s="57" t="s">
        <v>102</v>
      </c>
      <c r="D20" s="310" t="str">
        <f>IF(D19="","",D$17+2*(D$17-D$16))</f>
        <v/>
      </c>
      <c r="E20" s="311" t="str">
        <f>IF(E19="","",E$17+2*(E$17-E$16))</f>
        <v/>
      </c>
      <c r="F20" s="187" t="str">
        <f>IF(F19="","",F$17-2*(F$16-F$17))</f>
        <v/>
      </c>
      <c r="G20" s="170" t="str">
        <f>IF(G19="","",G$17-2*(G$16-G$17))</f>
        <v/>
      </c>
      <c r="H20" s="197" t="str">
        <f>IF(H19="","",H$17+2*(H$17-H$16))</f>
        <v/>
      </c>
      <c r="I20" s="192"/>
      <c r="J20" s="15"/>
      <c r="M20" s="85" t="s">
        <v>68</v>
      </c>
      <c r="N20" s="322">
        <f>'1'!$N$20</f>
        <v>500</v>
      </c>
    </row>
    <row r="21" spans="1:28" ht="13.5" thickBot="1" x14ac:dyDescent="0.25">
      <c r="C21" s="57" t="s">
        <v>103</v>
      </c>
      <c r="D21" s="112" t="str">
        <f>IF(D20="","",D$17+3*(D$17-D$16))</f>
        <v/>
      </c>
      <c r="E21" s="307" t="str">
        <f>IF(E20="","",E$17+3*(E$17-E$16))</f>
        <v/>
      </c>
      <c r="F21" s="188" t="str">
        <f>IF(F20="","",F$17-3*(F$16-F$17))</f>
        <v/>
      </c>
      <c r="G21" s="82" t="str">
        <f>IF(G20="","",G$17-3*(G$16-G$17))</f>
        <v/>
      </c>
      <c r="H21" s="197" t="str">
        <f>IF(H20="","",H$17+3*(H$17-H$16))</f>
        <v/>
      </c>
      <c r="I21" s="192"/>
      <c r="J21" s="381" t="s">
        <v>124</v>
      </c>
      <c r="K21" s="387"/>
      <c r="M21" s="121" t="s">
        <v>69</v>
      </c>
      <c r="N21" s="84">
        <f>IF(D5="","",IF(N19="","",IF(N20="","",D5*N20/N19/D6)))</f>
        <v>18.526848611552968</v>
      </c>
    </row>
    <row r="22" spans="1:28" x14ac:dyDescent="0.2">
      <c r="C22" s="57" t="s">
        <v>106</v>
      </c>
      <c r="D22" s="310" t="str">
        <f>IF(D21="","",D$17+4*(D$17-D$16))</f>
        <v/>
      </c>
      <c r="E22" s="311" t="str">
        <f>IF(E21="","",E$17+4*(E$17-E$16))</f>
        <v/>
      </c>
      <c r="F22" s="187" t="str">
        <f>IF(F21="","",F$17-4*(F$16-F$17))</f>
        <v/>
      </c>
      <c r="G22" s="170" t="str">
        <f>IF(G21="","",G$17-4*(G$16-G$17))</f>
        <v/>
      </c>
      <c r="H22" s="197" t="str">
        <f>IF(H21="","",H$17+4*(H$17-H$16))</f>
        <v/>
      </c>
      <c r="I22" s="192"/>
      <c r="J22" s="281"/>
      <c r="K22" s="282" t="str">
        <f>IF(K23="","",IF(H17="","",(K23-H17)/(H17-H16)))</f>
        <v/>
      </c>
      <c r="L22" s="278" t="s">
        <v>125</v>
      </c>
      <c r="M22" s="15"/>
    </row>
    <row r="23" spans="1:28" ht="13.5" thickBot="1" x14ac:dyDescent="0.25">
      <c r="C23" s="58" t="s">
        <v>107</v>
      </c>
      <c r="D23" s="112" t="str">
        <f>IF(D22="","",D$17+5*(D$17-D$16))</f>
        <v/>
      </c>
      <c r="E23" s="307" t="str">
        <f>IF(E22="","",E$17+5*(E$17-E$16))</f>
        <v/>
      </c>
      <c r="F23" s="188" t="str">
        <f>IF(F22="","",F$17-5*(F$16-F$17))</f>
        <v/>
      </c>
      <c r="G23" s="82" t="str">
        <f>IF(G22="","",G$17-5*(G$16-G$17))</f>
        <v/>
      </c>
      <c r="H23" s="198" t="str">
        <f>IF(H22="","",H$17+5*(H$17-H$16))</f>
        <v/>
      </c>
      <c r="I23" s="193"/>
      <c r="J23" s="277" t="str">
        <f>IF(J22="","",IF(H17="","",H17+J22*(H17-H16)))</f>
        <v/>
      </c>
      <c r="K23" s="280"/>
      <c r="L23" s="279" t="s">
        <v>126</v>
      </c>
    </row>
    <row r="24" spans="1:28" ht="13.5" thickBot="1" x14ac:dyDescent="0.25">
      <c r="C24" s="190" t="s">
        <v>78</v>
      </c>
      <c r="D24" s="119"/>
      <c r="E24" s="312"/>
      <c r="F24" s="304"/>
      <c r="G24" s="123"/>
      <c r="H24" s="195" t="str">
        <f>IF(D$24="x",IF(E$24="",IF(F$24="",IF(G$24="",D13,""),""),""),IF(E$24="x",IF(F$24="",IF(G$24="",D13,""),""),IF(F$24="x",IF(G$24="",F13,""),IF(G$24="x",F13,""))))</f>
        <v/>
      </c>
      <c r="I24" s="14"/>
      <c r="J24" s="15"/>
    </row>
    <row r="25" spans="1:28" x14ac:dyDescent="0.2">
      <c r="I25" s="14"/>
      <c r="J25" s="15"/>
    </row>
    <row r="26" spans="1:28" x14ac:dyDescent="0.2">
      <c r="G26" s="113"/>
      <c r="H26" s="14"/>
      <c r="I26" s="14"/>
      <c r="J26" s="15"/>
    </row>
    <row r="27" spans="1:28" x14ac:dyDescent="0.2">
      <c r="I27" s="14"/>
      <c r="J27" s="15"/>
    </row>
    <row r="28" spans="1:28" x14ac:dyDescent="0.2">
      <c r="I28" s="14"/>
      <c r="J28" s="15"/>
    </row>
    <row r="29" spans="1:28" x14ac:dyDescent="0.2">
      <c r="I29" s="14"/>
      <c r="L29" s="14"/>
    </row>
    <row r="30" spans="1:28" x14ac:dyDescent="0.2">
      <c r="I30" s="14"/>
      <c r="L30" s="14"/>
    </row>
  </sheetData>
  <mergeCells count="30">
    <mergeCell ref="K15:L15"/>
    <mergeCell ref="J21:K21"/>
    <mergeCell ref="I2:L2"/>
    <mergeCell ref="B3:C4"/>
    <mergeCell ref="D3:E4"/>
    <mergeCell ref="F3:H3"/>
    <mergeCell ref="B5:C5"/>
    <mergeCell ref="D5:E5"/>
    <mergeCell ref="B8:B9"/>
    <mergeCell ref="C8:C9"/>
    <mergeCell ref="D8:D9"/>
    <mergeCell ref="E8:E9"/>
    <mergeCell ref="F8:F9"/>
    <mergeCell ref="B6:C6"/>
    <mergeCell ref="D6:E6"/>
    <mergeCell ref="B7:C7"/>
    <mergeCell ref="D7:E7"/>
    <mergeCell ref="F7:H7"/>
    <mergeCell ref="M8:N8"/>
    <mergeCell ref="M14:N14"/>
    <mergeCell ref="K8:K9"/>
    <mergeCell ref="L8:L9"/>
    <mergeCell ref="D13:E13"/>
    <mergeCell ref="F13:G13"/>
    <mergeCell ref="I17:J17"/>
    <mergeCell ref="G8:G9"/>
    <mergeCell ref="H8:H9"/>
    <mergeCell ref="I8:I9"/>
    <mergeCell ref="J8:J9"/>
    <mergeCell ref="I13:J13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0"/>
  <sheetViews>
    <sheetView workbookViewId="0">
      <selection activeCell="N13" sqref="N13"/>
    </sheetView>
  </sheetViews>
  <sheetFormatPr defaultRowHeight="12.75" x14ac:dyDescent="0.2"/>
  <cols>
    <col min="1" max="1" width="1.42578125" style="14" customWidth="1"/>
    <col min="2" max="2" width="5.85546875" customWidth="1"/>
    <col min="3" max="3" width="12.42578125" style="16" bestFit="1" customWidth="1"/>
    <col min="4" max="4" width="8.7109375" style="16" customWidth="1"/>
    <col min="5" max="5" width="8.85546875" style="15" customWidth="1"/>
    <col min="6" max="6" width="10" style="15" customWidth="1"/>
    <col min="7" max="7" width="9.85546875" style="15" bestFit="1" customWidth="1"/>
    <col min="8" max="8" width="9.42578125" style="15" customWidth="1"/>
    <col min="9" max="9" width="13.28515625" style="15" bestFit="1" customWidth="1"/>
    <col min="10" max="10" width="9.5703125" style="14" bestFit="1" customWidth="1"/>
    <col min="11" max="11" width="10.140625" style="14" bestFit="1" customWidth="1"/>
    <col min="12" max="12" width="9.5703125" style="15" bestFit="1" customWidth="1"/>
    <col min="13" max="13" width="13.5703125" style="14" bestFit="1" customWidth="1"/>
    <col min="14" max="14" width="12" style="14" customWidth="1"/>
    <col min="15" max="15" width="1.42578125" style="14" customWidth="1"/>
    <col min="16" max="16" width="14.5703125" style="14" bestFit="1" customWidth="1"/>
    <col min="17" max="17" width="10.5703125" style="14" bestFit="1" customWidth="1"/>
    <col min="18" max="19" width="10.140625" style="14" bestFit="1" customWidth="1"/>
    <col min="20" max="20" width="2.42578125" style="14" customWidth="1"/>
    <col min="21" max="21" width="4" style="14" bestFit="1" customWidth="1"/>
    <col min="22" max="22" width="8.140625" style="14" bestFit="1" customWidth="1"/>
    <col min="23" max="25" width="9.140625" style="14"/>
    <col min="26" max="26" width="10.140625" style="14" bestFit="1" customWidth="1"/>
    <col min="27" max="27" width="9.140625" style="14"/>
    <col min="28" max="28" width="2.42578125" style="14" customWidth="1"/>
    <col min="29" max="16384" width="9.140625" style="14"/>
  </cols>
  <sheetData>
    <row r="1" spans="2:14" ht="13.5" thickBot="1" x14ac:dyDescent="0.25">
      <c r="L1" s="60"/>
      <c r="N1" s="50"/>
    </row>
    <row r="2" spans="2:14" ht="13.5" thickBot="1" x14ac:dyDescent="0.25">
      <c r="B2" s="223" t="s">
        <v>96</v>
      </c>
      <c r="C2" s="147" t="str">
        <f>Ativos!$T$18</f>
        <v>EURJPY</v>
      </c>
      <c r="D2" s="223" t="s">
        <v>51</v>
      </c>
      <c r="E2" s="155">
        <f>Ativos!$T$21</f>
        <v>2.199999999999136</v>
      </c>
      <c r="G2" s="171" t="s">
        <v>30</v>
      </c>
      <c r="H2" s="182">
        <f>SUM(D5:G5)</f>
        <v>3261.17</v>
      </c>
      <c r="I2" s="371" t="s">
        <v>70</v>
      </c>
      <c r="J2" s="345"/>
      <c r="K2" s="345"/>
      <c r="L2" s="372"/>
    </row>
    <row r="3" spans="2:14" ht="13.5" thickBot="1" x14ac:dyDescent="0.25">
      <c r="B3" s="373" t="s">
        <v>31</v>
      </c>
      <c r="C3" s="374"/>
      <c r="D3" s="377" t="s">
        <v>40</v>
      </c>
      <c r="E3" s="378"/>
      <c r="F3" s="381" t="s">
        <v>28</v>
      </c>
      <c r="G3" s="382"/>
      <c r="H3" s="382"/>
      <c r="I3" s="225" t="s">
        <v>46</v>
      </c>
      <c r="J3" s="184" t="s">
        <v>28</v>
      </c>
      <c r="K3" s="132" t="s">
        <v>48</v>
      </c>
      <c r="L3" s="96" t="s">
        <v>65</v>
      </c>
    </row>
    <row r="4" spans="2:14" ht="13.5" thickBot="1" x14ac:dyDescent="0.25">
      <c r="B4" s="375"/>
      <c r="C4" s="376"/>
      <c r="D4" s="379"/>
      <c r="E4" s="380"/>
      <c r="F4" s="144" t="s">
        <v>42</v>
      </c>
      <c r="G4" s="132" t="s">
        <v>43</v>
      </c>
      <c r="H4" s="133" t="s">
        <v>47</v>
      </c>
      <c r="I4" s="183"/>
      <c r="J4" s="126" t="str">
        <f>IF(I4="","",IF(N10="","",IF(B10=0,"",I4*N10)))</f>
        <v/>
      </c>
      <c r="K4" s="126" t="str">
        <f>IF(J4="","",IF(D5="","",100*J4/D5))</f>
        <v/>
      </c>
      <c r="L4" s="176" t="str">
        <f>IF(I4="","",IF(I10="","",IF(B10="","",IF(B10=0,"",IF(J4="","",I10+(J4-F5-G5)/N19/B10/J11)))))</f>
        <v/>
      </c>
    </row>
    <row r="5" spans="2:14" ht="13.5" thickBot="1" x14ac:dyDescent="0.25">
      <c r="B5" s="383">
        <f>D5+F5</f>
        <v>3261.17</v>
      </c>
      <c r="C5" s="384"/>
      <c r="D5" s="407">
        <f>CLog!$Z$42</f>
        <v>3261.17</v>
      </c>
      <c r="E5" s="408"/>
      <c r="F5" s="129">
        <f>IF(J10="",0,J10)</f>
        <v>0</v>
      </c>
      <c r="G5" s="31" t="str">
        <f>K10</f>
        <v/>
      </c>
      <c r="H5" s="122">
        <f>IF(F5="",IF(G5="","",G5),IF(G5="",F5,F5+G5))</f>
        <v>0</v>
      </c>
      <c r="I5" s="103" t="str">
        <f>IF(J5="","",IF(N10="","",J5/N10))</f>
        <v/>
      </c>
      <c r="J5" s="32" t="str">
        <f>IF(K5="","",K5*D5/100)</f>
        <v/>
      </c>
      <c r="K5" s="95" t="str">
        <f>IF(L5="","",100*B10*N19*J11*(L5-D10)/D5)</f>
        <v/>
      </c>
      <c r="L5" s="175"/>
      <c r="M5" s="326" t="s">
        <v>131</v>
      </c>
      <c r="N5" s="327">
        <f>[3]CRe!$P$32</f>
        <v>1.0120091755496351E-2</v>
      </c>
    </row>
    <row r="6" spans="2:14" ht="13.5" thickBot="1" x14ac:dyDescent="0.25">
      <c r="B6" s="388" t="s">
        <v>32</v>
      </c>
      <c r="C6" s="389"/>
      <c r="D6" s="390">
        <f>Ativos!$T$19</f>
        <v>128.11699999999999</v>
      </c>
      <c r="E6" s="391"/>
      <c r="F6" s="130">
        <f>IF(F5="","",100*F5/D5)</f>
        <v>0</v>
      </c>
      <c r="G6" s="32" t="str">
        <f>IF(G5="","",100*G5/D5)</f>
        <v/>
      </c>
      <c r="H6" s="33">
        <f>IF(H5="","",100*(H2/D5-1))</f>
        <v>0</v>
      </c>
      <c r="I6" s="125" t="s">
        <v>73</v>
      </c>
      <c r="J6" s="126" t="str">
        <f>IF(K6="","",K6*D5/100)</f>
        <v/>
      </c>
      <c r="K6" s="127" t="str">
        <f>IF(L6="","",100*B10*N19*J11*(L6-D10)/D5)</f>
        <v/>
      </c>
      <c r="L6" s="176" t="str">
        <f>IF(J15&lt;&gt;"",J15,IF(H16="","",H16))</f>
        <v/>
      </c>
      <c r="M6" s="328" t="s">
        <v>133</v>
      </c>
      <c r="N6" s="330">
        <f>IF(N17="","",IF(N5="","",N17/N5))</f>
        <v>49.406666666677566</v>
      </c>
    </row>
    <row r="7" spans="2:14" ht="13.5" thickBot="1" x14ac:dyDescent="0.25">
      <c r="B7" s="392" t="s">
        <v>33</v>
      </c>
      <c r="C7" s="393"/>
      <c r="D7" s="394">
        <f>Ativos!$T$20</f>
        <v>128.095</v>
      </c>
      <c r="E7" s="395"/>
      <c r="F7" s="381" t="s">
        <v>29</v>
      </c>
      <c r="G7" s="382"/>
      <c r="H7" s="387"/>
      <c r="I7" s="225" t="s">
        <v>49</v>
      </c>
      <c r="J7" s="32">
        <f>IF(K7="","",-K7*D5/100)</f>
        <v>-16.253937479744206</v>
      </c>
      <c r="K7" s="177">
        <f>Risk!$C$13</f>
        <v>0.49840816270676491</v>
      </c>
      <c r="L7" s="178" t="str">
        <f>IF(K7="","",IF(I10="","",IF(K7=0,"",IF(B10=0,"",I10-(H2-D5-J7)/N19/B10))))</f>
        <v/>
      </c>
      <c r="M7" s="93" t="s">
        <v>67</v>
      </c>
      <c r="N7" s="329">
        <f>IF(N17="","",IF(K7="","",IF(K7=0,"",N17/K7)))</f>
        <v>1.0031938427424425</v>
      </c>
    </row>
    <row r="8" spans="2:14" ht="12.75" customHeight="1" x14ac:dyDescent="0.2">
      <c r="B8" s="398" t="s">
        <v>41</v>
      </c>
      <c r="C8" s="364" t="s">
        <v>71</v>
      </c>
      <c r="D8" s="368" t="s">
        <v>44</v>
      </c>
      <c r="E8" s="368" t="s">
        <v>45</v>
      </c>
      <c r="F8" s="364" t="s">
        <v>53</v>
      </c>
      <c r="G8" s="401" t="s">
        <v>109</v>
      </c>
      <c r="H8" s="366"/>
      <c r="I8" s="368" t="s">
        <v>65</v>
      </c>
      <c r="J8" s="366" t="s">
        <v>123</v>
      </c>
      <c r="K8" s="364" t="s">
        <v>28</v>
      </c>
      <c r="L8" s="358" t="s">
        <v>29</v>
      </c>
      <c r="M8" s="409" t="s">
        <v>75</v>
      </c>
      <c r="N8" s="410"/>
    </row>
    <row r="9" spans="2:14" ht="13.5" thickBot="1" x14ac:dyDescent="0.25">
      <c r="B9" s="399"/>
      <c r="C9" s="400"/>
      <c r="D9" s="365"/>
      <c r="E9" s="365"/>
      <c r="F9" s="365"/>
      <c r="G9" s="402"/>
      <c r="H9" s="367"/>
      <c r="I9" s="365"/>
      <c r="J9" s="367"/>
      <c r="K9" s="365"/>
      <c r="L9" s="359"/>
      <c r="M9" s="99" t="s">
        <v>52</v>
      </c>
      <c r="N9" s="246" t="s">
        <v>53</v>
      </c>
    </row>
    <row r="10" spans="2:14" ht="13.5" thickBot="1" x14ac:dyDescent="0.25">
      <c r="B10" s="105" t="str">
        <f>IF(B11&lt;&gt;"",B11,IF(H18="","",H18))</f>
        <v/>
      </c>
      <c r="C10" s="106" t="str">
        <f>IF(B10="","",IF(B10&gt;0,N19*B10*D6/D5,-N19*B10*D7/D5))</f>
        <v/>
      </c>
      <c r="D10" s="295" t="str">
        <f>IF(D11&lt;&gt;"",D11,IF(H17="","",H17))</f>
        <v/>
      </c>
      <c r="E10" s="295" t="str">
        <f>IF(E11&lt;&gt;"",E11,IF(J19="","",J19))</f>
        <v/>
      </c>
      <c r="F10" s="98" t="str">
        <f>IF(B10="","",IF(D10="","",IF(E10="","",B10*N$19*J11*(E10-D10))))</f>
        <v/>
      </c>
      <c r="G10" s="167">
        <v>0</v>
      </c>
      <c r="H10" s="168"/>
      <c r="I10" s="104" t="str">
        <f>IF(B10="","",IF(B10&gt;0,D$7,D$6))</f>
        <v/>
      </c>
      <c r="J10" s="128" t="str">
        <f>IF(B10="","",IF(H10="t",B10*N$19*(E10-D10)+G10,IF(H10="s",B10*N$19*(L6-D10)+G10,"")))</f>
        <v/>
      </c>
      <c r="K10" s="98" t="str">
        <f>IF(B10="","",IF(H10="",B10*N19*J11*(I10-D10)+G10,""))</f>
        <v/>
      </c>
      <c r="L10" s="102" t="str">
        <f>IF(B10="","",IF(H10&lt;&gt;"",100*J10/D$5,100*K10/D$5))</f>
        <v/>
      </c>
      <c r="M10" s="115" t="str">
        <f>IF(E10="","",E10)</f>
        <v/>
      </c>
      <c r="N10" s="102" t="str">
        <f>IF(B10="","",IF(D10="","",IF(M10="","",B10*N$19*J11*(M10-D10))))</f>
        <v/>
      </c>
    </row>
    <row r="11" spans="2:14" ht="13.5" thickBot="1" x14ac:dyDescent="0.25">
      <c r="B11" s="288"/>
      <c r="C11" s="314" t="s">
        <v>79</v>
      </c>
      <c r="D11" s="315"/>
      <c r="E11" s="114"/>
      <c r="G11" s="223" t="s">
        <v>100</v>
      </c>
      <c r="H11" s="169">
        <f>Ativos!$T$23</f>
        <v>100</v>
      </c>
      <c r="I11" s="223" t="s">
        <v>114</v>
      </c>
      <c r="J11" s="242">
        <f>Ativos!$T$24</f>
        <v>0.912353551831529</v>
      </c>
      <c r="M11" s="100" t="s">
        <v>56</v>
      </c>
      <c r="N11" s="101" t="str">
        <f>IF(F10="","",F10+G10)</f>
        <v/>
      </c>
    </row>
    <row r="12" spans="2:14" ht="13.5" thickBot="1" x14ac:dyDescent="0.25">
      <c r="B12" s="316">
        <f>D5/N19/3</f>
        <v>1.0870566666666666</v>
      </c>
      <c r="C12" s="317" t="s">
        <v>130</v>
      </c>
      <c r="D12" s="131"/>
      <c r="G12" s="14"/>
      <c r="I12" s="108"/>
      <c r="K12" s="15"/>
      <c r="M12" s="57" t="s">
        <v>54</v>
      </c>
      <c r="N12" s="56" t="str">
        <f>IF(N11="","",100*N11/D5)</f>
        <v/>
      </c>
    </row>
    <row r="13" spans="2:14" ht="13.5" thickBot="1" x14ac:dyDescent="0.25">
      <c r="B13" s="15"/>
      <c r="D13" s="403" t="s">
        <v>127</v>
      </c>
      <c r="E13" s="404"/>
      <c r="F13" s="405" t="s">
        <v>128</v>
      </c>
      <c r="G13" s="404"/>
      <c r="H13" s="298" t="s">
        <v>74</v>
      </c>
      <c r="I13" s="369" t="s">
        <v>112</v>
      </c>
      <c r="J13" s="370"/>
      <c r="M13" s="58" t="s">
        <v>125</v>
      </c>
      <c r="N13" s="59" t="str">
        <f>IF(N11="","",IF(J6="","",IF(J6=0,9999.9999,IF(J6&gt;0,"No Loss",-N11/J6))))</f>
        <v/>
      </c>
    </row>
    <row r="14" spans="2:14" ht="13.5" thickBot="1" x14ac:dyDescent="0.25">
      <c r="B14" s="15"/>
      <c r="C14" s="109" t="s">
        <v>76</v>
      </c>
      <c r="D14" s="116"/>
      <c r="E14" s="305" t="str">
        <f>IF(D14="","",D14)</f>
        <v/>
      </c>
      <c r="F14" s="299"/>
      <c r="G14" s="136" t="str">
        <f>IF(F14="","",F14)</f>
        <v/>
      </c>
      <c r="H14" s="174"/>
      <c r="I14" s="222" t="s">
        <v>113</v>
      </c>
      <c r="J14" s="226"/>
      <c r="M14" s="362" t="s">
        <v>82</v>
      </c>
      <c r="N14" s="363"/>
    </row>
    <row r="15" spans="2:14" ht="13.5" thickBot="1" x14ac:dyDescent="0.25">
      <c r="C15" s="110" t="s">
        <v>77</v>
      </c>
      <c r="D15" s="331">
        <f>'1'!D15</f>
        <v>20</v>
      </c>
      <c r="E15" s="332">
        <f>'1'!E15</f>
        <v>3</v>
      </c>
      <c r="F15" s="333">
        <f>'1'!F15</f>
        <v>15</v>
      </c>
      <c r="G15" s="334">
        <f>'1'!G15</f>
        <v>1</v>
      </c>
      <c r="H15" s="227" t="str">
        <f>IF(D$24="x",IF(E$24="",IF(F$24="",IF(G$24="",D15,""),""),""),IF(E$24="x",IF(F$24="",IF(G$24="",E15,""),""),IF(F$24="x",IF(G$24="",F15,""),IF(G$24="x",G15,""))))</f>
        <v/>
      </c>
      <c r="I15" s="93" t="s">
        <v>73</v>
      </c>
      <c r="J15" s="178" t="str">
        <f>IF(J14="","",IF(H15="","",IF(B10="","",IF(B10&gt;0,J14-H15/$H$11,IF(B10&lt;0,J14+H15/$H$11,"")))))</f>
        <v/>
      </c>
      <c r="K15" s="396" t="s">
        <v>129</v>
      </c>
      <c r="L15" s="406"/>
      <c r="M15" s="89" t="s">
        <v>84</v>
      </c>
      <c r="N15" s="296">
        <f>'1'!$N$15</f>
        <v>0.5</v>
      </c>
    </row>
    <row r="16" spans="2:14" ht="13.5" thickBot="1" x14ac:dyDescent="0.25">
      <c r="C16" s="111" t="s">
        <v>73</v>
      </c>
      <c r="D16" s="112" t="str">
        <f>IF(D14="","",IF(D15="","",D14-D15/$H$11))</f>
        <v/>
      </c>
      <c r="E16" s="307" t="str">
        <f>IF(E14="","",IF(E15="","",E14-E15/$H$11))</f>
        <v/>
      </c>
      <c r="F16" s="188" t="str">
        <f>IF(F14="","",IF(F15="","",F14+F15/$H$11))</f>
        <v/>
      </c>
      <c r="G16" s="82" t="str">
        <f>IF(G14="","",IF(G15="","",G14+G15/$H$11))</f>
        <v/>
      </c>
      <c r="H16" s="173" t="str">
        <f>IF(D$24="x",IF(E$24="",IF(F$24="",IF(G$24="",D16,""),""),""),IF(E$24="x",IF(F$24="",IF(G$24="",E16,""),""),IF(F$24="x",IF(G$24="",F16,""),IF(G$24="x",G16,""))))</f>
        <v/>
      </c>
      <c r="I16" s="14"/>
      <c r="J16" s="15"/>
      <c r="K16" s="313" t="s">
        <v>31</v>
      </c>
      <c r="L16" s="96" t="s">
        <v>64</v>
      </c>
      <c r="M16" s="90" t="s">
        <v>80</v>
      </c>
      <c r="N16" s="199">
        <f>'1'!$N$16</f>
        <v>20</v>
      </c>
    </row>
    <row r="17" spans="1:28" x14ac:dyDescent="0.2">
      <c r="C17" s="109" t="s">
        <v>72</v>
      </c>
      <c r="D17" s="159" t="str">
        <f>IF(D16="","",D6)</f>
        <v/>
      </c>
      <c r="E17" s="308" t="str">
        <f>IF(E16="","",D6)</f>
        <v/>
      </c>
      <c r="F17" s="301" t="str">
        <f>IF(F16="","",D7)</f>
        <v/>
      </c>
      <c r="G17" s="160" t="str">
        <f>IF(G16="","",D7)</f>
        <v/>
      </c>
      <c r="H17" s="180" t="str">
        <f>IF(D11&lt;&gt;"",D11,IF(D$24="x",IF(E$24="",IF(F$24="",IF(G$24="",D17,""),""),""),IF(E$24="x",IF(F$24="",IF(G$24="",E17,""),""),IF(F$24="x",IF(G$24="",F17,""),IF(G$24="x",G17,"")))))</f>
        <v/>
      </c>
      <c r="I17" s="396" t="s">
        <v>104</v>
      </c>
      <c r="J17" s="406"/>
      <c r="K17" s="341">
        <f>'1'!$K$17</f>
        <v>10000</v>
      </c>
      <c r="L17" s="340" t="str">
        <f>IF(H18="","",IF(K17="","",IF(D5="","",H18*K17/D5)))</f>
        <v/>
      </c>
      <c r="M17" s="90" t="s">
        <v>81</v>
      </c>
      <c r="N17" s="199">
        <f>'1'!N17</f>
        <v>0.5</v>
      </c>
    </row>
    <row r="18" spans="1:28" ht="13.5" thickBot="1" x14ac:dyDescent="0.25">
      <c r="A18" s="94"/>
      <c r="C18" s="189" t="s">
        <v>64</v>
      </c>
      <c r="D18" s="97" t="str">
        <f>IF(D17="","",IF(N17="","",N17*D5/100/(D17-D16)/N19/J11))</f>
        <v/>
      </c>
      <c r="E18" s="293" t="str">
        <f>IF(E17="","",IF(N17="","",N17*D5/100/(E17-E16)/N19/J11))</f>
        <v/>
      </c>
      <c r="F18" s="302" t="str">
        <f>IF(F17="","",IF(N17="","",N17*D5/100/(F17-F16)/N19/J11))</f>
        <v/>
      </c>
      <c r="G18" s="161" t="str">
        <f>IF(G17="","",IF(N17="","",N17*D5/100/(G17-G16)/N19/J11))</f>
        <v/>
      </c>
      <c r="H18" s="194" t="str">
        <f>IF(B11&lt;&gt;"",B11,IF(D$24="x",IF(E$24="",IF(F$24="",IF(G$24="",D18,""),""),""),IF(E$24="x",IF(F$24="",IF(G$24="",E18,""),""),IF(F$24="x",IF(G$24="",F18,""),IF(G$24="x",G18,"")))))</f>
        <v/>
      </c>
      <c r="I18" s="181" t="s">
        <v>105</v>
      </c>
      <c r="J18" s="185" t="s">
        <v>65</v>
      </c>
      <c r="K18" s="225" t="s">
        <v>130</v>
      </c>
      <c r="L18" s="293">
        <f>IF(K17="","",K17/N19/J11/3)</f>
        <v>3.6535543996532294</v>
      </c>
      <c r="M18" s="91" t="s">
        <v>83</v>
      </c>
      <c r="N18" s="321">
        <f>'1'!N18</f>
        <v>16.30585</v>
      </c>
      <c r="O18" s="94"/>
      <c r="AB18" s="94"/>
    </row>
    <row r="19" spans="1:28" ht="13.5" thickBot="1" x14ac:dyDescent="0.25">
      <c r="C19" s="135" t="s">
        <v>101</v>
      </c>
      <c r="D19" s="309" t="str">
        <f>IF(D18="","",D$17+(D$17-D$16))</f>
        <v/>
      </c>
      <c r="E19" s="305" t="str">
        <f>IF(E18="","",E$17+(E$17-E$16))</f>
        <v/>
      </c>
      <c r="F19" s="303" t="str">
        <f>IF(F18="","",F$17-(F$16-F$17))</f>
        <v/>
      </c>
      <c r="G19" s="136" t="str">
        <f>IF(G18="","",G$17-(G$16-G$17))</f>
        <v/>
      </c>
      <c r="H19" s="196" t="str">
        <f t="shared" ref="H19" si="0">IF(H18="","",H$17+(H$17-H$16))</f>
        <v/>
      </c>
      <c r="I19" s="191" t="s">
        <v>85</v>
      </c>
      <c r="J19" s="186" t="str">
        <f>IF(I19="x",H19,IF(I20="x",H20,IF(I21="x",H21,IF(I22="x",H22,IF(I23="x",H23,"")))))</f>
        <v/>
      </c>
      <c r="M19" s="88" t="s">
        <v>55</v>
      </c>
      <c r="N19" s="203">
        <f>Ativos!$T$22</f>
        <v>1000</v>
      </c>
    </row>
    <row r="20" spans="1:28" ht="13.5" thickBot="1" x14ac:dyDescent="0.25">
      <c r="C20" s="57" t="s">
        <v>102</v>
      </c>
      <c r="D20" s="310" t="str">
        <f>IF(D19="","",D$17+2*(D$17-D$16))</f>
        <v/>
      </c>
      <c r="E20" s="311" t="str">
        <f>IF(E19="","",E$17+2*(E$17-E$16))</f>
        <v/>
      </c>
      <c r="F20" s="187" t="str">
        <f>IF(F19="","",F$17-2*(F$16-F$17))</f>
        <v/>
      </c>
      <c r="G20" s="170" t="str">
        <f>IF(G19="","",G$17-2*(G$16-G$17))</f>
        <v/>
      </c>
      <c r="H20" s="197" t="str">
        <f>IF(H19="","",H$17+2*(H$17-H$16))</f>
        <v/>
      </c>
      <c r="I20" s="192"/>
      <c r="J20" s="15"/>
      <c r="M20" s="85" t="s">
        <v>68</v>
      </c>
      <c r="N20" s="322">
        <f>'1'!$N$20</f>
        <v>500</v>
      </c>
    </row>
    <row r="21" spans="1:28" ht="13.5" thickBot="1" x14ac:dyDescent="0.25">
      <c r="C21" s="57" t="s">
        <v>103</v>
      </c>
      <c r="D21" s="112" t="str">
        <f>IF(D20="","",D$17+3*(D$17-D$16))</f>
        <v/>
      </c>
      <c r="E21" s="307" t="str">
        <f>IF(E20="","",E$17+3*(E$17-E$16))</f>
        <v/>
      </c>
      <c r="F21" s="188" t="str">
        <f>IF(F20="","",F$17-3*(F$16-F$17))</f>
        <v/>
      </c>
      <c r="G21" s="82" t="str">
        <f>IF(G20="","",G$17-3*(G$16-G$17))</f>
        <v/>
      </c>
      <c r="H21" s="197" t="str">
        <f>IF(H20="","",H$17+3*(H$17-H$16))</f>
        <v/>
      </c>
      <c r="I21" s="192"/>
      <c r="J21" s="381" t="s">
        <v>124</v>
      </c>
      <c r="K21" s="387"/>
      <c r="M21" s="121" t="s">
        <v>69</v>
      </c>
      <c r="N21" s="84">
        <f>IF(D5="","",IF(N19="","",IF(N20="","",D5*N20/N19/D6)))</f>
        <v>12.72731175409977</v>
      </c>
    </row>
    <row r="22" spans="1:28" x14ac:dyDescent="0.2">
      <c r="C22" s="57" t="s">
        <v>106</v>
      </c>
      <c r="D22" s="310" t="str">
        <f>IF(D21="","",D$17+4*(D$17-D$16))</f>
        <v/>
      </c>
      <c r="E22" s="311" t="str">
        <f>IF(E21="","",E$17+4*(E$17-E$16))</f>
        <v/>
      </c>
      <c r="F22" s="187" t="str">
        <f>IF(F21="","",F$17-4*(F$16-F$17))</f>
        <v/>
      </c>
      <c r="G22" s="170" t="str">
        <f>IF(G21="","",G$17-4*(G$16-G$17))</f>
        <v/>
      </c>
      <c r="H22" s="197" t="str">
        <f>IF(H21="","",H$17+4*(H$17-H$16))</f>
        <v/>
      </c>
      <c r="I22" s="192"/>
      <c r="J22" s="281"/>
      <c r="K22" s="282" t="str">
        <f>IF(K23="","",IF(H17="","",(K23-H17)/(H17-H16)))</f>
        <v/>
      </c>
      <c r="L22" s="278" t="s">
        <v>125</v>
      </c>
      <c r="M22" s="15"/>
    </row>
    <row r="23" spans="1:28" ht="13.5" thickBot="1" x14ac:dyDescent="0.25">
      <c r="C23" s="58" t="s">
        <v>107</v>
      </c>
      <c r="D23" s="112" t="str">
        <f>IF(D22="","",D$17+5*(D$17-D$16))</f>
        <v/>
      </c>
      <c r="E23" s="307" t="str">
        <f>IF(E22="","",E$17+5*(E$17-E$16))</f>
        <v/>
      </c>
      <c r="F23" s="188" t="str">
        <f>IF(F22="","",F$17-5*(F$16-F$17))</f>
        <v/>
      </c>
      <c r="G23" s="82" t="str">
        <f>IF(G22="","",G$17-5*(G$16-G$17))</f>
        <v/>
      </c>
      <c r="H23" s="198" t="str">
        <f>IF(H22="","",H$17+5*(H$17-H$16))</f>
        <v/>
      </c>
      <c r="I23" s="193"/>
      <c r="J23" s="277" t="str">
        <f>IF(J22="","",IF(H17="","",H17+J22*(H17-H16)))</f>
        <v/>
      </c>
      <c r="K23" s="280"/>
      <c r="L23" s="279" t="s">
        <v>126</v>
      </c>
    </row>
    <row r="24" spans="1:28" ht="13.5" thickBot="1" x14ac:dyDescent="0.25">
      <c r="C24" s="190" t="s">
        <v>78</v>
      </c>
      <c r="D24" s="119"/>
      <c r="E24" s="312"/>
      <c r="F24" s="304"/>
      <c r="G24" s="123"/>
      <c r="H24" s="195" t="str">
        <f>IF(D$24="x",IF(E$24="",IF(F$24="",IF(G$24="",D13,""),""),""),IF(E$24="x",IF(F$24="",IF(G$24="",D13,""),""),IF(F$24="x",IF(G$24="",F13,""),IF(G$24="x",F13,""))))</f>
        <v/>
      </c>
      <c r="I24" s="14"/>
      <c r="J24" s="15"/>
    </row>
    <row r="25" spans="1:28" x14ac:dyDescent="0.2">
      <c r="I25" s="14"/>
      <c r="J25" s="15"/>
    </row>
    <row r="26" spans="1:28" x14ac:dyDescent="0.2">
      <c r="D26" s="131"/>
      <c r="G26" s="113"/>
      <c r="H26" s="14"/>
      <c r="I26" s="14"/>
      <c r="J26" s="15"/>
    </row>
    <row r="27" spans="1:28" x14ac:dyDescent="0.2">
      <c r="I27" s="14"/>
      <c r="J27" s="15"/>
    </row>
    <row r="28" spans="1:28" x14ac:dyDescent="0.2">
      <c r="I28" s="14"/>
      <c r="J28" s="15"/>
    </row>
    <row r="29" spans="1:28" x14ac:dyDescent="0.2">
      <c r="I29" s="14"/>
      <c r="L29" s="14"/>
    </row>
    <row r="30" spans="1:28" x14ac:dyDescent="0.2">
      <c r="I30" s="14"/>
      <c r="L30" s="14"/>
    </row>
  </sheetData>
  <mergeCells count="30">
    <mergeCell ref="J21:K21"/>
    <mergeCell ref="I2:L2"/>
    <mergeCell ref="B3:C4"/>
    <mergeCell ref="D3:E4"/>
    <mergeCell ref="F3:H3"/>
    <mergeCell ref="B5:C5"/>
    <mergeCell ref="D5:E5"/>
    <mergeCell ref="B8:B9"/>
    <mergeCell ref="C8:C9"/>
    <mergeCell ref="D8:D9"/>
    <mergeCell ref="E8:E9"/>
    <mergeCell ref="F8:F9"/>
    <mergeCell ref="B6:C6"/>
    <mergeCell ref="D6:E6"/>
    <mergeCell ref="B7:C7"/>
    <mergeCell ref="D7:E7"/>
    <mergeCell ref="F7:H7"/>
    <mergeCell ref="M8:N8"/>
    <mergeCell ref="I13:J13"/>
    <mergeCell ref="D13:E13"/>
    <mergeCell ref="F13:G13"/>
    <mergeCell ref="M14:N14"/>
    <mergeCell ref="I17:J17"/>
    <mergeCell ref="G8:G9"/>
    <mergeCell ref="H8:H9"/>
    <mergeCell ref="I8:I9"/>
    <mergeCell ref="J8:J9"/>
    <mergeCell ref="K8:K9"/>
    <mergeCell ref="L8:L9"/>
    <mergeCell ref="K15:L15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0"/>
  <sheetViews>
    <sheetView tabSelected="1" workbookViewId="0">
      <selection activeCell="I25" sqref="I25"/>
    </sheetView>
  </sheetViews>
  <sheetFormatPr defaultRowHeight="12.75" x14ac:dyDescent="0.2"/>
  <cols>
    <col min="1" max="1" width="1.42578125" style="14" customWidth="1"/>
    <col min="2" max="2" width="5.85546875" customWidth="1"/>
    <col min="3" max="3" width="12.42578125" style="16" bestFit="1" customWidth="1"/>
    <col min="4" max="4" width="8.140625" style="16" customWidth="1"/>
    <col min="5" max="5" width="8.140625" style="15" customWidth="1"/>
    <col min="6" max="6" width="10" style="15" customWidth="1"/>
    <col min="7" max="7" width="9.85546875" style="15" bestFit="1" customWidth="1"/>
    <col min="8" max="8" width="10.5703125" style="15" customWidth="1"/>
    <col min="9" max="9" width="13.28515625" style="15" bestFit="1" customWidth="1"/>
    <col min="10" max="10" width="8.7109375" style="14" customWidth="1"/>
    <col min="11" max="11" width="10.140625" style="14" bestFit="1" customWidth="1"/>
    <col min="12" max="12" width="8.5703125" style="15" bestFit="1" customWidth="1"/>
    <col min="13" max="13" width="13.5703125" style="14" bestFit="1" customWidth="1"/>
    <col min="14" max="14" width="12" style="14" customWidth="1"/>
    <col min="15" max="15" width="1.42578125" style="14" customWidth="1"/>
    <col min="16" max="16" width="14.5703125" style="14" bestFit="1" customWidth="1"/>
    <col min="17" max="17" width="10.5703125" style="14" bestFit="1" customWidth="1"/>
    <col min="18" max="19" width="10.140625" style="14" bestFit="1" customWidth="1"/>
    <col min="20" max="20" width="2.42578125" style="14" customWidth="1"/>
    <col min="21" max="21" width="4" style="14" bestFit="1" customWidth="1"/>
    <col min="22" max="22" width="8.140625" style="14" bestFit="1" customWidth="1"/>
    <col min="23" max="25" width="9.140625" style="14"/>
    <col min="26" max="26" width="10.140625" style="14" bestFit="1" customWidth="1"/>
    <col min="27" max="27" width="9.140625" style="14"/>
    <col min="28" max="28" width="2.42578125" style="14" customWidth="1"/>
    <col min="29" max="16384" width="9.140625" style="14"/>
  </cols>
  <sheetData>
    <row r="1" spans="2:14" ht="13.5" thickBot="1" x14ac:dyDescent="0.25">
      <c r="L1" s="60"/>
      <c r="N1" s="50"/>
    </row>
    <row r="2" spans="2:14" ht="13.5" thickBot="1" x14ac:dyDescent="0.25">
      <c r="B2" s="223" t="s">
        <v>96</v>
      </c>
      <c r="C2" s="147" t="str">
        <f>Ativos!$V$18</f>
        <v>EURUSD</v>
      </c>
      <c r="D2" s="223" t="s">
        <v>51</v>
      </c>
      <c r="E2" s="155">
        <f>Ativos!$V$21</f>
        <v>1.4999999999987246</v>
      </c>
      <c r="G2" s="171" t="s">
        <v>30</v>
      </c>
      <c r="H2" s="182">
        <f>SUM(D5:G5)</f>
        <v>3263.64</v>
      </c>
      <c r="I2" s="371" t="s">
        <v>70</v>
      </c>
      <c r="J2" s="345"/>
      <c r="K2" s="345"/>
      <c r="L2" s="372"/>
    </row>
    <row r="3" spans="2:14" ht="13.5" thickBot="1" x14ac:dyDescent="0.25">
      <c r="B3" s="373" t="s">
        <v>31</v>
      </c>
      <c r="C3" s="374"/>
      <c r="D3" s="377" t="s">
        <v>40</v>
      </c>
      <c r="E3" s="378"/>
      <c r="F3" s="381" t="s">
        <v>28</v>
      </c>
      <c r="G3" s="382"/>
      <c r="H3" s="382"/>
      <c r="I3" s="225" t="s">
        <v>46</v>
      </c>
      <c r="J3" s="184" t="s">
        <v>28</v>
      </c>
      <c r="K3" s="132" t="s">
        <v>48</v>
      </c>
      <c r="L3" s="96" t="s">
        <v>65</v>
      </c>
    </row>
    <row r="4" spans="2:14" ht="13.5" thickBot="1" x14ac:dyDescent="0.25">
      <c r="B4" s="375"/>
      <c r="C4" s="376"/>
      <c r="D4" s="379"/>
      <c r="E4" s="380"/>
      <c r="F4" s="144" t="s">
        <v>42</v>
      </c>
      <c r="G4" s="132" t="s">
        <v>43</v>
      </c>
      <c r="H4" s="133" t="s">
        <v>47</v>
      </c>
      <c r="I4" s="183"/>
      <c r="J4" s="126" t="str">
        <f>IF(I4="","",IF(N10="","",IF(B10=0,"",I4*N10)))</f>
        <v/>
      </c>
      <c r="K4" s="126" t="str">
        <f>IF(J4="","",IF(D5="","",100*J4/D5))</f>
        <v/>
      </c>
      <c r="L4" s="176" t="str">
        <f>IF(I4="","",IF(I10="","",IF(B10="","",IF(B10=0,"",IF(J4="","",I10+(J4-F5-G5)/N19/B10/J11)))))</f>
        <v/>
      </c>
    </row>
    <row r="5" spans="2:14" ht="13.5" thickBot="1" x14ac:dyDescent="0.25">
      <c r="B5" s="383">
        <f>D5+F5</f>
        <v>3261.17</v>
      </c>
      <c r="C5" s="384"/>
      <c r="D5" s="407">
        <f>CLog!$Z$42</f>
        <v>3261.17</v>
      </c>
      <c r="E5" s="408"/>
      <c r="F5" s="129">
        <f>IF(J10="",0,J10)</f>
        <v>0</v>
      </c>
      <c r="G5" s="31">
        <f>K10</f>
        <v>2.4699999999999722</v>
      </c>
      <c r="H5" s="122">
        <f>IF(F5="",IF(G5="","",G5),IF(G5="",F5,F5+G5))</f>
        <v>2.4699999999999722</v>
      </c>
      <c r="I5" s="103" t="str">
        <f>IF(J5="","",IF(N10="","",J5/N10))</f>
        <v/>
      </c>
      <c r="J5" s="32" t="str">
        <f>IF(K5="","",K5*D5/100)</f>
        <v/>
      </c>
      <c r="K5" s="95" t="str">
        <f>IF(L5="","",100*B10*N19*J11*(L5-D10)/D5)</f>
        <v/>
      </c>
      <c r="L5" s="175"/>
      <c r="M5" s="326" t="s">
        <v>131</v>
      </c>
      <c r="N5" s="327">
        <f>[3]CRe!$P$32</f>
        <v>1.0120091755496351E-2</v>
      </c>
    </row>
    <row r="6" spans="2:14" ht="13.5" thickBot="1" x14ac:dyDescent="0.25">
      <c r="B6" s="388" t="s">
        <v>32</v>
      </c>
      <c r="C6" s="389"/>
      <c r="D6" s="390">
        <f>Ativos!$V$19</f>
        <v>1.1688799999999999</v>
      </c>
      <c r="E6" s="391"/>
      <c r="F6" s="130">
        <f>IF(F5="","",100*F5/D5)</f>
        <v>0</v>
      </c>
      <c r="G6" s="32">
        <f>IF(G5="","",100*G5/D5)</f>
        <v>7.5739688516697143E-2</v>
      </c>
      <c r="H6" s="33">
        <f>IF(H5="","",100*(H2/D5-1))</f>
        <v>7.5739688516685E-2</v>
      </c>
      <c r="I6" s="125" t="s">
        <v>73</v>
      </c>
      <c r="J6" s="126">
        <f>IF(K6="","",K6*D5/100)</f>
        <v>-17.540000000000113</v>
      </c>
      <c r="K6" s="127">
        <f>IF(L6="","",100*B10*N19*J11*(L6-D10)/D5)</f>
        <v>-0.53784377999307342</v>
      </c>
      <c r="L6" s="176">
        <f>IF(J15&lt;&gt;"",J15,IF(H16="","",H16))</f>
        <v>1.14872</v>
      </c>
      <c r="M6" s="328" t="s">
        <v>133</v>
      </c>
      <c r="N6" s="330">
        <f>IF(N17="","",IF(N5="","",N17/N5))</f>
        <v>49.406666666677566</v>
      </c>
    </row>
    <row r="7" spans="2:14" ht="13.5" thickBot="1" x14ac:dyDescent="0.25">
      <c r="B7" s="392" t="s">
        <v>33</v>
      </c>
      <c r="C7" s="393"/>
      <c r="D7" s="394">
        <f>Ativos!$V$20</f>
        <v>1.16873</v>
      </c>
      <c r="E7" s="395"/>
      <c r="F7" s="381" t="s">
        <v>29</v>
      </c>
      <c r="G7" s="382"/>
      <c r="H7" s="387"/>
      <c r="I7" s="225" t="s">
        <v>49</v>
      </c>
      <c r="J7" s="32">
        <f>IF(K7="","",-K7*D5/100)</f>
        <v>-16.253937479744206</v>
      </c>
      <c r="K7" s="177">
        <f>Risk!$C$13</f>
        <v>0.49840816270676491</v>
      </c>
      <c r="L7" s="178">
        <f>IF(K7="","",IF(I10="","",IF(K7=0,"",IF(B10=0,"",I10-(H2-D5-J7)/N19/B10))))</f>
        <v>1.1500060625202559</v>
      </c>
      <c r="M7" s="93" t="s">
        <v>67</v>
      </c>
      <c r="N7" s="329">
        <f>IF(N17="","",IF(K7="","",IF(K7=0,"",N17/K7)))</f>
        <v>1.0031938427424425</v>
      </c>
    </row>
    <row r="8" spans="2:14" ht="12.75" customHeight="1" x14ac:dyDescent="0.2">
      <c r="B8" s="398" t="s">
        <v>41</v>
      </c>
      <c r="C8" s="364" t="s">
        <v>71</v>
      </c>
      <c r="D8" s="368" t="s">
        <v>44</v>
      </c>
      <c r="E8" s="368" t="s">
        <v>45</v>
      </c>
      <c r="F8" s="364" t="s">
        <v>53</v>
      </c>
      <c r="G8" s="401" t="s">
        <v>109</v>
      </c>
      <c r="H8" s="366"/>
      <c r="I8" s="368" t="s">
        <v>65</v>
      </c>
      <c r="J8" s="366" t="s">
        <v>123</v>
      </c>
      <c r="K8" s="364" t="s">
        <v>28</v>
      </c>
      <c r="L8" s="358" t="s">
        <v>29</v>
      </c>
      <c r="M8" s="409" t="s">
        <v>75</v>
      </c>
      <c r="N8" s="410"/>
    </row>
    <row r="9" spans="2:14" ht="13.5" thickBot="1" x14ac:dyDescent="0.25">
      <c r="B9" s="399"/>
      <c r="C9" s="400"/>
      <c r="D9" s="365"/>
      <c r="E9" s="365"/>
      <c r="F9" s="365"/>
      <c r="G9" s="402"/>
      <c r="H9" s="367"/>
      <c r="I9" s="365"/>
      <c r="J9" s="367"/>
      <c r="K9" s="365"/>
      <c r="L9" s="359"/>
      <c r="M9" s="99" t="s">
        <v>52</v>
      </c>
      <c r="N9" s="246" t="s">
        <v>53</v>
      </c>
    </row>
    <row r="10" spans="2:14" ht="13.5" thickBot="1" x14ac:dyDescent="0.25">
      <c r="B10" s="105">
        <f>IF(B11&lt;&gt;"",B11,IF(H18="","",H18))</f>
        <v>0.01</v>
      </c>
      <c r="C10" s="106">
        <f>IF(B10="","",IF(B10&gt;0,N19*B10*D6/D5,-N19*B10*D7/D5))</f>
        <v>0.35842351058055849</v>
      </c>
      <c r="D10" s="107">
        <f>IF(D11&lt;&gt;"",D11,IF(H17="","",H17))</f>
        <v>1.1662600000000001</v>
      </c>
      <c r="E10" s="107">
        <f>IF(E11&lt;&gt;"",E11,IF(J19="","",J19))</f>
        <v>1.1838000000000002</v>
      </c>
      <c r="F10" s="98">
        <f>IF(B10="","",IF(D10="","",IF(E10="","",B10*N$19*J11*(E10-D10))))</f>
        <v>17.540000000000113</v>
      </c>
      <c r="G10" s="167">
        <v>0</v>
      </c>
      <c r="H10" s="168"/>
      <c r="I10" s="104">
        <f>IF(B10="","",IF(B10&gt;0,D$7,D$6))</f>
        <v>1.16873</v>
      </c>
      <c r="J10" s="128" t="str">
        <f>IF(B10="","",IF(H10="t",B10*N$19*(E10-D10)+G10,IF(H10="s",B10*N$19*(L6-D10)+G10,"")))</f>
        <v/>
      </c>
      <c r="K10" s="98">
        <f>IF(B10="","",IF(H10="",B10*N19*J11*(I10-D10)+G10,""))</f>
        <v>2.4699999999999722</v>
      </c>
      <c r="L10" s="102">
        <f>IF(B10="","",IF(H10&lt;&gt;"",100*J10/D$5,100*K10/D$5))</f>
        <v>7.5739688516697143E-2</v>
      </c>
      <c r="M10" s="115">
        <f>IF(E10="","",E10)</f>
        <v>1.1838000000000002</v>
      </c>
      <c r="N10" s="102">
        <f>IF(B10="","",IF(D10="","",IF(M10="","",B10*N$19*J11*(M10-D10))))</f>
        <v>17.540000000000113</v>
      </c>
    </row>
    <row r="11" spans="2:14" ht="13.5" thickBot="1" x14ac:dyDescent="0.25">
      <c r="B11" s="288">
        <v>0.01</v>
      </c>
      <c r="C11" s="314" t="s">
        <v>79</v>
      </c>
      <c r="D11" s="315">
        <v>1.1662600000000001</v>
      </c>
      <c r="E11" s="114"/>
      <c r="G11" s="223" t="s">
        <v>100</v>
      </c>
      <c r="H11" s="169">
        <f>Ativos!$V$23</f>
        <v>10000</v>
      </c>
      <c r="I11" s="223" t="s">
        <v>114</v>
      </c>
      <c r="J11" s="242">
        <f>Ativos!$V$24</f>
        <v>1</v>
      </c>
      <c r="M11" s="100" t="s">
        <v>56</v>
      </c>
      <c r="N11" s="101">
        <f>IF(F10="","",F10+G10)</f>
        <v>17.540000000000113</v>
      </c>
    </row>
    <row r="12" spans="2:14" ht="13.5" thickBot="1" x14ac:dyDescent="0.25">
      <c r="B12" s="316">
        <f>D5/N19/3</f>
        <v>1.0870566666666666E-2</v>
      </c>
      <c r="C12" s="317" t="s">
        <v>130</v>
      </c>
      <c r="D12" s="131"/>
      <c r="G12" s="14"/>
      <c r="I12" s="108"/>
      <c r="K12" s="15"/>
      <c r="M12" s="57" t="s">
        <v>54</v>
      </c>
      <c r="N12" s="56">
        <f>IF(N11="","",100*N11/D5)</f>
        <v>0.53784377999307342</v>
      </c>
    </row>
    <row r="13" spans="2:14" ht="13.5" thickBot="1" x14ac:dyDescent="0.25">
      <c r="B13" s="15"/>
      <c r="D13" s="403" t="s">
        <v>127</v>
      </c>
      <c r="E13" s="404"/>
      <c r="F13" s="405" t="s">
        <v>128</v>
      </c>
      <c r="G13" s="404"/>
      <c r="H13" s="298" t="s">
        <v>74</v>
      </c>
      <c r="I13" s="369" t="s">
        <v>112</v>
      </c>
      <c r="J13" s="370"/>
      <c r="M13" s="58" t="s">
        <v>125</v>
      </c>
      <c r="N13" s="59">
        <f>IF(N11="","",IF(J6="","",IF(J6=0,9999.9999,IF(J6&gt;0,"No Loss",-N11/J6))))</f>
        <v>1</v>
      </c>
    </row>
    <row r="14" spans="2:14" ht="13.5" thickBot="1" x14ac:dyDescent="0.25">
      <c r="B14" s="15"/>
      <c r="C14" s="109" t="s">
        <v>76</v>
      </c>
      <c r="D14" s="116">
        <v>1.15072</v>
      </c>
      <c r="E14" s="305">
        <f>IF(D14="","",D14)</f>
        <v>1.15072</v>
      </c>
      <c r="F14" s="299"/>
      <c r="G14" s="136" t="str">
        <f>IF(F14="","",F14)</f>
        <v/>
      </c>
      <c r="H14" s="174"/>
      <c r="I14" s="222" t="s">
        <v>113</v>
      </c>
      <c r="J14" s="226"/>
      <c r="M14" s="362" t="s">
        <v>82</v>
      </c>
      <c r="N14" s="363"/>
    </row>
    <row r="15" spans="2:14" ht="13.5" thickBot="1" x14ac:dyDescent="0.25">
      <c r="C15" s="110" t="s">
        <v>77</v>
      </c>
      <c r="D15" s="331">
        <f>'1'!D15</f>
        <v>20</v>
      </c>
      <c r="E15" s="332">
        <f>'1'!E15</f>
        <v>3</v>
      </c>
      <c r="F15" s="333">
        <f>'1'!F15</f>
        <v>15</v>
      </c>
      <c r="G15" s="334">
        <f>'1'!G15</f>
        <v>1</v>
      </c>
      <c r="H15" s="227">
        <f>IF(D$24="x",IF(E$24="",IF(F$24="",IF(G$24="",D15,""),""),""),IF(E$24="x",IF(F$24="",IF(G$24="",E15,""),""),IF(F$24="x",IF(G$24="",F15,""),IF(G$24="x",G15,""))))</f>
        <v>20</v>
      </c>
      <c r="I15" s="93" t="s">
        <v>73</v>
      </c>
      <c r="J15" s="178" t="str">
        <f>IF(J14="","",IF(H15="","",IF(B10="","",IF(B10&gt;0,J14-H15/$H$11,IF(B10&lt;0,J14+H15/$H$11,"")))))</f>
        <v/>
      </c>
      <c r="K15" s="396" t="s">
        <v>129</v>
      </c>
      <c r="L15" s="406"/>
      <c r="M15" s="89" t="s">
        <v>84</v>
      </c>
      <c r="N15" s="296">
        <f>'1'!$N$15</f>
        <v>0.5</v>
      </c>
    </row>
    <row r="16" spans="2:14" ht="13.5" thickBot="1" x14ac:dyDescent="0.25">
      <c r="C16" s="111" t="s">
        <v>73</v>
      </c>
      <c r="D16" s="112">
        <f>IF(D14="","",IF(D15="","",D14-D15/$H$11))</f>
        <v>1.14872</v>
      </c>
      <c r="E16" s="307">
        <f>IF(E14="","",IF(E15="","",E14-E15/$H$11))</f>
        <v>1.15042</v>
      </c>
      <c r="F16" s="188" t="str">
        <f>IF(F14="","",IF(F15="","",F14+F15/$H$11))</f>
        <v/>
      </c>
      <c r="G16" s="82" t="str">
        <f>IF(G14="","",IF(G15="","",G14+G15/$H$11))</f>
        <v/>
      </c>
      <c r="H16" s="173">
        <f>IF(D$24="x",IF(E$24="",IF(F$24="",IF(G$24="",D16,""),""),""),IF(E$24="x",IF(F$24="",IF(G$24="",E16,""),""),IF(F$24="x",IF(G$24="",F16,""),IF(G$24="x",G16,""))))</f>
        <v>1.14872</v>
      </c>
      <c r="I16" s="14"/>
      <c r="J16" s="15"/>
      <c r="K16" s="313" t="s">
        <v>31</v>
      </c>
      <c r="L16" s="96" t="s">
        <v>64</v>
      </c>
      <c r="M16" s="90" t="s">
        <v>80</v>
      </c>
      <c r="N16" s="199">
        <f>'1'!$N$16</f>
        <v>20</v>
      </c>
    </row>
    <row r="17" spans="1:28" x14ac:dyDescent="0.2">
      <c r="C17" s="109" t="s">
        <v>72</v>
      </c>
      <c r="D17" s="159">
        <f>IF(D16="","",D6)</f>
        <v>1.1688799999999999</v>
      </c>
      <c r="E17" s="308">
        <f>IF(E16="","",D6)</f>
        <v>1.1688799999999999</v>
      </c>
      <c r="F17" s="301" t="str">
        <f>IF(F16="","",D7)</f>
        <v/>
      </c>
      <c r="G17" s="160" t="str">
        <f>IF(G16="","",D7)</f>
        <v/>
      </c>
      <c r="H17" s="180">
        <f>IF(D11&lt;&gt;"",D11,IF(D$24="x",IF(E$24="",IF(F$24="",IF(G$24="",D17,""),""),""),IF(E$24="x",IF(F$24="",IF(G$24="",E17,""),""),IF(F$24="x",IF(G$24="",F17,""),IF(G$24="x",G17,"")))))</f>
        <v>1.1662600000000001</v>
      </c>
      <c r="I17" s="396" t="s">
        <v>104</v>
      </c>
      <c r="J17" s="406"/>
      <c r="K17" s="341">
        <f>'1'!$K$17</f>
        <v>10000</v>
      </c>
      <c r="L17" s="340">
        <f>IF(H18="","",IF(K17="","",IF(D5="","",H18*K17/D5)))</f>
        <v>3.0663841504736028E-2</v>
      </c>
      <c r="M17" s="90" t="s">
        <v>81</v>
      </c>
      <c r="N17" s="199">
        <f>'1'!N17</f>
        <v>0.5</v>
      </c>
    </row>
    <row r="18" spans="1:28" ht="13.5" thickBot="1" x14ac:dyDescent="0.25">
      <c r="A18" s="94"/>
      <c r="C18" s="189" t="s">
        <v>64</v>
      </c>
      <c r="D18" s="97">
        <f>IF(D17="","",IF(N17="","",N17*D5/100/(D17-D16)/N19/J11))</f>
        <v>8.0882192460317633E-3</v>
      </c>
      <c r="E18" s="293">
        <f>IF(E17="","",IF(N17="","",N17*D5/100/(E17-E16)/N19/J11))</f>
        <v>8.8330715059588664E-3</v>
      </c>
      <c r="F18" s="302" t="str">
        <f>IF(F17="","",IF(N17="","",N17*D5/100/(F17-F16)/N19/J11))</f>
        <v/>
      </c>
      <c r="G18" s="161" t="str">
        <f>IF(G17="","",IF(N17="","",N17*D5/100/(G17-G16)/N19/J11))</f>
        <v/>
      </c>
      <c r="H18" s="194">
        <f>IF(B11&lt;&gt;"",B11,IF(D$24="x",IF(E$24="",IF(F$24="",IF(G$24="",D18,""),""),""),IF(E$24="x",IF(F$24="",IF(G$24="",E18,""),""),IF(F$24="x",IF(G$24="",F18,""),IF(G$24="x",G18,"")))))</f>
        <v>0.01</v>
      </c>
      <c r="I18" s="181" t="s">
        <v>105</v>
      </c>
      <c r="J18" s="185" t="s">
        <v>65</v>
      </c>
      <c r="K18" s="225" t="s">
        <v>130</v>
      </c>
      <c r="L18" s="293">
        <f>IF(K17="","",K17/N19/J11/3)</f>
        <v>3.3333333333333333E-2</v>
      </c>
      <c r="M18" s="91" t="s">
        <v>83</v>
      </c>
      <c r="N18" s="321">
        <f>'1'!N18</f>
        <v>16.30585</v>
      </c>
      <c r="O18" s="94"/>
      <c r="AB18" s="94"/>
    </row>
    <row r="19" spans="1:28" ht="13.5" thickBot="1" x14ac:dyDescent="0.25">
      <c r="C19" s="135" t="s">
        <v>101</v>
      </c>
      <c r="D19" s="309">
        <f>IF(D18="","",D$17+(D$17-D$16))</f>
        <v>1.1890399999999999</v>
      </c>
      <c r="E19" s="305">
        <f>IF(E18="","",E$17+(E$17-E$16))</f>
        <v>1.1873399999999998</v>
      </c>
      <c r="F19" s="303" t="str">
        <f>IF(F18="","",F$17-(F$16-F$17))</f>
        <v/>
      </c>
      <c r="G19" s="136" t="str">
        <f>IF(G18="","",G$17-(G$16-G$17))</f>
        <v/>
      </c>
      <c r="H19" s="196">
        <f t="shared" ref="H19" si="0">IF(H18="","",H$17+(H$17-H$16))</f>
        <v>1.1838000000000002</v>
      </c>
      <c r="I19" s="191" t="s">
        <v>85</v>
      </c>
      <c r="J19" s="186">
        <f>IF(I19="x",H19,IF(I20="x",H20,IF(I21="x",H21,IF(I22="x",H22,IF(I23="x",H23,"")))))</f>
        <v>1.1838000000000002</v>
      </c>
      <c r="M19" s="88" t="s">
        <v>55</v>
      </c>
      <c r="N19" s="203">
        <f>Ativos!$V$22</f>
        <v>100000</v>
      </c>
    </row>
    <row r="20" spans="1:28" ht="13.5" thickBot="1" x14ac:dyDescent="0.25">
      <c r="C20" s="57" t="s">
        <v>102</v>
      </c>
      <c r="D20" s="310">
        <f>IF(D19="","",D$17+2*(D$17-D$16))</f>
        <v>1.2091999999999998</v>
      </c>
      <c r="E20" s="311">
        <f>IF(E19="","",E$17+2*(E$17-E$16))</f>
        <v>1.2057999999999998</v>
      </c>
      <c r="F20" s="187" t="str">
        <f>IF(F19="","",F$17-2*(F$16-F$17))</f>
        <v/>
      </c>
      <c r="G20" s="170" t="str">
        <f>IF(G19="","",G$17-2*(G$16-G$17))</f>
        <v/>
      </c>
      <c r="H20" s="197">
        <f>IF(H19="","",H$17+2*(H$17-H$16))</f>
        <v>1.2013400000000003</v>
      </c>
      <c r="I20" s="192"/>
      <c r="J20" s="15"/>
      <c r="M20" s="85" t="s">
        <v>68</v>
      </c>
      <c r="N20" s="322">
        <f>'1'!$N$20</f>
        <v>500</v>
      </c>
    </row>
    <row r="21" spans="1:28" ht="13.5" thickBot="1" x14ac:dyDescent="0.25">
      <c r="C21" s="57" t="s">
        <v>103</v>
      </c>
      <c r="D21" s="112">
        <f>IF(D20="","",D$17+3*(D$17-D$16))</f>
        <v>1.2293599999999998</v>
      </c>
      <c r="E21" s="307">
        <f>IF(E20="","",E$17+3*(E$17-E$16))</f>
        <v>1.2242599999999997</v>
      </c>
      <c r="F21" s="188" t="str">
        <f>IF(F20="","",F$17-3*(F$16-F$17))</f>
        <v/>
      </c>
      <c r="G21" s="82" t="str">
        <f>IF(G20="","",G$17-3*(G$16-G$17))</f>
        <v/>
      </c>
      <c r="H21" s="197">
        <f>IF(H20="","",H$17+3*(H$17-H$16))</f>
        <v>1.2188800000000004</v>
      </c>
      <c r="I21" s="192"/>
      <c r="J21" s="381" t="s">
        <v>124</v>
      </c>
      <c r="K21" s="387"/>
      <c r="M21" s="121" t="s">
        <v>69</v>
      </c>
      <c r="N21" s="84">
        <f>IF(D5="","",IF(N19="","",IF(N20="","",D5*N20/N19/D6)))</f>
        <v>13.949977756484842</v>
      </c>
    </row>
    <row r="22" spans="1:28" x14ac:dyDescent="0.2">
      <c r="C22" s="57" t="s">
        <v>106</v>
      </c>
      <c r="D22" s="310">
        <f>IF(D21="","",D$17+4*(D$17-D$16))</f>
        <v>1.2495199999999997</v>
      </c>
      <c r="E22" s="311">
        <f>IF(E21="","",E$17+4*(E$17-E$16))</f>
        <v>1.2427199999999996</v>
      </c>
      <c r="F22" s="187" t="str">
        <f>IF(F21="","",F$17-4*(F$16-F$17))</f>
        <v/>
      </c>
      <c r="G22" s="170" t="str">
        <f>IF(G21="","",G$17-4*(G$16-G$17))</f>
        <v/>
      </c>
      <c r="H22" s="197">
        <f>IF(H21="","",H$17+4*(H$17-H$16))</f>
        <v>1.2364200000000005</v>
      </c>
      <c r="I22" s="192"/>
      <c r="J22" s="281"/>
      <c r="K22" s="282" t="str">
        <f>IF(K23="","",IF(H17="","",(K23-H17)/(H17-H16)))</f>
        <v/>
      </c>
      <c r="L22" s="278" t="s">
        <v>125</v>
      </c>
      <c r="M22" s="15"/>
    </row>
    <row r="23" spans="1:28" ht="13.5" thickBot="1" x14ac:dyDescent="0.25">
      <c r="C23" s="58" t="s">
        <v>107</v>
      </c>
      <c r="D23" s="112">
        <f>IF(D22="","",D$17+5*(D$17-D$16))</f>
        <v>1.2696799999999997</v>
      </c>
      <c r="E23" s="307">
        <f>IF(E22="","",E$17+5*(E$17-E$16))</f>
        <v>1.2611799999999995</v>
      </c>
      <c r="F23" s="188" t="str">
        <f>IF(F22="","",F$17-5*(F$16-F$17))</f>
        <v/>
      </c>
      <c r="G23" s="82" t="str">
        <f>IF(G22="","",G$17-5*(G$16-G$17))</f>
        <v/>
      </c>
      <c r="H23" s="198">
        <f>IF(H22="","",H$17+5*(H$17-H$16))</f>
        <v>1.2539600000000006</v>
      </c>
      <c r="I23" s="193"/>
      <c r="J23" s="277" t="str">
        <f>IF(J22="","",IF(H17="","",H17+J22*(H17-H16)))</f>
        <v/>
      </c>
      <c r="K23" s="280"/>
      <c r="L23" s="279" t="s">
        <v>126</v>
      </c>
    </row>
    <row r="24" spans="1:28" ht="13.5" thickBot="1" x14ac:dyDescent="0.25">
      <c r="C24" s="190" t="s">
        <v>78</v>
      </c>
      <c r="D24" s="119" t="s">
        <v>85</v>
      </c>
      <c r="E24" s="312"/>
      <c r="F24" s="304"/>
      <c r="G24" s="123"/>
      <c r="H24" s="195" t="str">
        <f>IF(D$24="x",IF(E$24="",IF(F$24="",IF(G$24="",D13,""),""),""),IF(E$24="x",IF(F$24="",IF(G$24="",D13,""),""),IF(F$24="x",IF(G$24="",F13,""),IF(G$24="x",F13,""))))</f>
        <v>Buy</v>
      </c>
      <c r="I24" s="14"/>
      <c r="J24" s="15"/>
    </row>
    <row r="25" spans="1:28" x14ac:dyDescent="0.2">
      <c r="I25" s="14"/>
      <c r="J25" s="15"/>
    </row>
    <row r="26" spans="1:28" x14ac:dyDescent="0.2">
      <c r="D26" s="131"/>
      <c r="G26" s="113"/>
      <c r="H26" s="14"/>
      <c r="I26" s="14"/>
      <c r="J26" s="15"/>
    </row>
    <row r="27" spans="1:28" x14ac:dyDescent="0.2">
      <c r="I27" s="14"/>
      <c r="J27" s="15"/>
    </row>
    <row r="28" spans="1:28" x14ac:dyDescent="0.2">
      <c r="I28" s="14"/>
      <c r="J28" s="15"/>
    </row>
    <row r="29" spans="1:28" x14ac:dyDescent="0.2">
      <c r="I29" s="14"/>
      <c r="L29" s="14"/>
    </row>
    <row r="30" spans="1:28" x14ac:dyDescent="0.2">
      <c r="I30" s="14"/>
      <c r="L30" s="14"/>
    </row>
  </sheetData>
  <mergeCells count="30">
    <mergeCell ref="J21:K21"/>
    <mergeCell ref="I2:L2"/>
    <mergeCell ref="B3:C4"/>
    <mergeCell ref="D3:E4"/>
    <mergeCell ref="F3:H3"/>
    <mergeCell ref="B5:C5"/>
    <mergeCell ref="D5:E5"/>
    <mergeCell ref="B8:B9"/>
    <mergeCell ref="C8:C9"/>
    <mergeCell ref="D8:D9"/>
    <mergeCell ref="E8:E9"/>
    <mergeCell ref="F8:F9"/>
    <mergeCell ref="B6:C6"/>
    <mergeCell ref="D6:E6"/>
    <mergeCell ref="B7:C7"/>
    <mergeCell ref="D7:E7"/>
    <mergeCell ref="F7:H7"/>
    <mergeCell ref="M8:N8"/>
    <mergeCell ref="I13:J13"/>
    <mergeCell ref="D13:E13"/>
    <mergeCell ref="F13:G13"/>
    <mergeCell ref="M14:N14"/>
    <mergeCell ref="I17:J17"/>
    <mergeCell ref="G8:G9"/>
    <mergeCell ref="H8:H9"/>
    <mergeCell ref="I8:I9"/>
    <mergeCell ref="J8:J9"/>
    <mergeCell ref="K8:K9"/>
    <mergeCell ref="L8:L9"/>
    <mergeCell ref="K15:L15"/>
  </mergeCells>
  <pageMargins left="0.511811024" right="0.511811024" top="0.78740157499999996" bottom="0.78740157499999996" header="0.31496062000000002" footer="0.31496062000000002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0"/>
  <sheetViews>
    <sheetView workbookViewId="0">
      <selection activeCell="N13" sqref="N13"/>
    </sheetView>
  </sheetViews>
  <sheetFormatPr defaultRowHeight="12.75" x14ac:dyDescent="0.2"/>
  <cols>
    <col min="1" max="1" width="1.42578125" style="14" customWidth="1"/>
    <col min="2" max="2" width="5.85546875" customWidth="1"/>
    <col min="3" max="3" width="12.42578125" style="16" bestFit="1" customWidth="1"/>
    <col min="4" max="4" width="8.5703125" style="16" customWidth="1"/>
    <col min="5" max="5" width="10.85546875" style="15" bestFit="1" customWidth="1"/>
    <col min="6" max="6" width="10" style="15" customWidth="1"/>
    <col min="7" max="7" width="9.85546875" style="15" bestFit="1" customWidth="1"/>
    <col min="8" max="8" width="12.7109375" style="15" customWidth="1"/>
    <col min="9" max="9" width="13.28515625" style="15" bestFit="1" customWidth="1"/>
    <col min="10" max="10" width="8.7109375" style="14" customWidth="1"/>
    <col min="11" max="11" width="10.140625" style="14" bestFit="1" customWidth="1"/>
    <col min="12" max="12" width="8.5703125" style="15" bestFit="1" customWidth="1"/>
    <col min="13" max="13" width="13.5703125" style="14" bestFit="1" customWidth="1"/>
    <col min="14" max="14" width="12" style="14" customWidth="1"/>
    <col min="15" max="15" width="1.42578125" style="14" customWidth="1"/>
    <col min="16" max="16" width="14.5703125" style="14" bestFit="1" customWidth="1"/>
    <col min="17" max="17" width="10.5703125" style="14" bestFit="1" customWidth="1"/>
    <col min="18" max="19" width="10.140625" style="14" bestFit="1" customWidth="1"/>
    <col min="20" max="20" width="2.42578125" style="14" customWidth="1"/>
    <col min="21" max="21" width="4" style="14" bestFit="1" customWidth="1"/>
    <col min="22" max="22" width="8.140625" style="14" bestFit="1" customWidth="1"/>
    <col min="23" max="25" width="9.140625" style="14"/>
    <col min="26" max="26" width="10.140625" style="14" bestFit="1" customWidth="1"/>
    <col min="27" max="27" width="9.140625" style="14"/>
    <col min="28" max="28" width="2.42578125" style="14" customWidth="1"/>
    <col min="29" max="16384" width="9.140625" style="14"/>
  </cols>
  <sheetData>
    <row r="1" spans="2:14" ht="13.5" thickBot="1" x14ac:dyDescent="0.25">
      <c r="L1" s="60"/>
      <c r="N1" s="50"/>
    </row>
    <row r="2" spans="2:14" ht="13.5" thickBot="1" x14ac:dyDescent="0.25">
      <c r="B2" s="223" t="s">
        <v>96</v>
      </c>
      <c r="C2" s="147" t="str">
        <f>Ativos!$L$26</f>
        <v>GBPUSD</v>
      </c>
      <c r="D2" s="223" t="s">
        <v>51</v>
      </c>
      <c r="E2" s="155">
        <f>Ativos!$L$29</f>
        <v>1.8999999999991246</v>
      </c>
      <c r="G2" s="171" t="s">
        <v>30</v>
      </c>
      <c r="H2" s="182">
        <f>SUM(D5:G5)</f>
        <v>3261.17</v>
      </c>
      <c r="I2" s="371" t="s">
        <v>70</v>
      </c>
      <c r="J2" s="345"/>
      <c r="K2" s="345"/>
      <c r="L2" s="372"/>
    </row>
    <row r="3" spans="2:14" ht="13.5" thickBot="1" x14ac:dyDescent="0.25">
      <c r="B3" s="373" t="s">
        <v>31</v>
      </c>
      <c r="C3" s="374"/>
      <c r="D3" s="377" t="s">
        <v>40</v>
      </c>
      <c r="E3" s="378"/>
      <c r="F3" s="381" t="s">
        <v>28</v>
      </c>
      <c r="G3" s="382"/>
      <c r="H3" s="382"/>
      <c r="I3" s="225" t="s">
        <v>46</v>
      </c>
      <c r="J3" s="184" t="s">
        <v>28</v>
      </c>
      <c r="K3" s="132" t="s">
        <v>48</v>
      </c>
      <c r="L3" s="96" t="s">
        <v>65</v>
      </c>
    </row>
    <row r="4" spans="2:14" ht="13.5" thickBot="1" x14ac:dyDescent="0.25">
      <c r="B4" s="375"/>
      <c r="C4" s="376"/>
      <c r="D4" s="379"/>
      <c r="E4" s="380"/>
      <c r="F4" s="144" t="s">
        <v>42</v>
      </c>
      <c r="G4" s="132" t="s">
        <v>43</v>
      </c>
      <c r="H4" s="133" t="s">
        <v>47</v>
      </c>
      <c r="I4" s="183"/>
      <c r="J4" s="126" t="str">
        <f>IF(I4="","",IF(N10="","",IF(B10=0,"",I4*N10)))</f>
        <v/>
      </c>
      <c r="K4" s="126" t="str">
        <f>IF(J4="","",IF(D5="","",100*J4/D5))</f>
        <v/>
      </c>
      <c r="L4" s="176" t="str">
        <f>IF(I4="","",IF(I10="","",IF(B10="","",IF(B10=0,"",IF(J4="","",I10+(J4-F5-G5)/N19/B10/J11)))))</f>
        <v/>
      </c>
    </row>
    <row r="5" spans="2:14" ht="13.5" thickBot="1" x14ac:dyDescent="0.25">
      <c r="B5" s="383">
        <f>D5+F5</f>
        <v>3261.17</v>
      </c>
      <c r="C5" s="384"/>
      <c r="D5" s="407">
        <f>CLog!$Z$42</f>
        <v>3261.17</v>
      </c>
      <c r="E5" s="408"/>
      <c r="F5" s="129">
        <f>IF(J10="",0,J10)</f>
        <v>0</v>
      </c>
      <c r="G5" s="31" t="str">
        <f>K10</f>
        <v/>
      </c>
      <c r="H5" s="122">
        <f>IF(F5="",IF(G5="","",G5),IF(G5="",F5,F5+G5))</f>
        <v>0</v>
      </c>
      <c r="I5" s="103" t="str">
        <f>IF(J5="","",IF(N10="","",J5/N10))</f>
        <v/>
      </c>
      <c r="J5" s="32" t="str">
        <f>IF(K5="","",K5*D5/100)</f>
        <v/>
      </c>
      <c r="K5" s="95" t="str">
        <f>IF(L5="","",100*B10*N19*J11*(L5-D10)/D5)</f>
        <v/>
      </c>
      <c r="L5" s="175"/>
      <c r="M5" s="326" t="s">
        <v>131</v>
      </c>
      <c r="N5" s="327">
        <f>[3]CRe!$P$32</f>
        <v>1.0120091755496351E-2</v>
      </c>
    </row>
    <row r="6" spans="2:14" ht="13.5" thickBot="1" x14ac:dyDescent="0.25">
      <c r="B6" s="388" t="s">
        <v>32</v>
      </c>
      <c r="C6" s="389"/>
      <c r="D6" s="390">
        <f>Ativos!$L$27</f>
        <v>1.32826</v>
      </c>
      <c r="E6" s="391"/>
      <c r="F6" s="130">
        <f>IF(F5="","",100*F5/D5)</f>
        <v>0</v>
      </c>
      <c r="G6" s="32" t="str">
        <f>IF(G5="","",100*G5/D5)</f>
        <v/>
      </c>
      <c r="H6" s="33">
        <f>IF(H5="","",100*(H2/D5-1))</f>
        <v>0</v>
      </c>
      <c r="I6" s="125" t="s">
        <v>73</v>
      </c>
      <c r="J6" s="126" t="str">
        <f>IF(K6="","",K6*D5/100)</f>
        <v/>
      </c>
      <c r="K6" s="127" t="str">
        <f>IF(L6="","",100*B10*N19*J11*(L6-D10)/D5)</f>
        <v/>
      </c>
      <c r="L6" s="176" t="str">
        <f>IF(J15&lt;&gt;"",J15,IF(H16="","",H16))</f>
        <v/>
      </c>
      <c r="M6" s="328" t="s">
        <v>133</v>
      </c>
      <c r="N6" s="330">
        <f>IF(N17="","",IF(N5="","",N17/N5))</f>
        <v>49.406666666677566</v>
      </c>
    </row>
    <row r="7" spans="2:14" ht="13.5" thickBot="1" x14ac:dyDescent="0.25">
      <c r="B7" s="392" t="s">
        <v>33</v>
      </c>
      <c r="C7" s="393"/>
      <c r="D7" s="394">
        <f>Ativos!$L$28</f>
        <v>1.3280700000000001</v>
      </c>
      <c r="E7" s="395"/>
      <c r="F7" s="381" t="s">
        <v>29</v>
      </c>
      <c r="G7" s="382"/>
      <c r="H7" s="387"/>
      <c r="I7" s="225" t="s">
        <v>49</v>
      </c>
      <c r="J7" s="32">
        <f>IF(K7="","",-K7*D5/100)</f>
        <v>-16.253937479744206</v>
      </c>
      <c r="K7" s="177">
        <f>Risk!$C$13</f>
        <v>0.49840816270676491</v>
      </c>
      <c r="L7" s="178" t="str">
        <f>IF(K7="","",IF(I10="","",IF(K7=0,"",IF(B10=0,"",I10-(H2-D5-J7)/N19/B10))))</f>
        <v/>
      </c>
      <c r="M7" s="93" t="s">
        <v>67</v>
      </c>
      <c r="N7" s="329">
        <f>IF(N17="","",IF(K7="","",IF(K7=0,"",N17/K7)))</f>
        <v>1.0031938427424425</v>
      </c>
    </row>
    <row r="8" spans="2:14" ht="12.75" customHeight="1" x14ac:dyDescent="0.2">
      <c r="B8" s="398" t="s">
        <v>41</v>
      </c>
      <c r="C8" s="364" t="s">
        <v>71</v>
      </c>
      <c r="D8" s="368" t="s">
        <v>44</v>
      </c>
      <c r="E8" s="368" t="s">
        <v>45</v>
      </c>
      <c r="F8" s="364" t="s">
        <v>53</v>
      </c>
      <c r="G8" s="401" t="s">
        <v>109</v>
      </c>
      <c r="H8" s="366"/>
      <c r="I8" s="368" t="s">
        <v>65</v>
      </c>
      <c r="J8" s="366" t="s">
        <v>123</v>
      </c>
      <c r="K8" s="364" t="s">
        <v>28</v>
      </c>
      <c r="L8" s="358" t="s">
        <v>29</v>
      </c>
      <c r="M8" s="409" t="s">
        <v>75</v>
      </c>
      <c r="N8" s="410"/>
    </row>
    <row r="9" spans="2:14" ht="13.5" thickBot="1" x14ac:dyDescent="0.25">
      <c r="B9" s="399"/>
      <c r="C9" s="400"/>
      <c r="D9" s="365"/>
      <c r="E9" s="365"/>
      <c r="F9" s="365"/>
      <c r="G9" s="402"/>
      <c r="H9" s="367"/>
      <c r="I9" s="365"/>
      <c r="J9" s="367"/>
      <c r="K9" s="365"/>
      <c r="L9" s="359"/>
      <c r="M9" s="99" t="s">
        <v>52</v>
      </c>
      <c r="N9" s="275" t="s">
        <v>53</v>
      </c>
    </row>
    <row r="10" spans="2:14" ht="13.5" thickBot="1" x14ac:dyDescent="0.25">
      <c r="B10" s="105" t="str">
        <f>IF(B11&lt;&gt;"",B11,IF(H18="","",H18))</f>
        <v/>
      </c>
      <c r="C10" s="106" t="str">
        <f>IF(B10="","",IF(B10&gt;0,N19*B10*D6/D5,-N19*B10*D7/D5))</f>
        <v/>
      </c>
      <c r="D10" s="107" t="str">
        <f>IF(D11&lt;&gt;"",D11,IF(H17="","",H17))</f>
        <v/>
      </c>
      <c r="E10" s="107" t="str">
        <f>IF(E11&lt;&gt;"",E11,IF(J19="","",J19))</f>
        <v/>
      </c>
      <c r="F10" s="98" t="str">
        <f>IF(B10="","",IF(D10="","",IF(E10="","",B10*N$19*J11*(E10-D10))))</f>
        <v/>
      </c>
      <c r="G10" s="167">
        <v>0</v>
      </c>
      <c r="H10" s="168"/>
      <c r="I10" s="104" t="str">
        <f>IF(B10="","",IF(B10&gt;0,D$7,D$6))</f>
        <v/>
      </c>
      <c r="J10" s="128" t="str">
        <f>IF(B10="","",IF(H10="t",B10*N$19*(E10-D10)+G10,IF(H10="s",B10*N$19*(L6-D10)+G10,"")))</f>
        <v/>
      </c>
      <c r="K10" s="98" t="str">
        <f>IF(B10="","",IF(H10="",B10*N19*J11*(I10-D10)+G10,""))</f>
        <v/>
      </c>
      <c r="L10" s="102" t="str">
        <f>IF(B10="","",IF(H10&lt;&gt;"",100*J10/D$5,100*K10/D$5))</f>
        <v/>
      </c>
      <c r="M10" s="115" t="str">
        <f>IF(E10="","",E10)</f>
        <v/>
      </c>
      <c r="N10" s="102" t="str">
        <f>IF(B10="","",IF(D10="","",IF(M10="","",B10*N$19*J11*(M10-D10))))</f>
        <v/>
      </c>
    </row>
    <row r="11" spans="2:14" ht="13.5" thickBot="1" x14ac:dyDescent="0.25">
      <c r="B11" s="288"/>
      <c r="C11" s="314" t="s">
        <v>79</v>
      </c>
      <c r="D11" s="315"/>
      <c r="E11" s="114"/>
      <c r="G11" s="223" t="s">
        <v>100</v>
      </c>
      <c r="H11" s="169">
        <f>Ativos!$L$31</f>
        <v>10000</v>
      </c>
      <c r="I11" s="223" t="s">
        <v>114</v>
      </c>
      <c r="J11" s="242">
        <f>Ativos!$L$32</f>
        <v>1</v>
      </c>
      <c r="M11" s="100" t="s">
        <v>56</v>
      </c>
      <c r="N11" s="101" t="str">
        <f>IF(F10="","",F10+G10)</f>
        <v/>
      </c>
    </row>
    <row r="12" spans="2:14" ht="13.5" thickBot="1" x14ac:dyDescent="0.25">
      <c r="B12" s="316">
        <f>D5/N19/3</f>
        <v>1.0870566666666666E-2</v>
      </c>
      <c r="C12" s="317" t="s">
        <v>130</v>
      </c>
      <c r="D12" s="131"/>
      <c r="G12" s="14"/>
      <c r="I12" s="108"/>
      <c r="K12" s="15"/>
      <c r="M12" s="57" t="s">
        <v>54</v>
      </c>
      <c r="N12" s="56" t="str">
        <f>IF(N11="","",100*N11/D5)</f>
        <v/>
      </c>
    </row>
    <row r="13" spans="2:14" ht="13.5" thickBot="1" x14ac:dyDescent="0.25">
      <c r="B13" s="15"/>
      <c r="D13" s="403" t="s">
        <v>127</v>
      </c>
      <c r="E13" s="404"/>
      <c r="F13" s="405" t="s">
        <v>128</v>
      </c>
      <c r="G13" s="404"/>
      <c r="H13" s="298" t="s">
        <v>74</v>
      </c>
      <c r="I13" s="369" t="s">
        <v>112</v>
      </c>
      <c r="J13" s="370"/>
      <c r="M13" s="58" t="s">
        <v>125</v>
      </c>
      <c r="N13" s="59" t="str">
        <f>IF(N11="","",IF(J6="","",IF(J6=0,9999.9999,IF(J6&gt;0,"No Loss",-N11/J6))))</f>
        <v/>
      </c>
    </row>
    <row r="14" spans="2:14" ht="13.5" thickBot="1" x14ac:dyDescent="0.25">
      <c r="B14" s="15"/>
      <c r="C14" s="109" t="s">
        <v>76</v>
      </c>
      <c r="D14" s="116"/>
      <c r="E14" s="305" t="str">
        <f>IF(D14="","",D14)</f>
        <v/>
      </c>
      <c r="F14" s="299"/>
      <c r="G14" s="136" t="str">
        <f>IF(F14="","",F14)</f>
        <v/>
      </c>
      <c r="H14" s="174"/>
      <c r="I14" s="222" t="s">
        <v>113</v>
      </c>
      <c r="J14" s="226"/>
      <c r="M14" s="362" t="s">
        <v>82</v>
      </c>
      <c r="N14" s="363"/>
    </row>
    <row r="15" spans="2:14" ht="13.5" thickBot="1" x14ac:dyDescent="0.25">
      <c r="C15" s="110" t="s">
        <v>77</v>
      </c>
      <c r="D15" s="331">
        <f>'1'!D15</f>
        <v>20</v>
      </c>
      <c r="E15" s="332">
        <f>'1'!E15</f>
        <v>3</v>
      </c>
      <c r="F15" s="333">
        <f>'1'!F15</f>
        <v>15</v>
      </c>
      <c r="G15" s="334">
        <f>'1'!G15</f>
        <v>1</v>
      </c>
      <c r="H15" s="227" t="str">
        <f>IF(D$24="x",IF(E$24="",IF(F$24="",IF(G$24="",D15,""),""),""),IF(E$24="x",IF(F$24="",IF(G$24="",E15,""),""),IF(F$24="x",IF(G$24="",F15,""),IF(G$24="x",G15,""))))</f>
        <v/>
      </c>
      <c r="I15" s="93" t="s">
        <v>73</v>
      </c>
      <c r="J15" s="178" t="str">
        <f>IF(J14="","",IF(H15="","",IF(B10="","",IF(B10&gt;0,J14-H15/$H$11,IF(B10&lt;0,J14+H15/$H$11,"")))))</f>
        <v/>
      </c>
      <c r="K15" s="396" t="s">
        <v>129</v>
      </c>
      <c r="L15" s="406"/>
      <c r="M15" s="89" t="s">
        <v>84</v>
      </c>
      <c r="N15" s="296">
        <f>'1'!$N$15</f>
        <v>0.5</v>
      </c>
    </row>
    <row r="16" spans="2:14" ht="13.5" thickBot="1" x14ac:dyDescent="0.25">
      <c r="C16" s="111" t="s">
        <v>73</v>
      </c>
      <c r="D16" s="112" t="str">
        <f>IF(D14="","",IF(D15="","",D14-D15/$H$11))</f>
        <v/>
      </c>
      <c r="E16" s="307" t="str">
        <f>IF(E14="","",IF(E15="","",E14-E15/$H$11))</f>
        <v/>
      </c>
      <c r="F16" s="188" t="str">
        <f>IF(F14="","",IF(F15="","",F14+F15/$H$11))</f>
        <v/>
      </c>
      <c r="G16" s="82" t="str">
        <f>IF(G14="","",IF(G15="","",G14+G15/$H$11))</f>
        <v/>
      </c>
      <c r="H16" s="173" t="str">
        <f>IF(D$24="x",IF(E$24="",IF(F$24="",IF(G$24="",D16,""),""),""),IF(E$24="x",IF(F$24="",IF(G$24="",E16,""),""),IF(F$24="x",IF(G$24="",F16,""),IF(G$24="x",G16,""))))</f>
        <v/>
      </c>
      <c r="I16" s="14"/>
      <c r="J16" s="15"/>
      <c r="K16" s="313" t="s">
        <v>31</v>
      </c>
      <c r="L16" s="96" t="s">
        <v>64</v>
      </c>
      <c r="M16" s="90" t="s">
        <v>80</v>
      </c>
      <c r="N16" s="199">
        <f>'1'!$N$16</f>
        <v>20</v>
      </c>
    </row>
    <row r="17" spans="1:28" x14ac:dyDescent="0.2">
      <c r="C17" s="109" t="s">
        <v>72</v>
      </c>
      <c r="D17" s="159" t="str">
        <f>IF(D16="","",D6)</f>
        <v/>
      </c>
      <c r="E17" s="308" t="str">
        <f>IF(E16="","",D6)</f>
        <v/>
      </c>
      <c r="F17" s="301" t="str">
        <f>IF(F16="","",D7)</f>
        <v/>
      </c>
      <c r="G17" s="160" t="str">
        <f>IF(G16="","",D7)</f>
        <v/>
      </c>
      <c r="H17" s="180" t="str">
        <f>IF(D11&lt;&gt;"",D11,IF(D$24="x",IF(E$24="",IF(F$24="",IF(G$24="",D17,""),""),""),IF(E$24="x",IF(F$24="",IF(G$24="",E17,""),""),IF(F$24="x",IF(G$24="",F17,""),IF(G$24="x",G17,"")))))</f>
        <v/>
      </c>
      <c r="I17" s="396" t="s">
        <v>104</v>
      </c>
      <c r="J17" s="406"/>
      <c r="K17" s="341">
        <f>'1'!$K$17</f>
        <v>10000</v>
      </c>
      <c r="L17" s="340" t="str">
        <f>IF(H18="","",IF(K17="","",IF(D5="","",H18*K17/D5)))</f>
        <v/>
      </c>
      <c r="M17" s="90" t="s">
        <v>81</v>
      </c>
      <c r="N17" s="199">
        <f>'1'!N17</f>
        <v>0.5</v>
      </c>
    </row>
    <row r="18" spans="1:28" ht="13.5" thickBot="1" x14ac:dyDescent="0.25">
      <c r="A18" s="94"/>
      <c r="C18" s="189" t="s">
        <v>64</v>
      </c>
      <c r="D18" s="97" t="str">
        <f>IF(D17="","",IF(N17="","",N17*D5/100/(D17-D16)/N19/J11))</f>
        <v/>
      </c>
      <c r="E18" s="293" t="str">
        <f>IF(E17="","",IF(N17="","",N17*D5/100/(E17-E16)/N19/J11))</f>
        <v/>
      </c>
      <c r="F18" s="302" t="str">
        <f>IF(F17="","",IF(N17="","",N17*D5/100/(F17-F16)/N19/J11))</f>
        <v/>
      </c>
      <c r="G18" s="161" t="str">
        <f>IF(G17="","",IF(N17="","",N17*D5/100/(G17-G16)/N19/J11))</f>
        <v/>
      </c>
      <c r="H18" s="194" t="str">
        <f>IF(B11&lt;&gt;"",B11,IF(D$24="x",IF(E$24="",IF(F$24="",IF(G$24="",D18,""),""),""),IF(E$24="x",IF(F$24="",IF(G$24="",E18,""),""),IF(F$24="x",IF(G$24="",F18,""),IF(G$24="x",G18,"")))))</f>
        <v/>
      </c>
      <c r="I18" s="181" t="s">
        <v>105</v>
      </c>
      <c r="J18" s="185" t="s">
        <v>65</v>
      </c>
      <c r="K18" s="225" t="s">
        <v>130</v>
      </c>
      <c r="L18" s="293">
        <f>IF(K17="","",K17/N19/J11/3)</f>
        <v>3.3333333333333333E-2</v>
      </c>
      <c r="M18" s="91" t="s">
        <v>83</v>
      </c>
      <c r="N18" s="321">
        <f>'1'!N18</f>
        <v>16.30585</v>
      </c>
      <c r="O18" s="94"/>
      <c r="AB18" s="94"/>
    </row>
    <row r="19" spans="1:28" ht="13.5" thickBot="1" x14ac:dyDescent="0.25">
      <c r="C19" s="135" t="s">
        <v>101</v>
      </c>
      <c r="D19" s="309" t="str">
        <f>IF(D18="","",D$17+(D$17-D$16))</f>
        <v/>
      </c>
      <c r="E19" s="305" t="str">
        <f>IF(E18="","",E$17+(E$17-E$16))</f>
        <v/>
      </c>
      <c r="F19" s="303" t="str">
        <f>IF(F18="","",F$17-(F$16-F$17))</f>
        <v/>
      </c>
      <c r="G19" s="136" t="str">
        <f>IF(G18="","",G$17-(G$16-G$17))</f>
        <v/>
      </c>
      <c r="H19" s="196" t="str">
        <f t="shared" ref="H19" si="0">IF(H18="","",H$17+(H$17-H$16))</f>
        <v/>
      </c>
      <c r="I19" s="191" t="s">
        <v>85</v>
      </c>
      <c r="J19" s="186" t="str">
        <f>IF(I19="x",H19,IF(I20="x",H20,IF(I21="x",H21,IF(I22="x",H22,IF(I23="x",H23,"")))))</f>
        <v/>
      </c>
      <c r="M19" s="88" t="s">
        <v>55</v>
      </c>
      <c r="N19" s="203">
        <f>Ativos!$L$30</f>
        <v>100000</v>
      </c>
    </row>
    <row r="20" spans="1:28" ht="13.5" thickBot="1" x14ac:dyDescent="0.25">
      <c r="C20" s="57" t="s">
        <v>102</v>
      </c>
      <c r="D20" s="310" t="str">
        <f>IF(D19="","",D$17+2*(D$17-D$16))</f>
        <v/>
      </c>
      <c r="E20" s="311" t="str">
        <f>IF(E19="","",E$17+2*(E$17-E$16))</f>
        <v/>
      </c>
      <c r="F20" s="187" t="str">
        <f>IF(F19="","",F$17-2*(F$16-F$17))</f>
        <v/>
      </c>
      <c r="G20" s="170" t="str">
        <f>IF(G19="","",G$17-2*(G$16-G$17))</f>
        <v/>
      </c>
      <c r="H20" s="197" t="str">
        <f>IF(H19="","",H$17+2*(H$17-H$16))</f>
        <v/>
      </c>
      <c r="I20" s="192"/>
      <c r="J20" s="15"/>
      <c r="M20" s="85" t="s">
        <v>68</v>
      </c>
      <c r="N20" s="322">
        <f>'1'!$N$20</f>
        <v>500</v>
      </c>
    </row>
    <row r="21" spans="1:28" ht="13.5" thickBot="1" x14ac:dyDescent="0.25">
      <c r="C21" s="57" t="s">
        <v>103</v>
      </c>
      <c r="D21" s="112" t="str">
        <f>IF(D20="","",D$17+3*(D$17-D$16))</f>
        <v/>
      </c>
      <c r="E21" s="307" t="str">
        <f>IF(E20="","",E$17+3*(E$17-E$16))</f>
        <v/>
      </c>
      <c r="F21" s="188" t="str">
        <f>IF(F20="","",F$17-3*(F$16-F$17))</f>
        <v/>
      </c>
      <c r="G21" s="82" t="str">
        <f>IF(G20="","",G$17-3*(G$16-G$17))</f>
        <v/>
      </c>
      <c r="H21" s="197" t="str">
        <f>IF(H20="","",H$17+3*(H$17-H$16))</f>
        <v/>
      </c>
      <c r="I21" s="192"/>
      <c r="J21" s="381" t="s">
        <v>124</v>
      </c>
      <c r="K21" s="387"/>
      <c r="M21" s="121" t="s">
        <v>69</v>
      </c>
      <c r="N21" s="84">
        <f>IF(D5="","",IF(N19="","",IF(N20="","",D5*N20/N19/D6)))</f>
        <v>12.276098053092015</v>
      </c>
    </row>
    <row r="22" spans="1:28" x14ac:dyDescent="0.2">
      <c r="C22" s="57" t="s">
        <v>106</v>
      </c>
      <c r="D22" s="310" t="str">
        <f>IF(D21="","",D$17+4*(D$17-D$16))</f>
        <v/>
      </c>
      <c r="E22" s="311" t="str">
        <f>IF(E21="","",E$17+4*(E$17-E$16))</f>
        <v/>
      </c>
      <c r="F22" s="187" t="str">
        <f>IF(F21="","",F$17-4*(F$16-F$17))</f>
        <v/>
      </c>
      <c r="G22" s="170" t="str">
        <f>IF(G21="","",G$17-4*(G$16-G$17))</f>
        <v/>
      </c>
      <c r="H22" s="197" t="str">
        <f>IF(H21="","",H$17+4*(H$17-H$16))</f>
        <v/>
      </c>
      <c r="I22" s="192"/>
      <c r="J22" s="281"/>
      <c r="K22" s="282" t="str">
        <f>IF(K23="","",IF(H17="","",(K23-H17)/(H17-H16)))</f>
        <v/>
      </c>
      <c r="L22" s="278" t="s">
        <v>125</v>
      </c>
      <c r="M22" s="15"/>
    </row>
    <row r="23" spans="1:28" ht="13.5" thickBot="1" x14ac:dyDescent="0.25">
      <c r="C23" s="58" t="s">
        <v>107</v>
      </c>
      <c r="D23" s="112" t="str">
        <f>IF(D22="","",D$17+5*(D$17-D$16))</f>
        <v/>
      </c>
      <c r="E23" s="307" t="str">
        <f>IF(E22="","",E$17+5*(E$17-E$16))</f>
        <v/>
      </c>
      <c r="F23" s="188" t="str">
        <f>IF(F22="","",F$17-5*(F$16-F$17))</f>
        <v/>
      </c>
      <c r="G23" s="82" t="str">
        <f>IF(G22="","",G$17-5*(G$16-G$17))</f>
        <v/>
      </c>
      <c r="H23" s="198" t="str">
        <f>IF(H22="","",H$17+5*(H$17-H$16))</f>
        <v/>
      </c>
      <c r="I23" s="193"/>
      <c r="J23" s="277" t="str">
        <f>IF(J22="","",IF(H17="","",H17+J22*(H17-H16)))</f>
        <v/>
      </c>
      <c r="K23" s="280"/>
      <c r="L23" s="279" t="s">
        <v>126</v>
      </c>
    </row>
    <row r="24" spans="1:28" ht="13.5" thickBot="1" x14ac:dyDescent="0.25">
      <c r="C24" s="190" t="s">
        <v>78</v>
      </c>
      <c r="D24" s="119"/>
      <c r="E24" s="312"/>
      <c r="F24" s="304"/>
      <c r="G24" s="123"/>
      <c r="H24" s="195" t="str">
        <f>IF(D$24="x",IF(E$24="",IF(F$24="",IF(G$24="",D13,""),""),""),IF(E$24="x",IF(F$24="",IF(G$24="",D13,""),""),IF(F$24="x",IF(G$24="",F13,""),IF(G$24="x",F13,""))))</f>
        <v/>
      </c>
      <c r="I24" s="14"/>
      <c r="J24" s="15"/>
    </row>
    <row r="25" spans="1:28" x14ac:dyDescent="0.2">
      <c r="I25" s="14"/>
      <c r="J25" s="15"/>
    </row>
    <row r="26" spans="1:28" x14ac:dyDescent="0.2">
      <c r="D26" s="131"/>
      <c r="G26" s="113"/>
      <c r="H26" s="14"/>
      <c r="I26" s="14"/>
      <c r="J26" s="15"/>
    </row>
    <row r="27" spans="1:28" x14ac:dyDescent="0.2">
      <c r="I27" s="14"/>
      <c r="J27" s="15"/>
    </row>
    <row r="28" spans="1:28" x14ac:dyDescent="0.2">
      <c r="I28" s="14"/>
      <c r="J28" s="15"/>
    </row>
    <row r="29" spans="1:28" x14ac:dyDescent="0.2">
      <c r="I29" s="14"/>
      <c r="L29" s="14"/>
    </row>
    <row r="30" spans="1:28" x14ac:dyDescent="0.2">
      <c r="I30" s="14"/>
      <c r="L30" s="14"/>
    </row>
  </sheetData>
  <mergeCells count="30">
    <mergeCell ref="J21:K21"/>
    <mergeCell ref="I2:L2"/>
    <mergeCell ref="B3:C4"/>
    <mergeCell ref="D3:E4"/>
    <mergeCell ref="F3:H3"/>
    <mergeCell ref="B5:C5"/>
    <mergeCell ref="D5:E5"/>
    <mergeCell ref="B8:B9"/>
    <mergeCell ref="C8:C9"/>
    <mergeCell ref="D8:D9"/>
    <mergeCell ref="E8:E9"/>
    <mergeCell ref="F8:F9"/>
    <mergeCell ref="B6:C6"/>
    <mergeCell ref="D6:E6"/>
    <mergeCell ref="B7:C7"/>
    <mergeCell ref="D7:E7"/>
    <mergeCell ref="F7:H7"/>
    <mergeCell ref="M8:N8"/>
    <mergeCell ref="I13:J13"/>
    <mergeCell ref="D13:E13"/>
    <mergeCell ref="F13:G13"/>
    <mergeCell ref="M14:N14"/>
    <mergeCell ref="I17:J17"/>
    <mergeCell ref="G8:G9"/>
    <mergeCell ref="H8:H9"/>
    <mergeCell ref="I8:I9"/>
    <mergeCell ref="J8:J9"/>
    <mergeCell ref="K8:K9"/>
    <mergeCell ref="L8:L9"/>
    <mergeCell ref="K15:L15"/>
  </mergeCells>
  <pageMargins left="0.511811024" right="0.511811024" top="0.78740157499999996" bottom="0.78740157499999996" header="0.31496062000000002" footer="0.3149606200000000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0"/>
  <sheetViews>
    <sheetView zoomScale="90" zoomScaleNormal="90" workbookViewId="0">
      <selection activeCell="N13" sqref="N13"/>
    </sheetView>
  </sheetViews>
  <sheetFormatPr defaultRowHeight="12.75" x14ac:dyDescent="0.2"/>
  <cols>
    <col min="1" max="1" width="1.42578125" style="14" customWidth="1"/>
    <col min="2" max="2" width="5.85546875" customWidth="1"/>
    <col min="3" max="3" width="12.42578125" style="16" bestFit="1" customWidth="1"/>
    <col min="4" max="4" width="12" style="16" bestFit="1" customWidth="1"/>
    <col min="5" max="5" width="12" style="15" bestFit="1" customWidth="1"/>
    <col min="6" max="6" width="10" style="15" customWidth="1"/>
    <col min="7" max="7" width="9.85546875" style="15" bestFit="1" customWidth="1"/>
    <col min="8" max="8" width="12.7109375" style="15" customWidth="1"/>
    <col min="9" max="9" width="13.28515625" style="15" bestFit="1" customWidth="1"/>
    <col min="10" max="10" width="11.7109375" style="14" bestFit="1" customWidth="1"/>
    <col min="11" max="11" width="11" style="14" bestFit="1" customWidth="1"/>
    <col min="12" max="12" width="12" style="15" bestFit="1" customWidth="1"/>
    <col min="13" max="13" width="13.5703125" style="14" bestFit="1" customWidth="1"/>
    <col min="14" max="14" width="12" style="14" customWidth="1"/>
    <col min="15" max="15" width="1.42578125" style="14" customWidth="1"/>
    <col min="16" max="16" width="14.5703125" style="14" bestFit="1" customWidth="1"/>
    <col min="17" max="17" width="10.5703125" style="14" bestFit="1" customWidth="1"/>
    <col min="18" max="19" width="10.140625" style="14" bestFit="1" customWidth="1"/>
    <col min="20" max="20" width="2.42578125" style="14" customWidth="1"/>
    <col min="21" max="21" width="4" style="14" bestFit="1" customWidth="1"/>
    <col min="22" max="22" width="8.140625" style="14" bestFit="1" customWidth="1"/>
    <col min="23" max="25" width="9.140625" style="14"/>
    <col min="26" max="26" width="10.140625" style="14" bestFit="1" customWidth="1"/>
    <col min="27" max="27" width="9.140625" style="14"/>
    <col min="28" max="28" width="2.42578125" style="14" customWidth="1"/>
    <col min="29" max="16384" width="9.140625" style="14"/>
  </cols>
  <sheetData>
    <row r="1" spans="2:14" ht="13.5" thickBot="1" x14ac:dyDescent="0.25">
      <c r="L1" s="60"/>
      <c r="N1" s="50"/>
    </row>
    <row r="2" spans="2:14" ht="13.5" thickBot="1" x14ac:dyDescent="0.25">
      <c r="B2" s="223" t="s">
        <v>96</v>
      </c>
      <c r="C2" s="147" t="str">
        <f>Ativos!$N$26</f>
        <v>GOLD</v>
      </c>
      <c r="D2" s="223" t="s">
        <v>51</v>
      </c>
      <c r="E2" s="155">
        <f>Ativos!$N$29</f>
        <v>0.30999999999994543</v>
      </c>
      <c r="G2" s="171" t="s">
        <v>30</v>
      </c>
      <c r="H2" s="182">
        <f>SUM(D5:G5)</f>
        <v>3261.17</v>
      </c>
      <c r="I2" s="371" t="s">
        <v>70</v>
      </c>
      <c r="J2" s="345"/>
      <c r="K2" s="345"/>
      <c r="L2" s="372"/>
    </row>
    <row r="3" spans="2:14" ht="13.5" thickBot="1" x14ac:dyDescent="0.25">
      <c r="B3" s="373" t="s">
        <v>31</v>
      </c>
      <c r="C3" s="374"/>
      <c r="D3" s="377" t="s">
        <v>40</v>
      </c>
      <c r="E3" s="378"/>
      <c r="F3" s="381" t="s">
        <v>28</v>
      </c>
      <c r="G3" s="382"/>
      <c r="H3" s="382"/>
      <c r="I3" s="225" t="s">
        <v>46</v>
      </c>
      <c r="J3" s="184" t="s">
        <v>28</v>
      </c>
      <c r="K3" s="132" t="s">
        <v>48</v>
      </c>
      <c r="L3" s="96" t="s">
        <v>65</v>
      </c>
    </row>
    <row r="4" spans="2:14" ht="13.5" thickBot="1" x14ac:dyDescent="0.25">
      <c r="B4" s="375"/>
      <c r="C4" s="376"/>
      <c r="D4" s="379"/>
      <c r="E4" s="380"/>
      <c r="F4" s="144" t="s">
        <v>42</v>
      </c>
      <c r="G4" s="132" t="s">
        <v>43</v>
      </c>
      <c r="H4" s="133" t="s">
        <v>47</v>
      </c>
      <c r="I4" s="183"/>
      <c r="J4" s="126" t="str">
        <f>IF(I4="","",IF(N10="","",IF(B10=0,"",I4*N10)))</f>
        <v/>
      </c>
      <c r="K4" s="126" t="str">
        <f>IF(J4="","",IF(D5="","",100*J4/D5))</f>
        <v/>
      </c>
      <c r="L4" s="176" t="str">
        <f>IF(I4="","",IF(I10="","",IF(B10="","",IF(B10=0,"",IF(J4="","",I10+(J4-F5-G5)/N19/B10/J11)))))</f>
        <v/>
      </c>
    </row>
    <row r="5" spans="2:14" ht="13.5" thickBot="1" x14ac:dyDescent="0.25">
      <c r="B5" s="383">
        <f>D5+F5</f>
        <v>3261.17</v>
      </c>
      <c r="C5" s="384"/>
      <c r="D5" s="407">
        <f>CLog!$Z$42</f>
        <v>3261.17</v>
      </c>
      <c r="E5" s="408"/>
      <c r="F5" s="129">
        <f>IF(J10="",0,J10)</f>
        <v>0</v>
      </c>
      <c r="G5" s="31" t="str">
        <f>K10</f>
        <v/>
      </c>
      <c r="H5" s="122">
        <f>IF(F5="",IF(G5="","",G5),IF(G5="",F5,F5+G5))</f>
        <v>0</v>
      </c>
      <c r="I5" s="103" t="str">
        <f>IF(J5="","",IF(N10="","",J5/N10))</f>
        <v/>
      </c>
      <c r="J5" s="32" t="str">
        <f>IF(K5="","",K5*D5/100)</f>
        <v/>
      </c>
      <c r="K5" s="95" t="str">
        <f>IF(L5="","",100*B10*N19*J11*(L5-D10)/D5)</f>
        <v/>
      </c>
      <c r="L5" s="175"/>
      <c r="M5" s="326" t="s">
        <v>131</v>
      </c>
      <c r="N5" s="327">
        <f>[3]CRe!$P$32</f>
        <v>1.0120091755496351E-2</v>
      </c>
    </row>
    <row r="6" spans="2:14" ht="13.5" thickBot="1" x14ac:dyDescent="0.25">
      <c r="B6" s="388" t="s">
        <v>32</v>
      </c>
      <c r="C6" s="389"/>
      <c r="D6" s="411">
        <f>Ativos!$N$27</f>
        <v>1269.55</v>
      </c>
      <c r="E6" s="412"/>
      <c r="F6" s="130">
        <f>IF(F5="","",100*F5/D5)</f>
        <v>0</v>
      </c>
      <c r="G6" s="32" t="str">
        <f>IF(G5="","",100*G5/D5)</f>
        <v/>
      </c>
      <c r="H6" s="33">
        <f>IF(H5="","",100*(H2/D5-1))</f>
        <v>0</v>
      </c>
      <c r="I6" s="125" t="s">
        <v>73</v>
      </c>
      <c r="J6" s="126" t="str">
        <f>IF(K6="","",K6*D5/100)</f>
        <v/>
      </c>
      <c r="K6" s="127" t="str">
        <f>IF(L6="","",100*B10*N19*J11*(L6-D10)/D5)</f>
        <v/>
      </c>
      <c r="L6" s="292" t="str">
        <f>IF(J15&lt;&gt;"",J15,IF(H16="","",H16))</f>
        <v/>
      </c>
      <c r="M6" s="328" t="s">
        <v>133</v>
      </c>
      <c r="N6" s="330">
        <f>IF(N17="","",IF(N5="","",N17/N5))</f>
        <v>49.406666666677566</v>
      </c>
    </row>
    <row r="7" spans="2:14" ht="13.5" thickBot="1" x14ac:dyDescent="0.25">
      <c r="B7" s="392" t="s">
        <v>33</v>
      </c>
      <c r="C7" s="393"/>
      <c r="D7" s="413">
        <f>Ativos!$N$28</f>
        <v>1269.24</v>
      </c>
      <c r="E7" s="414"/>
      <c r="F7" s="381" t="s">
        <v>29</v>
      </c>
      <c r="G7" s="382"/>
      <c r="H7" s="387"/>
      <c r="I7" s="225" t="s">
        <v>49</v>
      </c>
      <c r="J7" s="32">
        <f>IF(K7="","",-K7*D5/100)</f>
        <v>-16.253937479744206</v>
      </c>
      <c r="K7" s="177">
        <f>Risk!$C$13</f>
        <v>0.49840816270676491</v>
      </c>
      <c r="L7" s="293" t="str">
        <f>IF(K7="","",IF(I10="","",IF(K7=0,"",IF(B10=0,"",I10-(H2-D5-J7)/N19/B10))))</f>
        <v/>
      </c>
      <c r="M7" s="93" t="s">
        <v>67</v>
      </c>
      <c r="N7" s="329">
        <f>IF(N17="","",IF(K7="","",IF(K7=0,"",N17/K7)))</f>
        <v>1.0031938427424425</v>
      </c>
    </row>
    <row r="8" spans="2:14" ht="12.75" customHeight="1" x14ac:dyDescent="0.2">
      <c r="B8" s="398" t="s">
        <v>41</v>
      </c>
      <c r="C8" s="364" t="s">
        <v>71</v>
      </c>
      <c r="D8" s="368" t="s">
        <v>44</v>
      </c>
      <c r="E8" s="368" t="s">
        <v>45</v>
      </c>
      <c r="F8" s="364" t="s">
        <v>53</v>
      </c>
      <c r="G8" s="401" t="s">
        <v>109</v>
      </c>
      <c r="H8" s="366"/>
      <c r="I8" s="368" t="s">
        <v>65</v>
      </c>
      <c r="J8" s="366" t="s">
        <v>123</v>
      </c>
      <c r="K8" s="364" t="s">
        <v>28</v>
      </c>
      <c r="L8" s="358" t="s">
        <v>29</v>
      </c>
      <c r="M8" s="409" t="s">
        <v>75</v>
      </c>
      <c r="N8" s="410"/>
    </row>
    <row r="9" spans="2:14" ht="13.5" thickBot="1" x14ac:dyDescent="0.25">
      <c r="B9" s="399"/>
      <c r="C9" s="400"/>
      <c r="D9" s="365"/>
      <c r="E9" s="365"/>
      <c r="F9" s="365"/>
      <c r="G9" s="402"/>
      <c r="H9" s="367"/>
      <c r="I9" s="365"/>
      <c r="J9" s="367"/>
      <c r="K9" s="365"/>
      <c r="L9" s="359"/>
      <c r="M9" s="99" t="s">
        <v>52</v>
      </c>
      <c r="N9" s="275" t="s">
        <v>53</v>
      </c>
    </row>
    <row r="10" spans="2:14" ht="13.5" thickBot="1" x14ac:dyDescent="0.25">
      <c r="B10" s="105" t="str">
        <f>IF(B11&lt;&gt;"",B11,IF(H18="","",H18))</f>
        <v/>
      </c>
      <c r="C10" s="106" t="str">
        <f>IF(B10="","",IF(B10&gt;0,N19*B10*D6/D5,-N19*B10*D7/D5))</f>
        <v/>
      </c>
      <c r="D10" s="287" t="str">
        <f>IF(D11&lt;&gt;"",D11,IF(H17="","",H17))</f>
        <v/>
      </c>
      <c r="E10" s="287" t="str">
        <f>IF(E11&lt;&gt;"",E11,IF(J19="","",J19))</f>
        <v/>
      </c>
      <c r="F10" s="98" t="str">
        <f>IF(B10="","",IF(D10="","",IF(E10="","",B10*N$19*J11*(E10-D10))))</f>
        <v/>
      </c>
      <c r="G10" s="167">
        <v>0</v>
      </c>
      <c r="H10" s="168"/>
      <c r="I10" s="294" t="str">
        <f>IF(B10="","",IF(B10&gt;0,D$7,D$6))</f>
        <v/>
      </c>
      <c r="J10" s="128" t="str">
        <f>IF(B10="","",IF(H10="t",B10*N$19*(E10-D10)+G10,IF(H10="s",B10*N$19*(L6-D10)+G10,"")))</f>
        <v/>
      </c>
      <c r="K10" s="98" t="str">
        <f>IF(B10="","",IF(H10="",B10*N19*J11*(I10-D10)+G10,""))</f>
        <v/>
      </c>
      <c r="L10" s="102" t="str">
        <f>IF(B10="","",IF(H10&lt;&gt;"",100*J10/D$5,100*K10/D$5))</f>
        <v/>
      </c>
      <c r="M10" s="291" t="str">
        <f>IF(E10="","",E10)</f>
        <v/>
      </c>
      <c r="N10" s="102" t="str">
        <f>IF(B10="","",IF(D10="","",IF(M10="","",B10*N$19*J11*(M10-D10))))</f>
        <v/>
      </c>
    </row>
    <row r="11" spans="2:14" ht="13.5" thickBot="1" x14ac:dyDescent="0.25">
      <c r="B11" s="288"/>
      <c r="C11" s="314" t="s">
        <v>79</v>
      </c>
      <c r="D11" s="315"/>
      <c r="E11" s="114"/>
      <c r="G11" s="223" t="s">
        <v>100</v>
      </c>
      <c r="H11" s="169">
        <f>Ativos!$N$31</f>
        <v>10</v>
      </c>
      <c r="I11" s="223" t="s">
        <v>114</v>
      </c>
      <c r="J11" s="242">
        <f>Ativos!$N$32</f>
        <v>1</v>
      </c>
      <c r="M11" s="100" t="s">
        <v>56</v>
      </c>
      <c r="N11" s="101" t="str">
        <f>IF(F10="","",F10+G10)</f>
        <v/>
      </c>
    </row>
    <row r="12" spans="2:14" ht="13.5" thickBot="1" x14ac:dyDescent="0.25">
      <c r="B12" s="316">
        <f>D5/N19/3</f>
        <v>10.870566666666667</v>
      </c>
      <c r="C12" s="317" t="s">
        <v>130</v>
      </c>
      <c r="D12" s="131"/>
      <c r="G12" s="14"/>
      <c r="I12" s="108"/>
      <c r="K12" s="15"/>
      <c r="M12" s="57" t="s">
        <v>54</v>
      </c>
      <c r="N12" s="56" t="str">
        <f>IF(N11="","",100*N11/D5)</f>
        <v/>
      </c>
    </row>
    <row r="13" spans="2:14" ht="13.5" thickBot="1" x14ac:dyDescent="0.25">
      <c r="B13" s="15"/>
      <c r="D13" s="403" t="s">
        <v>127</v>
      </c>
      <c r="E13" s="404"/>
      <c r="F13" s="405" t="s">
        <v>128</v>
      </c>
      <c r="G13" s="404"/>
      <c r="H13" s="298" t="s">
        <v>74</v>
      </c>
      <c r="I13" s="369" t="s">
        <v>112</v>
      </c>
      <c r="J13" s="370"/>
      <c r="M13" s="58" t="s">
        <v>125</v>
      </c>
      <c r="N13" s="59" t="str">
        <f>IF(N11="","",IF(J6="","",IF(J6=0,9999.9999,IF(J6&gt;0,"No Loss",-N11/J6))))</f>
        <v/>
      </c>
    </row>
    <row r="14" spans="2:14" ht="13.5" thickBot="1" x14ac:dyDescent="0.25">
      <c r="B14" s="15"/>
      <c r="C14" s="109" t="s">
        <v>76</v>
      </c>
      <c r="D14" s="116"/>
      <c r="E14" s="305" t="str">
        <f>IF(D14="","",D14)</f>
        <v/>
      </c>
      <c r="F14" s="299"/>
      <c r="G14" s="136" t="str">
        <f>IF(F14="","",F14)</f>
        <v/>
      </c>
      <c r="H14" s="174"/>
      <c r="I14" s="222" t="s">
        <v>113</v>
      </c>
      <c r="J14" s="226"/>
      <c r="M14" s="362" t="s">
        <v>82</v>
      </c>
      <c r="N14" s="363"/>
    </row>
    <row r="15" spans="2:14" ht="13.5" thickBot="1" x14ac:dyDescent="0.25">
      <c r="C15" s="110" t="s">
        <v>77</v>
      </c>
      <c r="D15" s="331">
        <f>'1'!D15</f>
        <v>20</v>
      </c>
      <c r="E15" s="332">
        <f>'1'!E15</f>
        <v>3</v>
      </c>
      <c r="F15" s="333">
        <f>'1'!F15</f>
        <v>15</v>
      </c>
      <c r="G15" s="334">
        <f>'1'!G15</f>
        <v>1</v>
      </c>
      <c r="H15" s="227" t="str">
        <f>IF(D$24="x",IF(E$24="",IF(F$24="",IF(G$24="",D15,""),""),""),IF(E$24="x",IF(F$24="",IF(G$24="",E15,""),""),IF(F$24="x",IF(G$24="",F15,""),IF(G$24="x",G15,""))))</f>
        <v/>
      </c>
      <c r="I15" s="93" t="s">
        <v>73</v>
      </c>
      <c r="J15" s="178" t="str">
        <f>IF(J14="","",IF(H15="","",IF(B10="","",IF(B10&gt;0,J14-H15/$H$11,IF(B10&lt;0,J14+H15/$H$11,"")))))</f>
        <v/>
      </c>
      <c r="K15" s="396" t="s">
        <v>129</v>
      </c>
      <c r="L15" s="406"/>
      <c r="M15" s="89" t="s">
        <v>84</v>
      </c>
      <c r="N15" s="296">
        <f>'1'!$N$15</f>
        <v>0.5</v>
      </c>
    </row>
    <row r="16" spans="2:14" ht="13.5" thickBot="1" x14ac:dyDescent="0.25">
      <c r="C16" s="111" t="s">
        <v>73</v>
      </c>
      <c r="D16" s="112" t="str">
        <f>IF(D14="","",IF(D15="","",D14-D15/$H$11))</f>
        <v/>
      </c>
      <c r="E16" s="307" t="str">
        <f>IF(E14="","",IF(E15="","",E14-E15/$H$11))</f>
        <v/>
      </c>
      <c r="F16" s="188" t="str">
        <f>IF(F14="","",IF(F15="","",F14+F15/$H$11))</f>
        <v/>
      </c>
      <c r="G16" s="82" t="str">
        <f>IF(G14="","",IF(G15="","",G14+G15/$H$11))</f>
        <v/>
      </c>
      <c r="H16" s="173" t="str">
        <f>IF(D$24="x",IF(E$24="",IF(F$24="",IF(G$24="",D16,""),""),""),IF(E$24="x",IF(F$24="",IF(G$24="",E16,""),""),IF(F$24="x",IF(G$24="",F16,""),IF(G$24="x",G16,""))))</f>
        <v/>
      </c>
      <c r="I16" s="14"/>
      <c r="J16" s="15"/>
      <c r="K16" s="313" t="s">
        <v>31</v>
      </c>
      <c r="L16" s="96" t="s">
        <v>64</v>
      </c>
      <c r="M16" s="90" t="s">
        <v>80</v>
      </c>
      <c r="N16" s="199">
        <f>'1'!$N$16</f>
        <v>20</v>
      </c>
    </row>
    <row r="17" spans="1:28" x14ac:dyDescent="0.2">
      <c r="C17" s="109" t="s">
        <v>72</v>
      </c>
      <c r="D17" s="159" t="str">
        <f>IF(D16="","",D6)</f>
        <v/>
      </c>
      <c r="E17" s="308" t="str">
        <f>IF(E16="","",D6)</f>
        <v/>
      </c>
      <c r="F17" s="301" t="str">
        <f>IF(F16="","",D7)</f>
        <v/>
      </c>
      <c r="G17" s="160" t="str">
        <f>IF(G16="","",D7)</f>
        <v/>
      </c>
      <c r="H17" s="180" t="str">
        <f>IF(D11&lt;&gt;"",D11,IF(D$24="x",IF(E$24="",IF(F$24="",IF(G$24="",D17,""),""),""),IF(E$24="x",IF(F$24="",IF(G$24="",E17,""),""),IF(F$24="x",IF(G$24="",F17,""),IF(G$24="x",G17,"")))))</f>
        <v/>
      </c>
      <c r="I17" s="396" t="s">
        <v>104</v>
      </c>
      <c r="J17" s="406"/>
      <c r="K17" s="341">
        <f>'1'!$K$17</f>
        <v>10000</v>
      </c>
      <c r="L17" s="340" t="str">
        <f>IF(H18="","",IF(K17="","",IF(D5="","",H18*K17/D5)))</f>
        <v/>
      </c>
      <c r="M17" s="90" t="s">
        <v>81</v>
      </c>
      <c r="N17" s="199">
        <f>'1'!N17</f>
        <v>0.5</v>
      </c>
    </row>
    <row r="18" spans="1:28" ht="13.5" thickBot="1" x14ac:dyDescent="0.25">
      <c r="A18" s="94"/>
      <c r="C18" s="189" t="s">
        <v>64</v>
      </c>
      <c r="D18" s="97" t="str">
        <f>IF(D17="","",IF(N17="","",N17*D5/100/(D17-D16)/N19/J11))</f>
        <v/>
      </c>
      <c r="E18" s="293" t="str">
        <f>IF(E17="","",IF(N17="","",N17*D5/100/(E17-E16)/N19/J11))</f>
        <v/>
      </c>
      <c r="F18" s="302" t="str">
        <f>IF(F17="","",IF(N17="","",N17*D5/100/(F17-F16)/N19/J11))</f>
        <v/>
      </c>
      <c r="G18" s="161" t="str">
        <f>IF(G17="","",IF(N17="","",N17*D5/100/(G17-G16)/N19/J11))</f>
        <v/>
      </c>
      <c r="H18" s="194" t="str">
        <f>IF(B11&lt;&gt;"",B11,IF(D$24="x",IF(E$24="",IF(F$24="",IF(G$24="",D18,""),""),""),IF(E$24="x",IF(F$24="",IF(G$24="",E18,""),""),IF(F$24="x",IF(G$24="",F18,""),IF(G$24="x",G18,"")))))</f>
        <v/>
      </c>
      <c r="I18" s="181" t="s">
        <v>105</v>
      </c>
      <c r="J18" s="185" t="s">
        <v>65</v>
      </c>
      <c r="K18" s="225" t="s">
        <v>130</v>
      </c>
      <c r="L18" s="293">
        <f>IF(K17="","",K17/N19/J11/3)</f>
        <v>33.333333333333336</v>
      </c>
      <c r="M18" s="91" t="s">
        <v>83</v>
      </c>
      <c r="N18" s="321">
        <f>'1'!N18</f>
        <v>16.30585</v>
      </c>
      <c r="O18" s="94"/>
      <c r="AB18" s="94"/>
    </row>
    <row r="19" spans="1:28" ht="13.5" thickBot="1" x14ac:dyDescent="0.25">
      <c r="C19" s="135" t="s">
        <v>101</v>
      </c>
      <c r="D19" s="309" t="str">
        <f>IF(D18="","",D$17+(D$17-D$16))</f>
        <v/>
      </c>
      <c r="E19" s="305" t="str">
        <f>IF(E18="","",E$17+(E$17-E$16))</f>
        <v/>
      </c>
      <c r="F19" s="303" t="str">
        <f>IF(F18="","",F$17-(F$16-F$17))</f>
        <v/>
      </c>
      <c r="G19" s="136" t="str">
        <f>IF(G18="","",G$17-(G$16-G$17))</f>
        <v/>
      </c>
      <c r="H19" s="196" t="str">
        <f t="shared" ref="H19" si="0">IF(H18="","",H$17+(H$17-H$16))</f>
        <v/>
      </c>
      <c r="I19" s="191" t="s">
        <v>85</v>
      </c>
      <c r="J19" s="289" t="str">
        <f>IF(I19="x",H19,IF(I20="x",H20,IF(I21="x",H21,IF(I22="x",H22,IF(I23="x",H23,"")))))</f>
        <v/>
      </c>
      <c r="M19" s="88" t="s">
        <v>55</v>
      </c>
      <c r="N19" s="203">
        <f>Ativos!$N$30</f>
        <v>100</v>
      </c>
    </row>
    <row r="20" spans="1:28" ht="13.5" thickBot="1" x14ac:dyDescent="0.25">
      <c r="C20" s="57" t="s">
        <v>102</v>
      </c>
      <c r="D20" s="310" t="str">
        <f>IF(D19="","",D$17+2*(D$17-D$16))</f>
        <v/>
      </c>
      <c r="E20" s="311" t="str">
        <f>IF(E19="","",E$17+2*(E$17-E$16))</f>
        <v/>
      </c>
      <c r="F20" s="187" t="str">
        <f>IF(F19="","",F$17-2*(F$16-F$17))</f>
        <v/>
      </c>
      <c r="G20" s="170" t="str">
        <f>IF(G19="","",G$17-2*(G$16-G$17))</f>
        <v/>
      </c>
      <c r="H20" s="197" t="str">
        <f>IF(H19="","",H$17+2*(H$17-H$16))</f>
        <v/>
      </c>
      <c r="I20" s="192"/>
      <c r="J20" s="15"/>
      <c r="M20" s="85" t="s">
        <v>68</v>
      </c>
      <c r="N20" s="322">
        <f>'1'!$N$20</f>
        <v>500</v>
      </c>
    </row>
    <row r="21" spans="1:28" ht="13.5" thickBot="1" x14ac:dyDescent="0.25">
      <c r="C21" s="57" t="s">
        <v>103</v>
      </c>
      <c r="D21" s="112" t="str">
        <f>IF(D20="","",D$17+3*(D$17-D$16))</f>
        <v/>
      </c>
      <c r="E21" s="307" t="str">
        <f>IF(E20="","",E$17+3*(E$17-E$16))</f>
        <v/>
      </c>
      <c r="F21" s="188" t="str">
        <f>IF(F20="","",F$17-3*(F$16-F$17))</f>
        <v/>
      </c>
      <c r="G21" s="82" t="str">
        <f>IF(G20="","",G$17-3*(G$16-G$17))</f>
        <v/>
      </c>
      <c r="H21" s="197" t="str">
        <f>IF(H20="","",H$17+3*(H$17-H$16))</f>
        <v/>
      </c>
      <c r="I21" s="192"/>
      <c r="J21" s="381" t="s">
        <v>124</v>
      </c>
      <c r="K21" s="387"/>
      <c r="M21" s="121" t="s">
        <v>69</v>
      </c>
      <c r="N21" s="84">
        <f>IF(D5="","",IF(N19="","",IF(N20="","",D5*N20/N19/D6)))</f>
        <v>12.843802922295302</v>
      </c>
    </row>
    <row r="22" spans="1:28" x14ac:dyDescent="0.2">
      <c r="C22" s="57" t="s">
        <v>106</v>
      </c>
      <c r="D22" s="310" t="str">
        <f>IF(D21="","",D$17+4*(D$17-D$16))</f>
        <v/>
      </c>
      <c r="E22" s="311" t="str">
        <f>IF(E21="","",E$17+4*(E$17-E$16))</f>
        <v/>
      </c>
      <c r="F22" s="187" t="str">
        <f>IF(F21="","",F$17-4*(F$16-F$17))</f>
        <v/>
      </c>
      <c r="G22" s="170" t="str">
        <f>IF(G21="","",G$17-4*(G$16-G$17))</f>
        <v/>
      </c>
      <c r="H22" s="197" t="str">
        <f>IF(H21="","",H$17+4*(H$17-H$16))</f>
        <v/>
      </c>
      <c r="I22" s="192"/>
      <c r="J22" s="281"/>
      <c r="K22" s="282" t="str">
        <f>IF(K23="","",IF(H17="","",(K23-H17)/(H17-H16)))</f>
        <v/>
      </c>
      <c r="L22" s="278" t="s">
        <v>125</v>
      </c>
      <c r="M22" s="15"/>
    </row>
    <row r="23" spans="1:28" ht="13.5" thickBot="1" x14ac:dyDescent="0.25">
      <c r="C23" s="58" t="s">
        <v>107</v>
      </c>
      <c r="D23" s="112" t="str">
        <f>IF(D22="","",D$17+5*(D$17-D$16))</f>
        <v/>
      </c>
      <c r="E23" s="307" t="str">
        <f>IF(E22="","",E$17+5*(E$17-E$16))</f>
        <v/>
      </c>
      <c r="F23" s="188" t="str">
        <f>IF(F22="","",F$17-5*(F$16-F$17))</f>
        <v/>
      </c>
      <c r="G23" s="82" t="str">
        <f>IF(G22="","",G$17-5*(G$16-G$17))</f>
        <v/>
      </c>
      <c r="H23" s="198" t="str">
        <f>IF(H22="","",H$17+5*(H$17-H$16))</f>
        <v/>
      </c>
      <c r="I23" s="193"/>
      <c r="J23" s="97" t="str">
        <f>IF(J22="","",IF(H17="","",H17+J22*(H17-H16)))</f>
        <v/>
      </c>
      <c r="K23" s="290"/>
      <c r="L23" s="279" t="s">
        <v>126</v>
      </c>
    </row>
    <row r="24" spans="1:28" ht="13.5" thickBot="1" x14ac:dyDescent="0.25">
      <c r="C24" s="190" t="s">
        <v>78</v>
      </c>
      <c r="D24" s="119"/>
      <c r="E24" s="312"/>
      <c r="F24" s="304"/>
      <c r="G24" s="123"/>
      <c r="H24" s="195" t="str">
        <f>IF(D$24="x",IF(E$24="",IF(F$24="",IF(G$24="",D13,""),""),""),IF(E$24="x",IF(F$24="",IF(G$24="",D13,""),""),IF(F$24="x",IF(G$24="",F13,""),IF(G$24="x",F13,""))))</f>
        <v/>
      </c>
      <c r="I24" s="14"/>
      <c r="J24" s="15"/>
    </row>
    <row r="25" spans="1:28" x14ac:dyDescent="0.2">
      <c r="I25" s="14"/>
      <c r="J25" s="15"/>
    </row>
    <row r="26" spans="1:28" x14ac:dyDescent="0.2">
      <c r="D26" s="131"/>
      <c r="G26" s="113"/>
      <c r="H26" s="14"/>
      <c r="I26" s="14"/>
      <c r="J26" s="15"/>
    </row>
    <row r="27" spans="1:28" x14ac:dyDescent="0.2">
      <c r="I27" s="14"/>
      <c r="J27" s="15"/>
    </row>
    <row r="28" spans="1:28" x14ac:dyDescent="0.2">
      <c r="I28" s="14"/>
      <c r="J28" s="15"/>
    </row>
    <row r="29" spans="1:28" x14ac:dyDescent="0.2">
      <c r="I29" s="14"/>
      <c r="L29" s="14"/>
    </row>
    <row r="30" spans="1:28" x14ac:dyDescent="0.2">
      <c r="I30" s="14"/>
      <c r="L30" s="14"/>
    </row>
  </sheetData>
  <mergeCells count="30">
    <mergeCell ref="J21:K21"/>
    <mergeCell ref="I2:L2"/>
    <mergeCell ref="B3:C4"/>
    <mergeCell ref="D3:E4"/>
    <mergeCell ref="F3:H3"/>
    <mergeCell ref="B5:C5"/>
    <mergeCell ref="D5:E5"/>
    <mergeCell ref="B8:B9"/>
    <mergeCell ref="C8:C9"/>
    <mergeCell ref="D8:D9"/>
    <mergeCell ref="E8:E9"/>
    <mergeCell ref="F8:F9"/>
    <mergeCell ref="B6:C6"/>
    <mergeCell ref="D6:E6"/>
    <mergeCell ref="B7:C7"/>
    <mergeCell ref="D7:E7"/>
    <mergeCell ref="F7:H7"/>
    <mergeCell ref="M8:N8"/>
    <mergeCell ref="I13:J13"/>
    <mergeCell ref="D13:E13"/>
    <mergeCell ref="F13:G13"/>
    <mergeCell ref="M14:N14"/>
    <mergeCell ref="I17:J17"/>
    <mergeCell ref="G8:G9"/>
    <mergeCell ref="H8:H9"/>
    <mergeCell ref="I8:I9"/>
    <mergeCell ref="J8:J9"/>
    <mergeCell ref="K8:K9"/>
    <mergeCell ref="L8:L9"/>
    <mergeCell ref="K15:L15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0"/>
  <sheetViews>
    <sheetView workbookViewId="0">
      <selection activeCell="N13" sqref="N13"/>
    </sheetView>
  </sheetViews>
  <sheetFormatPr defaultRowHeight="12.75" x14ac:dyDescent="0.2"/>
  <cols>
    <col min="1" max="1" width="1.42578125" style="14" customWidth="1"/>
    <col min="2" max="2" width="5.85546875" customWidth="1"/>
    <col min="3" max="3" width="12.42578125" style="16" bestFit="1" customWidth="1"/>
    <col min="4" max="4" width="8.5703125" style="16" customWidth="1"/>
    <col min="5" max="5" width="10.85546875" style="15" bestFit="1" customWidth="1"/>
    <col min="6" max="6" width="10" style="15" customWidth="1"/>
    <col min="7" max="7" width="9.85546875" style="15" bestFit="1" customWidth="1"/>
    <col min="8" max="8" width="12.7109375" style="15" customWidth="1"/>
    <col min="9" max="9" width="13.28515625" style="15" bestFit="1" customWidth="1"/>
    <col min="10" max="10" width="8.7109375" style="14" customWidth="1"/>
    <col min="11" max="11" width="10.140625" style="14" bestFit="1" customWidth="1"/>
    <col min="12" max="12" width="8.5703125" style="15" bestFit="1" customWidth="1"/>
    <col min="13" max="13" width="13.5703125" style="14" bestFit="1" customWidth="1"/>
    <col min="14" max="14" width="12" style="14" customWidth="1"/>
    <col min="15" max="15" width="1.42578125" style="14" customWidth="1"/>
    <col min="16" max="16" width="14.5703125" style="14" bestFit="1" customWidth="1"/>
    <col min="17" max="17" width="10.5703125" style="14" bestFit="1" customWidth="1"/>
    <col min="18" max="19" width="10.140625" style="14" bestFit="1" customWidth="1"/>
    <col min="20" max="20" width="2.42578125" style="14" customWidth="1"/>
    <col min="21" max="21" width="4" style="14" bestFit="1" customWidth="1"/>
    <col min="22" max="22" width="8.140625" style="14" bestFit="1" customWidth="1"/>
    <col min="23" max="25" width="9.140625" style="14"/>
    <col min="26" max="26" width="10.140625" style="14" bestFit="1" customWidth="1"/>
    <col min="27" max="27" width="9.140625" style="14"/>
    <col min="28" max="28" width="2.42578125" style="14" customWidth="1"/>
    <col min="29" max="16384" width="9.140625" style="14"/>
  </cols>
  <sheetData>
    <row r="1" spans="2:14" ht="13.5" thickBot="1" x14ac:dyDescent="0.25">
      <c r="L1" s="60"/>
      <c r="N1" s="50"/>
    </row>
    <row r="2" spans="2:14" ht="13.5" thickBot="1" x14ac:dyDescent="0.25">
      <c r="B2" s="223" t="s">
        <v>96</v>
      </c>
      <c r="C2" s="147" t="str">
        <f>Ativos!$P$26</f>
        <v>SILVER</v>
      </c>
      <c r="D2" s="223" t="s">
        <v>51</v>
      </c>
      <c r="E2" s="155">
        <f>Ativos!$P$29</f>
        <v>3.399999999999892E-2</v>
      </c>
      <c r="G2" s="171" t="s">
        <v>30</v>
      </c>
      <c r="H2" s="182">
        <f>SUM(D5:G5)</f>
        <v>3261.17</v>
      </c>
      <c r="I2" s="371" t="s">
        <v>70</v>
      </c>
      <c r="J2" s="345"/>
      <c r="K2" s="345"/>
      <c r="L2" s="372"/>
    </row>
    <row r="3" spans="2:14" ht="13.5" thickBot="1" x14ac:dyDescent="0.25">
      <c r="B3" s="373" t="s">
        <v>31</v>
      </c>
      <c r="C3" s="374"/>
      <c r="D3" s="377" t="s">
        <v>40</v>
      </c>
      <c r="E3" s="378"/>
      <c r="F3" s="381" t="s">
        <v>28</v>
      </c>
      <c r="G3" s="382"/>
      <c r="H3" s="382"/>
      <c r="I3" s="225" t="s">
        <v>46</v>
      </c>
      <c r="J3" s="184" t="s">
        <v>28</v>
      </c>
      <c r="K3" s="132" t="s">
        <v>48</v>
      </c>
      <c r="L3" s="96" t="s">
        <v>65</v>
      </c>
    </row>
    <row r="4" spans="2:14" ht="13.5" thickBot="1" x14ac:dyDescent="0.25">
      <c r="B4" s="375"/>
      <c r="C4" s="376"/>
      <c r="D4" s="379"/>
      <c r="E4" s="380"/>
      <c r="F4" s="144" t="s">
        <v>42</v>
      </c>
      <c r="G4" s="132" t="s">
        <v>43</v>
      </c>
      <c r="H4" s="133" t="s">
        <v>47</v>
      </c>
      <c r="I4" s="183"/>
      <c r="J4" s="126" t="str">
        <f>IF(I4="","",IF(N10="","",IF(B10=0,"",I4*N10)))</f>
        <v/>
      </c>
      <c r="K4" s="126" t="str">
        <f>IF(J4="","",IF(D5="","",100*J4/D5))</f>
        <v/>
      </c>
      <c r="L4" s="176" t="str">
        <f>IF(I4="","",IF(I10="","",IF(B10="","",IF(B10=0,"",IF(J4="","",I10+(J4-F5-G5)/N19/B10/J11)))))</f>
        <v/>
      </c>
    </row>
    <row r="5" spans="2:14" ht="13.5" thickBot="1" x14ac:dyDescent="0.25">
      <c r="B5" s="383">
        <f>D5+F5</f>
        <v>3261.17</v>
      </c>
      <c r="C5" s="384"/>
      <c r="D5" s="407">
        <f>CLog!$Z$42</f>
        <v>3261.17</v>
      </c>
      <c r="E5" s="408"/>
      <c r="F5" s="129">
        <f>IF(J10="",0,J10)</f>
        <v>0</v>
      </c>
      <c r="G5" s="31" t="str">
        <f>K10</f>
        <v/>
      </c>
      <c r="H5" s="122">
        <f>IF(F5="",IF(G5="","",G5),IF(G5="",F5,F5+G5))</f>
        <v>0</v>
      </c>
      <c r="I5" s="103" t="str">
        <f>IF(J5="","",IF(N10="","",J5/N10))</f>
        <v/>
      </c>
      <c r="J5" s="32" t="str">
        <f>IF(K5="","",K5*D5/100)</f>
        <v/>
      </c>
      <c r="K5" s="95" t="str">
        <f>IF(L5="","",100*B10*N19*J11*(L5-D10)/D5)</f>
        <v/>
      </c>
      <c r="L5" s="175"/>
      <c r="M5" s="326" t="s">
        <v>131</v>
      </c>
      <c r="N5" s="327">
        <f>[3]CRe!$P$32</f>
        <v>1.0120091755496351E-2</v>
      </c>
    </row>
    <row r="6" spans="2:14" ht="13.5" thickBot="1" x14ac:dyDescent="0.25">
      <c r="B6" s="388" t="s">
        <v>32</v>
      </c>
      <c r="C6" s="389"/>
      <c r="D6" s="390">
        <f>Ativos!$P$27</f>
        <v>16.440999999999999</v>
      </c>
      <c r="E6" s="391"/>
      <c r="F6" s="130">
        <f>IF(F5="","",100*F5/D5)</f>
        <v>0</v>
      </c>
      <c r="G6" s="32" t="str">
        <f>IF(G5="","",100*G5/D5)</f>
        <v/>
      </c>
      <c r="H6" s="33">
        <f>IF(H5="","",100*(H2/D5-1))</f>
        <v>0</v>
      </c>
      <c r="I6" s="125" t="s">
        <v>73</v>
      </c>
      <c r="J6" s="126" t="str">
        <f>IF(K6="","",K6*D5/100)</f>
        <v/>
      </c>
      <c r="K6" s="127" t="str">
        <f>IF(L6="","",100*B10*N19*J11*(L6-D10)/D5)</f>
        <v/>
      </c>
      <c r="L6" s="176" t="str">
        <f>IF(J15&lt;&gt;"",J15,IF(H16="","",H16))</f>
        <v/>
      </c>
      <c r="M6" s="328" t="s">
        <v>133</v>
      </c>
      <c r="N6" s="330">
        <f>IF(N17="","",IF(N5="","",N17/N5))</f>
        <v>49.406666666677566</v>
      </c>
    </row>
    <row r="7" spans="2:14" ht="13.5" thickBot="1" x14ac:dyDescent="0.25">
      <c r="B7" s="392" t="s">
        <v>33</v>
      </c>
      <c r="C7" s="393"/>
      <c r="D7" s="394">
        <f>Ativos!$P$28</f>
        <v>16.407</v>
      </c>
      <c r="E7" s="395"/>
      <c r="F7" s="381" t="s">
        <v>29</v>
      </c>
      <c r="G7" s="382"/>
      <c r="H7" s="387"/>
      <c r="I7" s="225" t="s">
        <v>49</v>
      </c>
      <c r="J7" s="32">
        <f>IF(K7="","",-K7*D5/100)</f>
        <v>-16.253937479744206</v>
      </c>
      <c r="K7" s="177">
        <f>Risk!$C$13</f>
        <v>0.49840816270676491</v>
      </c>
      <c r="L7" s="178" t="str">
        <f>IF(K7="","",IF(I10="","",IF(K7=0,"",IF(B10=0,"",I10-(H2-D5-J7)/N19/B10))))</f>
        <v/>
      </c>
      <c r="M7" s="93" t="s">
        <v>67</v>
      </c>
      <c r="N7" s="329">
        <f>IF(N17="","",IF(K7="","",IF(K7=0,"",N17/K7)))</f>
        <v>1.0031938427424425</v>
      </c>
    </row>
    <row r="8" spans="2:14" ht="12.75" customHeight="1" x14ac:dyDescent="0.2">
      <c r="B8" s="398" t="s">
        <v>41</v>
      </c>
      <c r="C8" s="364" t="s">
        <v>71</v>
      </c>
      <c r="D8" s="368" t="s">
        <v>44</v>
      </c>
      <c r="E8" s="368" t="s">
        <v>45</v>
      </c>
      <c r="F8" s="364" t="s">
        <v>53</v>
      </c>
      <c r="G8" s="401" t="s">
        <v>109</v>
      </c>
      <c r="H8" s="366"/>
      <c r="I8" s="368" t="s">
        <v>65</v>
      </c>
      <c r="J8" s="366" t="s">
        <v>123</v>
      </c>
      <c r="K8" s="364" t="s">
        <v>28</v>
      </c>
      <c r="L8" s="358" t="s">
        <v>29</v>
      </c>
      <c r="M8" s="409" t="s">
        <v>75</v>
      </c>
      <c r="N8" s="410"/>
    </row>
    <row r="9" spans="2:14" ht="13.5" thickBot="1" x14ac:dyDescent="0.25">
      <c r="B9" s="399"/>
      <c r="C9" s="400"/>
      <c r="D9" s="365"/>
      <c r="E9" s="365"/>
      <c r="F9" s="365"/>
      <c r="G9" s="402"/>
      <c r="H9" s="367"/>
      <c r="I9" s="365"/>
      <c r="J9" s="367"/>
      <c r="K9" s="365"/>
      <c r="L9" s="359"/>
      <c r="M9" s="99" t="s">
        <v>52</v>
      </c>
      <c r="N9" s="275" t="s">
        <v>53</v>
      </c>
    </row>
    <row r="10" spans="2:14" ht="13.5" thickBot="1" x14ac:dyDescent="0.25">
      <c r="B10" s="105" t="str">
        <f>IF(B11&lt;&gt;"",B11,IF(H18="","",H18))</f>
        <v/>
      </c>
      <c r="C10" s="106" t="str">
        <f>IF(B10="","",IF(B10&gt;0,N19*B10*D6/D5,-N19*B10*D7/D5))</f>
        <v/>
      </c>
      <c r="D10" s="107" t="str">
        <f>IF(D11&lt;&gt;"",D11,IF(H17="","",H17))</f>
        <v/>
      </c>
      <c r="E10" s="107" t="str">
        <f>IF(E11&lt;&gt;"",E11,IF(J19="","",J19))</f>
        <v/>
      </c>
      <c r="F10" s="98" t="str">
        <f>IF(B10="","",IF(D10="","",IF(E10="","",B10*N$19*J11*(E10-D10))))</f>
        <v/>
      </c>
      <c r="G10" s="167">
        <v>0</v>
      </c>
      <c r="H10" s="168"/>
      <c r="I10" s="104" t="str">
        <f>IF(B10="","",IF(B10&gt;0,D$7,D$6))</f>
        <v/>
      </c>
      <c r="J10" s="128" t="str">
        <f>IF(B10="","",IF(H10="t",B10*N$19*(E10-D10)+G10,IF(H10="s",B10*N$19*(L6-D10)+G10,"")))</f>
        <v/>
      </c>
      <c r="K10" s="98" t="str">
        <f>IF(B10="","",IF(H10="",B10*N19*J11*(I10-D10)+G10,""))</f>
        <v/>
      </c>
      <c r="L10" s="102" t="str">
        <f>IF(B10="","",IF(H10&lt;&gt;"",100*J10/D$5,100*K10/D$5))</f>
        <v/>
      </c>
      <c r="M10" s="115" t="str">
        <f>IF(E10="","",E10)</f>
        <v/>
      </c>
      <c r="N10" s="102" t="str">
        <f>IF(B10="","",IF(D10="","",IF(M10="","",B10*N$19*J11*(M10-D10))))</f>
        <v/>
      </c>
    </row>
    <row r="11" spans="2:14" ht="13.5" thickBot="1" x14ac:dyDescent="0.25">
      <c r="B11" s="288"/>
      <c r="C11" s="314" t="s">
        <v>79</v>
      </c>
      <c r="D11" s="315"/>
      <c r="E11" s="114"/>
      <c r="G11" s="223" t="s">
        <v>100</v>
      </c>
      <c r="H11" s="169">
        <f>Ativos!$P$31</f>
        <v>100</v>
      </c>
      <c r="I11" s="223" t="s">
        <v>114</v>
      </c>
      <c r="J11" s="242">
        <f>Ativos!$P$32</f>
        <v>1</v>
      </c>
      <c r="M11" s="100" t="s">
        <v>56</v>
      </c>
      <c r="N11" s="101" t="str">
        <f>IF(F10="","",F10+G10)</f>
        <v/>
      </c>
    </row>
    <row r="12" spans="2:14" ht="13.5" thickBot="1" x14ac:dyDescent="0.25">
      <c r="B12" s="316">
        <f>D5/N19/3</f>
        <v>0.21741133333333332</v>
      </c>
      <c r="C12" s="317" t="s">
        <v>130</v>
      </c>
      <c r="D12" s="131"/>
      <c r="G12" s="14"/>
      <c r="I12" s="108"/>
      <c r="K12" s="15"/>
      <c r="M12" s="57" t="s">
        <v>54</v>
      </c>
      <c r="N12" s="56" t="str">
        <f>IF(N11="","",100*N11/D5)</f>
        <v/>
      </c>
    </row>
    <row r="13" spans="2:14" ht="13.5" thickBot="1" x14ac:dyDescent="0.25">
      <c r="B13" s="15"/>
      <c r="D13" s="403" t="s">
        <v>127</v>
      </c>
      <c r="E13" s="404"/>
      <c r="F13" s="405" t="s">
        <v>128</v>
      </c>
      <c r="G13" s="404"/>
      <c r="H13" s="298" t="s">
        <v>74</v>
      </c>
      <c r="I13" s="369" t="s">
        <v>112</v>
      </c>
      <c r="J13" s="370"/>
      <c r="M13" s="58" t="s">
        <v>125</v>
      </c>
      <c r="N13" s="59" t="str">
        <f>IF(N11="","",IF(J6="","",IF(J6=0,9999.9999,IF(J6&gt;0,"No Loss",-N11/J6))))</f>
        <v/>
      </c>
    </row>
    <row r="14" spans="2:14" ht="13.5" thickBot="1" x14ac:dyDescent="0.25">
      <c r="B14" s="15"/>
      <c r="C14" s="109" t="s">
        <v>76</v>
      </c>
      <c r="D14" s="116"/>
      <c r="E14" s="305" t="str">
        <f>IF(D14="","",D14)</f>
        <v/>
      </c>
      <c r="F14" s="299"/>
      <c r="G14" s="136" t="str">
        <f>IF(F14="","",F14)</f>
        <v/>
      </c>
      <c r="H14" s="174"/>
      <c r="I14" s="222" t="s">
        <v>113</v>
      </c>
      <c r="J14" s="226"/>
      <c r="M14" s="362" t="s">
        <v>82</v>
      </c>
      <c r="N14" s="363"/>
    </row>
    <row r="15" spans="2:14" ht="13.5" thickBot="1" x14ac:dyDescent="0.25">
      <c r="C15" s="110" t="s">
        <v>77</v>
      </c>
      <c r="D15" s="331">
        <f>'1'!D15</f>
        <v>20</v>
      </c>
      <c r="E15" s="332">
        <f>'1'!E15</f>
        <v>3</v>
      </c>
      <c r="F15" s="333">
        <f>'1'!F15</f>
        <v>15</v>
      </c>
      <c r="G15" s="334">
        <f>'1'!G15</f>
        <v>1</v>
      </c>
      <c r="H15" s="227" t="str">
        <f>IF(D$24="x",IF(E$24="",IF(F$24="",IF(G$24="",D15,""),""),""),IF(E$24="x",IF(F$24="",IF(G$24="",E15,""),""),IF(F$24="x",IF(G$24="",F15,""),IF(G$24="x",G15,""))))</f>
        <v/>
      </c>
      <c r="I15" s="93" t="s">
        <v>73</v>
      </c>
      <c r="J15" s="178" t="str">
        <f>IF(J14="","",IF(H15="","",IF(B10="","",IF(B10&gt;0,J14-H15/$H$11,IF(B10&lt;0,J14+H15/$H$11,"")))))</f>
        <v/>
      </c>
      <c r="K15" s="396" t="s">
        <v>129</v>
      </c>
      <c r="L15" s="406"/>
      <c r="M15" s="89" t="s">
        <v>84</v>
      </c>
      <c r="N15" s="296">
        <f>'1'!$N$15</f>
        <v>0.5</v>
      </c>
    </row>
    <row r="16" spans="2:14" ht="13.5" thickBot="1" x14ac:dyDescent="0.25">
      <c r="C16" s="111" t="s">
        <v>73</v>
      </c>
      <c r="D16" s="112" t="str">
        <f>IF(D14="","",IF(D15="","",D14-D15/$H$11))</f>
        <v/>
      </c>
      <c r="E16" s="307" t="str">
        <f>IF(E14="","",IF(E15="","",E14-E15/$H$11))</f>
        <v/>
      </c>
      <c r="F16" s="188" t="str">
        <f>IF(F14="","",IF(F15="","",F14+F15/$H$11))</f>
        <v/>
      </c>
      <c r="G16" s="82" t="str">
        <f>IF(G14="","",IF(G15="","",G14+G15/$H$11))</f>
        <v/>
      </c>
      <c r="H16" s="173" t="str">
        <f>IF(D$24="x",IF(E$24="",IF(F$24="",IF(G$24="",D16,""),""),""),IF(E$24="x",IF(F$24="",IF(G$24="",E16,""),""),IF(F$24="x",IF(G$24="",F16,""),IF(G$24="x",G16,""))))</f>
        <v/>
      </c>
      <c r="I16" s="14"/>
      <c r="J16" s="15"/>
      <c r="K16" s="313" t="s">
        <v>31</v>
      </c>
      <c r="L16" s="96" t="s">
        <v>64</v>
      </c>
      <c r="M16" s="90" t="s">
        <v>80</v>
      </c>
      <c r="N16" s="199">
        <f>'1'!$N$16</f>
        <v>20</v>
      </c>
    </row>
    <row r="17" spans="1:28" x14ac:dyDescent="0.2">
      <c r="C17" s="109" t="s">
        <v>72</v>
      </c>
      <c r="D17" s="159" t="str">
        <f>IF(D16="","",D6)</f>
        <v/>
      </c>
      <c r="E17" s="308" t="str">
        <f>IF(E16="","",D6)</f>
        <v/>
      </c>
      <c r="F17" s="301" t="str">
        <f>IF(F16="","",D7)</f>
        <v/>
      </c>
      <c r="G17" s="160" t="str">
        <f>IF(G16="","",D7)</f>
        <v/>
      </c>
      <c r="H17" s="180" t="str">
        <f>IF(D11&lt;&gt;"",D11,IF(D$24="x",IF(E$24="",IF(F$24="",IF(G$24="",D17,""),""),""),IF(E$24="x",IF(F$24="",IF(G$24="",E17,""),""),IF(F$24="x",IF(G$24="",F17,""),IF(G$24="x",G17,"")))))</f>
        <v/>
      </c>
      <c r="I17" s="396" t="s">
        <v>104</v>
      </c>
      <c r="J17" s="406"/>
      <c r="K17" s="341">
        <f>'1'!$K$17</f>
        <v>10000</v>
      </c>
      <c r="L17" s="340" t="str">
        <f>IF(H18="","",IF(K17="","",IF(D5="","",H18*K17/D5)))</f>
        <v/>
      </c>
      <c r="M17" s="90" t="s">
        <v>81</v>
      </c>
      <c r="N17" s="199">
        <f>'1'!N17</f>
        <v>0.5</v>
      </c>
    </row>
    <row r="18" spans="1:28" ht="13.5" thickBot="1" x14ac:dyDescent="0.25">
      <c r="A18" s="94"/>
      <c r="C18" s="189" t="s">
        <v>64</v>
      </c>
      <c r="D18" s="97" t="str">
        <f>IF(D17="","",IF(N17="","",N17*D5/100/(D17-D16)/N19/J11))</f>
        <v/>
      </c>
      <c r="E18" s="293" t="str">
        <f>IF(E17="","",IF(N17="","",N17*D5/100/(E17-E16)/N19/J11))</f>
        <v/>
      </c>
      <c r="F18" s="302" t="str">
        <f>IF(F17="","",IF(N17="","",N17*D5/100/(F17-F16)/N19/J11))</f>
        <v/>
      </c>
      <c r="G18" s="161" t="str">
        <f>IF(G17="","",IF(N17="","",N17*D5/100/(G17-G16)/N19/J11))</f>
        <v/>
      </c>
      <c r="H18" s="194" t="str">
        <f>IF(B11&lt;&gt;"",B11,IF(D$24="x",IF(E$24="",IF(F$24="",IF(G$24="",D18,""),""),""),IF(E$24="x",IF(F$24="",IF(G$24="",E18,""),""),IF(F$24="x",IF(G$24="",F18,""),IF(G$24="x",G18,"")))))</f>
        <v/>
      </c>
      <c r="I18" s="181" t="s">
        <v>105</v>
      </c>
      <c r="J18" s="185" t="s">
        <v>65</v>
      </c>
      <c r="K18" s="225" t="s">
        <v>130</v>
      </c>
      <c r="L18" s="293">
        <f>IF(K17="","",K17/N19/J11/3)</f>
        <v>0.66666666666666663</v>
      </c>
      <c r="M18" s="91" t="s">
        <v>83</v>
      </c>
      <c r="N18" s="321">
        <f>'1'!N18</f>
        <v>16.30585</v>
      </c>
      <c r="O18" s="94"/>
      <c r="AB18" s="94"/>
    </row>
    <row r="19" spans="1:28" ht="13.5" thickBot="1" x14ac:dyDescent="0.25">
      <c r="C19" s="135" t="s">
        <v>101</v>
      </c>
      <c r="D19" s="309" t="str">
        <f>IF(D18="","",D$17+(D$17-D$16))</f>
        <v/>
      </c>
      <c r="E19" s="305" t="str">
        <f>IF(E18="","",E$17+(E$17-E$16))</f>
        <v/>
      </c>
      <c r="F19" s="303" t="str">
        <f>IF(F18="","",F$17-(F$16-F$17))</f>
        <v/>
      </c>
      <c r="G19" s="136" t="str">
        <f>IF(G18="","",G$17-(G$16-G$17))</f>
        <v/>
      </c>
      <c r="H19" s="196" t="str">
        <f t="shared" ref="H19" si="0">IF(H18="","",H$17+(H$17-H$16))</f>
        <v/>
      </c>
      <c r="I19" s="191" t="s">
        <v>85</v>
      </c>
      <c r="J19" s="186" t="str">
        <f>IF(I19="x",H19,IF(I20="x",H20,IF(I21="x",H21,IF(I22="x",H22,IF(I23="x",H23,"")))))</f>
        <v/>
      </c>
      <c r="M19" s="88" t="s">
        <v>55</v>
      </c>
      <c r="N19" s="203">
        <f>Ativos!$P$30</f>
        <v>5000</v>
      </c>
    </row>
    <row r="20" spans="1:28" ht="13.5" thickBot="1" x14ac:dyDescent="0.25">
      <c r="C20" s="57" t="s">
        <v>102</v>
      </c>
      <c r="D20" s="310" t="str">
        <f>IF(D19="","",D$17+2*(D$17-D$16))</f>
        <v/>
      </c>
      <c r="E20" s="311" t="str">
        <f>IF(E19="","",E$17+2*(E$17-E$16))</f>
        <v/>
      </c>
      <c r="F20" s="187" t="str">
        <f>IF(F19="","",F$17-2*(F$16-F$17))</f>
        <v/>
      </c>
      <c r="G20" s="170" t="str">
        <f>IF(G19="","",G$17-2*(G$16-G$17))</f>
        <v/>
      </c>
      <c r="H20" s="197" t="str">
        <f>IF(H19="","",H$17+2*(H$17-H$16))</f>
        <v/>
      </c>
      <c r="I20" s="192"/>
      <c r="J20" s="15"/>
      <c r="M20" s="85" t="s">
        <v>68</v>
      </c>
      <c r="N20" s="322">
        <f>'1'!$N$20</f>
        <v>500</v>
      </c>
    </row>
    <row r="21" spans="1:28" ht="13.5" thickBot="1" x14ac:dyDescent="0.25">
      <c r="C21" s="57" t="s">
        <v>103</v>
      </c>
      <c r="D21" s="112" t="str">
        <f>IF(D20="","",D$17+3*(D$17-D$16))</f>
        <v/>
      </c>
      <c r="E21" s="307" t="str">
        <f>IF(E20="","",E$17+3*(E$17-E$16))</f>
        <v/>
      </c>
      <c r="F21" s="188" t="str">
        <f>IF(F20="","",F$17-3*(F$16-F$17))</f>
        <v/>
      </c>
      <c r="G21" s="82" t="str">
        <f>IF(G20="","",G$17-3*(G$16-G$17))</f>
        <v/>
      </c>
      <c r="H21" s="197" t="str">
        <f>IF(H20="","",H$17+3*(H$17-H$16))</f>
        <v/>
      </c>
      <c r="I21" s="192"/>
      <c r="J21" s="381" t="s">
        <v>124</v>
      </c>
      <c r="K21" s="387"/>
      <c r="M21" s="121" t="s">
        <v>69</v>
      </c>
      <c r="N21" s="84">
        <f>IF(D5="","",IF(N19="","",IF(N20="","",D5*N20/N19/D6)))</f>
        <v>19.835593941974334</v>
      </c>
    </row>
    <row r="22" spans="1:28" x14ac:dyDescent="0.2">
      <c r="C22" s="57" t="s">
        <v>106</v>
      </c>
      <c r="D22" s="310" t="str">
        <f>IF(D21="","",D$17+4*(D$17-D$16))</f>
        <v/>
      </c>
      <c r="E22" s="311" t="str">
        <f>IF(E21="","",E$17+4*(E$17-E$16))</f>
        <v/>
      </c>
      <c r="F22" s="187" t="str">
        <f>IF(F21="","",F$17-4*(F$16-F$17))</f>
        <v/>
      </c>
      <c r="G22" s="170" t="str">
        <f>IF(G21="","",G$17-4*(G$16-G$17))</f>
        <v/>
      </c>
      <c r="H22" s="197" t="str">
        <f>IF(H21="","",H$17+4*(H$17-H$16))</f>
        <v/>
      </c>
      <c r="I22" s="192"/>
      <c r="J22" s="281"/>
      <c r="K22" s="282" t="str">
        <f>IF(K23="","",IF(H17="","",(K23-H17)/(H17-H16)))</f>
        <v/>
      </c>
      <c r="L22" s="278" t="s">
        <v>125</v>
      </c>
      <c r="M22" s="15"/>
    </row>
    <row r="23" spans="1:28" ht="13.5" thickBot="1" x14ac:dyDescent="0.25">
      <c r="C23" s="58" t="s">
        <v>107</v>
      </c>
      <c r="D23" s="112" t="str">
        <f>IF(D22="","",D$17+5*(D$17-D$16))</f>
        <v/>
      </c>
      <c r="E23" s="307" t="str">
        <f>IF(E22="","",E$17+5*(E$17-E$16))</f>
        <v/>
      </c>
      <c r="F23" s="188" t="str">
        <f>IF(F22="","",F$17-5*(F$16-F$17))</f>
        <v/>
      </c>
      <c r="G23" s="82" t="str">
        <f>IF(G22="","",G$17-5*(G$16-G$17))</f>
        <v/>
      </c>
      <c r="H23" s="198" t="str">
        <f>IF(H22="","",H$17+5*(H$17-H$16))</f>
        <v/>
      </c>
      <c r="I23" s="193"/>
      <c r="J23" s="277" t="str">
        <f>IF(J22="","",IF(H17="","",H17+J22*(H17-H16)))</f>
        <v/>
      </c>
      <c r="K23" s="280"/>
      <c r="L23" s="279" t="s">
        <v>126</v>
      </c>
    </row>
    <row r="24" spans="1:28" ht="13.5" thickBot="1" x14ac:dyDescent="0.25">
      <c r="C24" s="190" t="s">
        <v>78</v>
      </c>
      <c r="D24" s="119"/>
      <c r="E24" s="312"/>
      <c r="F24" s="304"/>
      <c r="G24" s="123"/>
      <c r="H24" s="195" t="str">
        <f>IF(D$24="x",IF(E$24="",IF(F$24="",IF(G$24="",D13,""),""),""),IF(E$24="x",IF(F$24="",IF(G$24="",D13,""),""),IF(F$24="x",IF(G$24="",F13,""),IF(G$24="x",F13,""))))</f>
        <v/>
      </c>
      <c r="I24" s="14"/>
      <c r="J24" s="15"/>
    </row>
    <row r="25" spans="1:28" x14ac:dyDescent="0.2">
      <c r="I25" s="14"/>
      <c r="J25" s="15"/>
    </row>
    <row r="26" spans="1:28" x14ac:dyDescent="0.2">
      <c r="D26" s="131"/>
      <c r="G26" s="113"/>
      <c r="H26" s="14"/>
      <c r="I26" s="14"/>
      <c r="J26" s="15"/>
    </row>
    <row r="27" spans="1:28" x14ac:dyDescent="0.2">
      <c r="I27" s="14"/>
      <c r="J27" s="15"/>
    </row>
    <row r="28" spans="1:28" x14ac:dyDescent="0.2">
      <c r="I28" s="14"/>
      <c r="J28" s="15"/>
    </row>
    <row r="29" spans="1:28" x14ac:dyDescent="0.2">
      <c r="I29" s="14"/>
      <c r="L29" s="14"/>
    </row>
    <row r="30" spans="1:28" x14ac:dyDescent="0.2">
      <c r="I30" s="14"/>
      <c r="L30" s="14"/>
    </row>
  </sheetData>
  <mergeCells count="30">
    <mergeCell ref="J21:K21"/>
    <mergeCell ref="I2:L2"/>
    <mergeCell ref="B3:C4"/>
    <mergeCell ref="D3:E4"/>
    <mergeCell ref="F3:H3"/>
    <mergeCell ref="B5:C5"/>
    <mergeCell ref="D5:E5"/>
    <mergeCell ref="B8:B9"/>
    <mergeCell ref="C8:C9"/>
    <mergeCell ref="D8:D9"/>
    <mergeCell ref="E8:E9"/>
    <mergeCell ref="F8:F9"/>
    <mergeCell ref="B6:C6"/>
    <mergeCell ref="D6:E6"/>
    <mergeCell ref="B7:C7"/>
    <mergeCell ref="D7:E7"/>
    <mergeCell ref="F7:H7"/>
    <mergeCell ref="M8:N8"/>
    <mergeCell ref="I13:J13"/>
    <mergeCell ref="D13:E13"/>
    <mergeCell ref="F13:G13"/>
    <mergeCell ref="M14:N14"/>
    <mergeCell ref="I17:J17"/>
    <mergeCell ref="G8:G9"/>
    <mergeCell ref="H8:H9"/>
    <mergeCell ref="I8:I9"/>
    <mergeCell ref="J8:J9"/>
    <mergeCell ref="K8:K9"/>
    <mergeCell ref="L8:L9"/>
    <mergeCell ref="K15:L15"/>
  </mergeCells>
  <pageMargins left="0.511811024" right="0.511811024" top="0.78740157499999996" bottom="0.78740157499999996" header="0.31496062000000002" footer="0.3149606200000000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0"/>
  <sheetViews>
    <sheetView workbookViewId="0">
      <selection activeCell="N13" sqref="N13"/>
    </sheetView>
  </sheetViews>
  <sheetFormatPr defaultRowHeight="12.75" x14ac:dyDescent="0.2"/>
  <cols>
    <col min="1" max="1" width="1.42578125" style="14" customWidth="1"/>
    <col min="2" max="2" width="5.85546875" customWidth="1"/>
    <col min="3" max="3" width="12.42578125" style="16" bestFit="1" customWidth="1"/>
    <col min="4" max="4" width="8.5703125" style="16" customWidth="1"/>
    <col min="5" max="5" width="10.85546875" style="15" bestFit="1" customWidth="1"/>
    <col min="6" max="6" width="10" style="15" customWidth="1"/>
    <col min="7" max="7" width="9.85546875" style="15" bestFit="1" customWidth="1"/>
    <col min="8" max="8" width="12.7109375" style="15" customWidth="1"/>
    <col min="9" max="9" width="13.28515625" style="15" bestFit="1" customWidth="1"/>
    <col min="10" max="10" width="8.7109375" style="14" customWidth="1"/>
    <col min="11" max="11" width="10.140625" style="14" bestFit="1" customWidth="1"/>
    <col min="12" max="12" width="8.5703125" style="15" bestFit="1" customWidth="1"/>
    <col min="13" max="13" width="13.5703125" style="14" bestFit="1" customWidth="1"/>
    <col min="14" max="14" width="12" style="14" customWidth="1"/>
    <col min="15" max="15" width="1.42578125" style="14" customWidth="1"/>
    <col min="16" max="16" width="14.5703125" style="14" bestFit="1" customWidth="1"/>
    <col min="17" max="17" width="10.5703125" style="14" bestFit="1" customWidth="1"/>
    <col min="18" max="19" width="10.140625" style="14" bestFit="1" customWidth="1"/>
    <col min="20" max="20" width="2.42578125" style="14" customWidth="1"/>
    <col min="21" max="21" width="4" style="14" bestFit="1" customWidth="1"/>
    <col min="22" max="22" width="8.140625" style="14" bestFit="1" customWidth="1"/>
    <col min="23" max="25" width="9.140625" style="14"/>
    <col min="26" max="26" width="10.140625" style="14" bestFit="1" customWidth="1"/>
    <col min="27" max="27" width="9.140625" style="14"/>
    <col min="28" max="28" width="2.42578125" style="14" customWidth="1"/>
    <col min="29" max="16384" width="9.140625" style="14"/>
  </cols>
  <sheetData>
    <row r="1" spans="2:14" ht="13.5" thickBot="1" x14ac:dyDescent="0.25">
      <c r="L1" s="60"/>
      <c r="N1" s="50"/>
    </row>
    <row r="2" spans="2:14" ht="13.5" thickBot="1" x14ac:dyDescent="0.25">
      <c r="B2" s="223" t="s">
        <v>96</v>
      </c>
      <c r="C2" s="147" t="str">
        <f>Ativos!$R$26</f>
        <v>USDCAD</v>
      </c>
      <c r="D2" s="223" t="s">
        <v>51</v>
      </c>
      <c r="E2" s="155">
        <f>Ativos!$R$29</f>
        <v>1.9999999999997797</v>
      </c>
      <c r="G2" s="171" t="s">
        <v>30</v>
      </c>
      <c r="H2" s="182">
        <f>SUM(D5:G5)</f>
        <v>3261.17</v>
      </c>
      <c r="I2" s="371" t="s">
        <v>70</v>
      </c>
      <c r="J2" s="345"/>
      <c r="K2" s="345"/>
      <c r="L2" s="372"/>
    </row>
    <row r="3" spans="2:14" ht="13.5" thickBot="1" x14ac:dyDescent="0.25">
      <c r="B3" s="373" t="s">
        <v>31</v>
      </c>
      <c r="C3" s="374"/>
      <c r="D3" s="377" t="s">
        <v>40</v>
      </c>
      <c r="E3" s="378"/>
      <c r="F3" s="381" t="s">
        <v>28</v>
      </c>
      <c r="G3" s="382"/>
      <c r="H3" s="382"/>
      <c r="I3" s="225" t="s">
        <v>46</v>
      </c>
      <c r="J3" s="184" t="s">
        <v>28</v>
      </c>
      <c r="K3" s="132" t="s">
        <v>48</v>
      </c>
      <c r="L3" s="96" t="s">
        <v>65</v>
      </c>
    </row>
    <row r="4" spans="2:14" ht="13.5" thickBot="1" x14ac:dyDescent="0.25">
      <c r="B4" s="375"/>
      <c r="C4" s="376"/>
      <c r="D4" s="379"/>
      <c r="E4" s="380"/>
      <c r="F4" s="144" t="s">
        <v>42</v>
      </c>
      <c r="G4" s="132" t="s">
        <v>43</v>
      </c>
      <c r="H4" s="133" t="s">
        <v>47</v>
      </c>
      <c r="I4" s="183"/>
      <c r="J4" s="126" t="str">
        <f>IF(I4="","",IF(N10="","",IF(B10=0,"",I4*N10)))</f>
        <v/>
      </c>
      <c r="K4" s="126" t="str">
        <f>IF(J4="","",IF(D5="","",100*J4/D5))</f>
        <v/>
      </c>
      <c r="L4" s="176" t="str">
        <f>IF(I4="","",IF(I10="","",IF(B10="","",IF(B10=0,"",IF(J4="","",I10+(J4-F5-G5)/N19/B10/J11)))))</f>
        <v/>
      </c>
    </row>
    <row r="5" spans="2:14" ht="13.5" thickBot="1" x14ac:dyDescent="0.25">
      <c r="B5" s="383">
        <f>D5+F5</f>
        <v>3261.17</v>
      </c>
      <c r="C5" s="384"/>
      <c r="D5" s="407">
        <f>CLog!$Z$42</f>
        <v>3261.17</v>
      </c>
      <c r="E5" s="408"/>
      <c r="F5" s="129">
        <f>IF(J10="",0,J10)</f>
        <v>0</v>
      </c>
      <c r="G5" s="31" t="str">
        <f>K10</f>
        <v/>
      </c>
      <c r="H5" s="122">
        <f>IF(F5="",IF(G5="","",G5),IF(G5="",F5,F5+G5))</f>
        <v>0</v>
      </c>
      <c r="I5" s="103" t="str">
        <f>IF(J5="","",IF(N10="","",J5/N10))</f>
        <v/>
      </c>
      <c r="J5" s="32" t="str">
        <f>IF(K5="","",K5*D5/100)</f>
        <v/>
      </c>
      <c r="K5" s="95" t="str">
        <f>IF(L5="","",100*B10*N19*J11*(L5-D10)/D5)</f>
        <v/>
      </c>
      <c r="L5" s="175"/>
      <c r="M5" s="326" t="s">
        <v>131</v>
      </c>
      <c r="N5" s="327">
        <f>[3]CRe!$P$32</f>
        <v>1.0120091755496351E-2</v>
      </c>
    </row>
    <row r="6" spans="2:14" ht="13.5" thickBot="1" x14ac:dyDescent="0.25">
      <c r="B6" s="388" t="s">
        <v>32</v>
      </c>
      <c r="C6" s="389"/>
      <c r="D6" s="390">
        <f>Ativos!$R$27</f>
        <v>1.3293299999999999</v>
      </c>
      <c r="E6" s="391"/>
      <c r="F6" s="130">
        <f>IF(F5="","",100*F5/D5)</f>
        <v>0</v>
      </c>
      <c r="G6" s="32" t="str">
        <f>IF(G5="","",100*G5/D5)</f>
        <v/>
      </c>
      <c r="H6" s="33">
        <f>IF(H5="","",100*(H2/D5-1))</f>
        <v>0</v>
      </c>
      <c r="I6" s="125" t="s">
        <v>73</v>
      </c>
      <c r="J6" s="126" t="str">
        <f>IF(K6="","",K6*D5/100)</f>
        <v/>
      </c>
      <c r="K6" s="127" t="str">
        <f>IF(L6="","",100*B10*N19*J11*(L6-D10)/D5)</f>
        <v/>
      </c>
      <c r="L6" s="176" t="str">
        <f>IF(J15&lt;&gt;"",J15,IF(H16="","",H16))</f>
        <v/>
      </c>
      <c r="M6" s="328" t="s">
        <v>133</v>
      </c>
      <c r="N6" s="330">
        <f>IF(N17="","",IF(N5="","",N17/N5))</f>
        <v>49.406666666677566</v>
      </c>
    </row>
    <row r="7" spans="2:14" ht="13.5" thickBot="1" x14ac:dyDescent="0.25">
      <c r="B7" s="392" t="s">
        <v>33</v>
      </c>
      <c r="C7" s="393"/>
      <c r="D7" s="394">
        <f>Ativos!$R$28</f>
        <v>1.3291299999999999</v>
      </c>
      <c r="E7" s="395"/>
      <c r="F7" s="381" t="s">
        <v>29</v>
      </c>
      <c r="G7" s="382"/>
      <c r="H7" s="387"/>
      <c r="I7" s="225" t="s">
        <v>49</v>
      </c>
      <c r="J7" s="32">
        <f>IF(K7="","",-K7*D5/100)</f>
        <v>-16.253937479744206</v>
      </c>
      <c r="K7" s="177">
        <f>Risk!$C$13</f>
        <v>0.49840816270676491</v>
      </c>
      <c r="L7" s="178" t="str">
        <f>IF(K7="","",IF(I10="","",IF(K7=0,"",IF(B10=0,"",I10-(H2-D5-J7)/N19/B10))))</f>
        <v/>
      </c>
      <c r="M7" s="93" t="s">
        <v>67</v>
      </c>
      <c r="N7" s="329">
        <f>IF(N17="","",IF(K7="","",IF(K7=0,"",N17/K7)))</f>
        <v>1.0031938427424425</v>
      </c>
    </row>
    <row r="8" spans="2:14" ht="12.75" customHeight="1" x14ac:dyDescent="0.2">
      <c r="B8" s="398" t="s">
        <v>41</v>
      </c>
      <c r="C8" s="364" t="s">
        <v>71</v>
      </c>
      <c r="D8" s="368" t="s">
        <v>44</v>
      </c>
      <c r="E8" s="368" t="s">
        <v>45</v>
      </c>
      <c r="F8" s="364" t="s">
        <v>53</v>
      </c>
      <c r="G8" s="401" t="s">
        <v>109</v>
      </c>
      <c r="H8" s="366"/>
      <c r="I8" s="368" t="s">
        <v>65</v>
      </c>
      <c r="J8" s="366" t="s">
        <v>123</v>
      </c>
      <c r="K8" s="364" t="s">
        <v>28</v>
      </c>
      <c r="L8" s="358" t="s">
        <v>29</v>
      </c>
      <c r="M8" s="409" t="s">
        <v>75</v>
      </c>
      <c r="N8" s="410"/>
    </row>
    <row r="9" spans="2:14" ht="13.5" thickBot="1" x14ac:dyDescent="0.25">
      <c r="B9" s="399"/>
      <c r="C9" s="400"/>
      <c r="D9" s="365"/>
      <c r="E9" s="365"/>
      <c r="F9" s="365"/>
      <c r="G9" s="402"/>
      <c r="H9" s="367"/>
      <c r="I9" s="365"/>
      <c r="J9" s="367"/>
      <c r="K9" s="365"/>
      <c r="L9" s="359"/>
      <c r="M9" s="99" t="s">
        <v>52</v>
      </c>
      <c r="N9" s="275" t="s">
        <v>53</v>
      </c>
    </row>
    <row r="10" spans="2:14" ht="13.5" thickBot="1" x14ac:dyDescent="0.25">
      <c r="B10" s="105" t="str">
        <f>IF(B11&lt;&gt;"",B11,IF(H18="","",H18))</f>
        <v/>
      </c>
      <c r="C10" s="106" t="str">
        <f>IF(B10="","",IF(B10&gt;0,N19*B10*D6/D5,-N19*B10*D7/D5))</f>
        <v/>
      </c>
      <c r="D10" s="107" t="str">
        <f>IF(D11&lt;&gt;"",D11,IF(H17="","",H17))</f>
        <v/>
      </c>
      <c r="E10" s="107" t="str">
        <f>IF(E11&lt;&gt;"",E11,IF(J19="","",J19))</f>
        <v/>
      </c>
      <c r="F10" s="98" t="str">
        <f>IF(B10="","",IF(D10="","",IF(E10="","",B10*N$19*J11*(E10-D10))))</f>
        <v/>
      </c>
      <c r="G10" s="167">
        <v>0</v>
      </c>
      <c r="H10" s="168"/>
      <c r="I10" s="104" t="str">
        <f>IF(B10="","",IF(B10&gt;0,D$7,D$6))</f>
        <v/>
      </c>
      <c r="J10" s="128" t="str">
        <f>IF(B10="","",IF(H10="t",B10*N$19*(E10-D10)+G10,IF(H10="s",B10*N$19*(L6-D10)+G10,"")))</f>
        <v/>
      </c>
      <c r="K10" s="98" t="str">
        <f>IF(B10="","",IF(H10="",B10*N19*J11*(I10-D10)+G10,""))</f>
        <v/>
      </c>
      <c r="L10" s="102" t="str">
        <f>IF(B10="","",IF(H10&lt;&gt;"",100*J10/D$5,100*K10/D$5))</f>
        <v/>
      </c>
      <c r="M10" s="115" t="str">
        <f>IF(E10="","",E10)</f>
        <v/>
      </c>
      <c r="N10" s="102" t="str">
        <f>IF(B10="","",IF(D10="","",IF(M10="","",B10*N$19*J11*(M10-D10))))</f>
        <v/>
      </c>
    </row>
    <row r="11" spans="2:14" ht="13.5" thickBot="1" x14ac:dyDescent="0.25">
      <c r="B11" s="288"/>
      <c r="C11" s="314" t="s">
        <v>79</v>
      </c>
      <c r="D11" s="315"/>
      <c r="E11" s="114"/>
      <c r="G11" s="223" t="s">
        <v>100</v>
      </c>
      <c r="H11" s="169">
        <f>Ativos!$R$31</f>
        <v>10000</v>
      </c>
      <c r="I11" s="223" t="s">
        <v>114</v>
      </c>
      <c r="J11" s="242">
        <f>Ativos!$R$32</f>
        <v>0.75237185226426317</v>
      </c>
      <c r="M11" s="100" t="s">
        <v>56</v>
      </c>
      <c r="N11" s="101" t="str">
        <f>IF(F10="","",F10+G10)</f>
        <v/>
      </c>
    </row>
    <row r="12" spans="2:14" ht="13.5" thickBot="1" x14ac:dyDescent="0.25">
      <c r="B12" s="316">
        <f>D5/N19/3</f>
        <v>1.0870566666666666E-2</v>
      </c>
      <c r="C12" s="317" t="s">
        <v>130</v>
      </c>
      <c r="D12" s="131"/>
      <c r="G12" s="14"/>
      <c r="I12" s="108"/>
      <c r="K12" s="15"/>
      <c r="M12" s="57" t="s">
        <v>54</v>
      </c>
      <c r="N12" s="56" t="str">
        <f>IF(N11="","",100*N11/D5)</f>
        <v/>
      </c>
    </row>
    <row r="13" spans="2:14" ht="13.5" thickBot="1" x14ac:dyDescent="0.25">
      <c r="B13" s="15"/>
      <c r="D13" s="403" t="s">
        <v>127</v>
      </c>
      <c r="E13" s="404"/>
      <c r="F13" s="405" t="s">
        <v>128</v>
      </c>
      <c r="G13" s="404"/>
      <c r="H13" s="298" t="s">
        <v>74</v>
      </c>
      <c r="I13" s="369" t="s">
        <v>112</v>
      </c>
      <c r="J13" s="370"/>
      <c r="M13" s="58" t="s">
        <v>125</v>
      </c>
      <c r="N13" s="59" t="str">
        <f>IF(N11="","",IF(J6="","",IF(J6=0,9999.9999,IF(J6&gt;0,"No Loss",-N11/J6))))</f>
        <v/>
      </c>
    </row>
    <row r="14" spans="2:14" ht="13.5" thickBot="1" x14ac:dyDescent="0.25">
      <c r="B14" s="15"/>
      <c r="C14" s="109" t="s">
        <v>76</v>
      </c>
      <c r="D14" s="116"/>
      <c r="E14" s="305" t="str">
        <f>IF(D14="","",D14)</f>
        <v/>
      </c>
      <c r="F14" s="299"/>
      <c r="G14" s="136" t="str">
        <f>IF(F14="","",F14)</f>
        <v/>
      </c>
      <c r="H14" s="174"/>
      <c r="I14" s="222" t="s">
        <v>113</v>
      </c>
      <c r="J14" s="226"/>
      <c r="M14" s="362" t="s">
        <v>82</v>
      </c>
      <c r="N14" s="363"/>
    </row>
    <row r="15" spans="2:14" ht="13.5" thickBot="1" x14ac:dyDescent="0.25">
      <c r="C15" s="110" t="s">
        <v>77</v>
      </c>
      <c r="D15" s="331">
        <f>'1'!D15</f>
        <v>20</v>
      </c>
      <c r="E15" s="332">
        <f>'1'!E15</f>
        <v>3</v>
      </c>
      <c r="F15" s="333">
        <f>'1'!F15</f>
        <v>15</v>
      </c>
      <c r="G15" s="334">
        <f>'1'!G15</f>
        <v>1</v>
      </c>
      <c r="H15" s="227" t="str">
        <f>IF(D$24="x",IF(E$24="",IF(F$24="",IF(G$24="",D15,""),""),""),IF(E$24="x",IF(F$24="",IF(G$24="",E15,""),""),IF(F$24="x",IF(G$24="",F15,""),IF(G$24="x",G15,""))))</f>
        <v/>
      </c>
      <c r="I15" s="93" t="s">
        <v>73</v>
      </c>
      <c r="J15" s="178" t="str">
        <f>IF(J14="","",IF(H15="","",IF(B10="","",IF(B10&gt;0,J14-H15/$H$11,IF(B10&lt;0,J14+H15/$H$11,"")))))</f>
        <v/>
      </c>
      <c r="K15" s="396" t="s">
        <v>129</v>
      </c>
      <c r="L15" s="406"/>
      <c r="M15" s="89" t="s">
        <v>84</v>
      </c>
      <c r="N15" s="296">
        <f>'1'!$N$15</f>
        <v>0.5</v>
      </c>
    </row>
    <row r="16" spans="2:14" ht="13.5" thickBot="1" x14ac:dyDescent="0.25">
      <c r="C16" s="111" t="s">
        <v>73</v>
      </c>
      <c r="D16" s="112" t="str">
        <f>IF(D14="","",IF(D15="","",D14-D15/$H$11))</f>
        <v/>
      </c>
      <c r="E16" s="307" t="str">
        <f>IF(E14="","",IF(E15="","",E14-E15/$H$11))</f>
        <v/>
      </c>
      <c r="F16" s="188" t="str">
        <f>IF(F14="","",IF(F15="","",F14+F15/$H$11))</f>
        <v/>
      </c>
      <c r="G16" s="82" t="str">
        <f>IF(G14="","",IF(G15="","",G14+G15/$H$11))</f>
        <v/>
      </c>
      <c r="H16" s="173" t="str">
        <f>IF(D$24="x",IF(E$24="",IF(F$24="",IF(G$24="",D16,""),""),""),IF(E$24="x",IF(F$24="",IF(G$24="",E16,""),""),IF(F$24="x",IF(G$24="",F16,""),IF(G$24="x",G16,""))))</f>
        <v/>
      </c>
      <c r="I16" s="14"/>
      <c r="J16" s="15"/>
      <c r="K16" s="313" t="s">
        <v>31</v>
      </c>
      <c r="L16" s="96" t="s">
        <v>64</v>
      </c>
      <c r="M16" s="90" t="s">
        <v>80</v>
      </c>
      <c r="N16" s="199">
        <f>'1'!$N$16</f>
        <v>20</v>
      </c>
    </row>
    <row r="17" spans="1:28" x14ac:dyDescent="0.2">
      <c r="C17" s="109" t="s">
        <v>72</v>
      </c>
      <c r="D17" s="159" t="str">
        <f>IF(D16="","",D6)</f>
        <v/>
      </c>
      <c r="E17" s="308" t="str">
        <f>IF(E16="","",D6)</f>
        <v/>
      </c>
      <c r="F17" s="301" t="str">
        <f>IF(F16="","",D7)</f>
        <v/>
      </c>
      <c r="G17" s="160" t="str">
        <f>IF(G16="","",D7)</f>
        <v/>
      </c>
      <c r="H17" s="180" t="str">
        <f>IF(D11&lt;&gt;"",D11,IF(D$24="x",IF(E$24="",IF(F$24="",IF(G$24="",D17,""),""),""),IF(E$24="x",IF(F$24="",IF(G$24="",E17,""),""),IF(F$24="x",IF(G$24="",F17,""),IF(G$24="x",G17,"")))))</f>
        <v/>
      </c>
      <c r="I17" s="396" t="s">
        <v>104</v>
      </c>
      <c r="J17" s="406"/>
      <c r="K17" s="341">
        <f>'1'!$K$17</f>
        <v>10000</v>
      </c>
      <c r="L17" s="340" t="str">
        <f>IF(H18="","",IF(K17="","",IF(D5="","",H18*K17/D5)))</f>
        <v/>
      </c>
      <c r="M17" s="90" t="s">
        <v>81</v>
      </c>
      <c r="N17" s="199">
        <f>'1'!N17</f>
        <v>0.5</v>
      </c>
    </row>
    <row r="18" spans="1:28" ht="13.5" thickBot="1" x14ac:dyDescent="0.25">
      <c r="A18" s="94"/>
      <c r="C18" s="189" t="s">
        <v>64</v>
      </c>
      <c r="D18" s="97" t="str">
        <f>IF(D17="","",IF(N17="","",N17*D5/100/(D17-D16)/N19/J11))</f>
        <v/>
      </c>
      <c r="E18" s="293" t="str">
        <f>IF(E17="","",IF(N17="","",N17*D5/100/(E17-E16)/N19/J11))</f>
        <v/>
      </c>
      <c r="F18" s="302" t="str">
        <f>IF(F17="","",IF(N17="","",N17*D5/100/(F17-F16)/N19/J11))</f>
        <v/>
      </c>
      <c r="G18" s="161" t="str">
        <f>IF(G17="","",IF(N17="","",N17*D5/100/(G17-G16)/N19/J11))</f>
        <v/>
      </c>
      <c r="H18" s="194" t="str">
        <f>IF(B11&lt;&gt;"",B11,IF(D$24="x",IF(E$24="",IF(F$24="",IF(G$24="",D18,""),""),""),IF(E$24="x",IF(F$24="",IF(G$24="",E18,""),""),IF(F$24="x",IF(G$24="",F18,""),IF(G$24="x",G18,"")))))</f>
        <v/>
      </c>
      <c r="I18" s="181" t="s">
        <v>105</v>
      </c>
      <c r="J18" s="185" t="s">
        <v>65</v>
      </c>
      <c r="K18" s="225" t="s">
        <v>130</v>
      </c>
      <c r="L18" s="293">
        <f>IF(K17="","",K17/N19/J11/3)</f>
        <v>4.4304333333333334E-2</v>
      </c>
      <c r="M18" s="91" t="s">
        <v>83</v>
      </c>
      <c r="N18" s="321">
        <f>'1'!N18</f>
        <v>16.30585</v>
      </c>
      <c r="O18" s="94"/>
      <c r="AB18" s="94"/>
    </row>
    <row r="19" spans="1:28" ht="13.5" thickBot="1" x14ac:dyDescent="0.25">
      <c r="C19" s="135" t="s">
        <v>101</v>
      </c>
      <c r="D19" s="309" t="str">
        <f>IF(D18="","",D$17+(D$17-D$16))</f>
        <v/>
      </c>
      <c r="E19" s="305" t="str">
        <f>IF(E18="","",E$17+(E$17-E$16))</f>
        <v/>
      </c>
      <c r="F19" s="303" t="str">
        <f>IF(F18="","",F$17-(F$16-F$17))</f>
        <v/>
      </c>
      <c r="G19" s="136" t="str">
        <f>IF(G18="","",G$17-(G$16-G$17))</f>
        <v/>
      </c>
      <c r="H19" s="196" t="str">
        <f t="shared" ref="H19" si="0">IF(H18="","",H$17+(H$17-H$16))</f>
        <v/>
      </c>
      <c r="I19" s="191" t="s">
        <v>85</v>
      </c>
      <c r="J19" s="186" t="str">
        <f>IF(I19="x",H19,IF(I20="x",H20,IF(I21="x",H21,IF(I22="x",H22,IF(I23="x",H23,"")))))</f>
        <v/>
      </c>
      <c r="M19" s="88" t="s">
        <v>55</v>
      </c>
      <c r="N19" s="203">
        <f>Ativos!$R$30</f>
        <v>100000</v>
      </c>
    </row>
    <row r="20" spans="1:28" ht="13.5" thickBot="1" x14ac:dyDescent="0.25">
      <c r="C20" s="57" t="s">
        <v>102</v>
      </c>
      <c r="D20" s="310" t="str">
        <f>IF(D19="","",D$17+2*(D$17-D$16))</f>
        <v/>
      </c>
      <c r="E20" s="311" t="str">
        <f>IF(E19="","",E$17+2*(E$17-E$16))</f>
        <v/>
      </c>
      <c r="F20" s="187" t="str">
        <f>IF(F19="","",F$17-2*(F$16-F$17))</f>
        <v/>
      </c>
      <c r="G20" s="170" t="str">
        <f>IF(G19="","",G$17-2*(G$16-G$17))</f>
        <v/>
      </c>
      <c r="H20" s="197" t="str">
        <f>IF(H19="","",H$17+2*(H$17-H$16))</f>
        <v/>
      </c>
      <c r="I20" s="192"/>
      <c r="J20" s="15"/>
      <c r="M20" s="85" t="s">
        <v>68</v>
      </c>
      <c r="N20" s="322">
        <f>'1'!$N$20</f>
        <v>500</v>
      </c>
    </row>
    <row r="21" spans="1:28" ht="13.5" thickBot="1" x14ac:dyDescent="0.25">
      <c r="C21" s="57" t="s">
        <v>103</v>
      </c>
      <c r="D21" s="112" t="str">
        <f>IF(D20="","",D$17+3*(D$17-D$16))</f>
        <v/>
      </c>
      <c r="E21" s="307" t="str">
        <f>IF(E20="","",E$17+3*(E$17-E$16))</f>
        <v/>
      </c>
      <c r="F21" s="188" t="str">
        <f>IF(F20="","",F$17-3*(F$16-F$17))</f>
        <v/>
      </c>
      <c r="G21" s="82" t="str">
        <f>IF(G20="","",G$17-3*(G$16-G$17))</f>
        <v/>
      </c>
      <c r="H21" s="197" t="str">
        <f>IF(H20="","",H$17+3*(H$17-H$16))</f>
        <v/>
      </c>
      <c r="I21" s="192"/>
      <c r="J21" s="381" t="s">
        <v>124</v>
      </c>
      <c r="K21" s="387"/>
      <c r="M21" s="121" t="s">
        <v>69</v>
      </c>
      <c r="N21" s="84">
        <f>IF(D5="","",IF(N19="","",IF(N20="","",D5*N20/N19/D6)))</f>
        <v>12.26621681599001</v>
      </c>
    </row>
    <row r="22" spans="1:28" x14ac:dyDescent="0.2">
      <c r="C22" s="57" t="s">
        <v>106</v>
      </c>
      <c r="D22" s="310" t="str">
        <f>IF(D21="","",D$17+4*(D$17-D$16))</f>
        <v/>
      </c>
      <c r="E22" s="311" t="str">
        <f>IF(E21="","",E$17+4*(E$17-E$16))</f>
        <v/>
      </c>
      <c r="F22" s="187" t="str">
        <f>IF(F21="","",F$17-4*(F$16-F$17))</f>
        <v/>
      </c>
      <c r="G22" s="170" t="str">
        <f>IF(G21="","",G$17-4*(G$16-G$17))</f>
        <v/>
      </c>
      <c r="H22" s="197" t="str">
        <f>IF(H21="","",H$17+4*(H$17-H$16))</f>
        <v/>
      </c>
      <c r="I22" s="192"/>
      <c r="J22" s="281"/>
      <c r="K22" s="282" t="str">
        <f>IF(K23="","",IF(H17="","",(K23-H17)/(H17-H16)))</f>
        <v/>
      </c>
      <c r="L22" s="278" t="s">
        <v>125</v>
      </c>
      <c r="M22" s="15"/>
    </row>
    <row r="23" spans="1:28" ht="13.5" thickBot="1" x14ac:dyDescent="0.25">
      <c r="C23" s="58" t="s">
        <v>107</v>
      </c>
      <c r="D23" s="112" t="str">
        <f>IF(D22="","",D$17+5*(D$17-D$16))</f>
        <v/>
      </c>
      <c r="E23" s="307" t="str">
        <f>IF(E22="","",E$17+5*(E$17-E$16))</f>
        <v/>
      </c>
      <c r="F23" s="188" t="str">
        <f>IF(F22="","",F$17-5*(F$16-F$17))</f>
        <v/>
      </c>
      <c r="G23" s="82" t="str">
        <f>IF(G22="","",G$17-5*(G$16-G$17))</f>
        <v/>
      </c>
      <c r="H23" s="198" t="str">
        <f>IF(H22="","",H$17+5*(H$17-H$16))</f>
        <v/>
      </c>
      <c r="I23" s="193"/>
      <c r="J23" s="277" t="str">
        <f>IF(J22="","",IF(H17="","",H17+J22*(H17-H16)))</f>
        <v/>
      </c>
      <c r="K23" s="280"/>
      <c r="L23" s="279" t="s">
        <v>126</v>
      </c>
    </row>
    <row r="24" spans="1:28" ht="13.5" thickBot="1" x14ac:dyDescent="0.25">
      <c r="C24" s="190" t="s">
        <v>78</v>
      </c>
      <c r="D24" s="119"/>
      <c r="E24" s="312"/>
      <c r="F24" s="304"/>
      <c r="G24" s="123"/>
      <c r="H24" s="195" t="str">
        <f>IF(D$24="x",IF(E$24="",IF(F$24="",IF(G$24="",D13,""),""),""),IF(E$24="x",IF(F$24="",IF(G$24="",D13,""),""),IF(F$24="x",IF(G$24="",F13,""),IF(G$24="x",F13,""))))</f>
        <v/>
      </c>
      <c r="I24" s="14"/>
      <c r="J24" s="15"/>
    </row>
    <row r="25" spans="1:28" x14ac:dyDescent="0.2">
      <c r="I25" s="14"/>
      <c r="J25" s="15"/>
    </row>
    <row r="26" spans="1:28" x14ac:dyDescent="0.2">
      <c r="D26" s="131"/>
      <c r="G26" s="113"/>
      <c r="H26" s="14"/>
      <c r="I26" s="14"/>
      <c r="J26" s="15"/>
    </row>
    <row r="27" spans="1:28" x14ac:dyDescent="0.2">
      <c r="I27" s="14"/>
      <c r="J27" s="15"/>
    </row>
    <row r="28" spans="1:28" x14ac:dyDescent="0.2">
      <c r="I28" s="14"/>
      <c r="J28" s="15"/>
    </row>
    <row r="29" spans="1:28" x14ac:dyDescent="0.2">
      <c r="I29" s="14"/>
      <c r="L29" s="14"/>
    </row>
    <row r="30" spans="1:28" x14ac:dyDescent="0.2">
      <c r="I30" s="14"/>
      <c r="L30" s="14"/>
    </row>
  </sheetData>
  <mergeCells count="30">
    <mergeCell ref="J21:K21"/>
    <mergeCell ref="I2:L2"/>
    <mergeCell ref="B3:C4"/>
    <mergeCell ref="D3:E4"/>
    <mergeCell ref="F3:H3"/>
    <mergeCell ref="B5:C5"/>
    <mergeCell ref="D5:E5"/>
    <mergeCell ref="B8:B9"/>
    <mergeCell ref="C8:C9"/>
    <mergeCell ref="D8:D9"/>
    <mergeCell ref="E8:E9"/>
    <mergeCell ref="F8:F9"/>
    <mergeCell ref="B6:C6"/>
    <mergeCell ref="D6:E6"/>
    <mergeCell ref="B7:C7"/>
    <mergeCell ref="D7:E7"/>
    <mergeCell ref="F7:H7"/>
    <mergeCell ref="M8:N8"/>
    <mergeCell ref="I13:J13"/>
    <mergeCell ref="D13:E13"/>
    <mergeCell ref="F13:G13"/>
    <mergeCell ref="M14:N14"/>
    <mergeCell ref="I17:J17"/>
    <mergeCell ref="G8:G9"/>
    <mergeCell ref="H8:H9"/>
    <mergeCell ref="I8:I9"/>
    <mergeCell ref="J8:J9"/>
    <mergeCell ref="K8:K9"/>
    <mergeCell ref="L8:L9"/>
    <mergeCell ref="K15:L15"/>
  </mergeCells>
  <pageMargins left="0.511811024" right="0.511811024" top="0.78740157499999996" bottom="0.78740157499999996" header="0.31496062000000002" footer="0.3149606200000000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0"/>
  <sheetViews>
    <sheetView workbookViewId="0">
      <selection activeCell="N13" sqref="N13"/>
    </sheetView>
  </sheetViews>
  <sheetFormatPr defaultRowHeight="12.75" x14ac:dyDescent="0.2"/>
  <cols>
    <col min="1" max="1" width="1.42578125" style="14" customWidth="1"/>
    <col min="2" max="2" width="5.85546875" customWidth="1"/>
    <col min="3" max="3" width="12.42578125" style="16" bestFit="1" customWidth="1"/>
    <col min="4" max="4" width="8.5703125" style="16" customWidth="1"/>
    <col min="5" max="5" width="10.85546875" style="15" bestFit="1" customWidth="1"/>
    <col min="6" max="6" width="10" style="15" customWidth="1"/>
    <col min="7" max="7" width="9.85546875" style="15" bestFit="1" customWidth="1"/>
    <col min="8" max="8" width="12.7109375" style="15" customWidth="1"/>
    <col min="9" max="9" width="13.28515625" style="15" bestFit="1" customWidth="1"/>
    <col min="10" max="10" width="8.7109375" style="14" customWidth="1"/>
    <col min="11" max="11" width="10.140625" style="14" bestFit="1" customWidth="1"/>
    <col min="12" max="12" width="8.5703125" style="15" bestFit="1" customWidth="1"/>
    <col min="13" max="13" width="13.5703125" style="14" bestFit="1" customWidth="1"/>
    <col min="14" max="14" width="12" style="14" customWidth="1"/>
    <col min="15" max="15" width="1.42578125" style="14" customWidth="1"/>
    <col min="16" max="16" width="14.5703125" style="14" bestFit="1" customWidth="1"/>
    <col min="17" max="17" width="10.5703125" style="14" bestFit="1" customWidth="1"/>
    <col min="18" max="19" width="10.140625" style="14" bestFit="1" customWidth="1"/>
    <col min="20" max="20" width="2.42578125" style="14" customWidth="1"/>
    <col min="21" max="21" width="4" style="14" bestFit="1" customWidth="1"/>
    <col min="22" max="22" width="8.140625" style="14" bestFit="1" customWidth="1"/>
    <col min="23" max="25" width="9.140625" style="14"/>
    <col min="26" max="26" width="10.140625" style="14" bestFit="1" customWidth="1"/>
    <col min="27" max="27" width="9.140625" style="14"/>
    <col min="28" max="28" width="2.42578125" style="14" customWidth="1"/>
    <col min="29" max="16384" width="9.140625" style="14"/>
  </cols>
  <sheetData>
    <row r="1" spans="2:14" ht="13.5" thickBot="1" x14ac:dyDescent="0.25">
      <c r="L1" s="60"/>
      <c r="N1" s="50"/>
    </row>
    <row r="2" spans="2:14" ht="13.5" thickBot="1" x14ac:dyDescent="0.25">
      <c r="B2" s="223" t="s">
        <v>96</v>
      </c>
      <c r="C2" s="147" t="str">
        <f>Ativos!$T$26</f>
        <v>USDJPY</v>
      </c>
      <c r="D2" s="223" t="s">
        <v>51</v>
      </c>
      <c r="E2" s="155">
        <f>Ativos!$T$29</f>
        <v>1.3999999999995794</v>
      </c>
      <c r="G2" s="171" t="s">
        <v>30</v>
      </c>
      <c r="H2" s="182">
        <f>SUM(D5:G5)</f>
        <v>3261.17</v>
      </c>
      <c r="I2" s="371" t="s">
        <v>70</v>
      </c>
      <c r="J2" s="345"/>
      <c r="K2" s="345"/>
      <c r="L2" s="372"/>
    </row>
    <row r="3" spans="2:14" ht="13.5" thickBot="1" x14ac:dyDescent="0.25">
      <c r="B3" s="373" t="s">
        <v>31</v>
      </c>
      <c r="C3" s="374"/>
      <c r="D3" s="377" t="s">
        <v>40</v>
      </c>
      <c r="E3" s="378"/>
      <c r="F3" s="381" t="s">
        <v>28</v>
      </c>
      <c r="G3" s="382"/>
      <c r="H3" s="382"/>
      <c r="I3" s="225" t="s">
        <v>46</v>
      </c>
      <c r="J3" s="184" t="s">
        <v>28</v>
      </c>
      <c r="K3" s="132" t="s">
        <v>48</v>
      </c>
      <c r="L3" s="96" t="s">
        <v>65</v>
      </c>
    </row>
    <row r="4" spans="2:14" ht="13.5" thickBot="1" x14ac:dyDescent="0.25">
      <c r="B4" s="375"/>
      <c r="C4" s="376"/>
      <c r="D4" s="379"/>
      <c r="E4" s="380"/>
      <c r="F4" s="144" t="s">
        <v>42</v>
      </c>
      <c r="G4" s="132" t="s">
        <v>43</v>
      </c>
      <c r="H4" s="133" t="s">
        <v>47</v>
      </c>
      <c r="I4" s="183"/>
      <c r="J4" s="126" t="str">
        <f>IF(I4="","",IF(N10="","",IF(B10=0,"",I4*N10)))</f>
        <v/>
      </c>
      <c r="K4" s="126" t="str">
        <f>IF(J4="","",IF(D5="","",100*J4/D5))</f>
        <v/>
      </c>
      <c r="L4" s="176" t="str">
        <f>IF(I4="","",IF(I10="","",IF(B10="","",IF(B10=0,"",IF(J4="","",I10+(J4-F5-G5)/N19/B10/J11)))))</f>
        <v/>
      </c>
    </row>
    <row r="5" spans="2:14" ht="13.5" thickBot="1" x14ac:dyDescent="0.25">
      <c r="B5" s="383">
        <f>D5+F5</f>
        <v>3261.17</v>
      </c>
      <c r="C5" s="384"/>
      <c r="D5" s="407">
        <f>CLog!$Z$42</f>
        <v>3261.17</v>
      </c>
      <c r="E5" s="408"/>
      <c r="F5" s="129">
        <f>IF(J10="",0,J10)</f>
        <v>0</v>
      </c>
      <c r="G5" s="31" t="str">
        <f>K10</f>
        <v/>
      </c>
      <c r="H5" s="122">
        <f>IF(F5="",IF(G5="","",G5),IF(G5="",F5,F5+G5))</f>
        <v>0</v>
      </c>
      <c r="I5" s="103" t="str">
        <f>IF(J5="","",IF(N10="","",J5/N10))</f>
        <v/>
      </c>
      <c r="J5" s="32" t="str">
        <f>IF(K5="","",K5*D5/100)</f>
        <v/>
      </c>
      <c r="K5" s="95" t="str">
        <f>IF(L5="","",100*B10*N19*J11*(L5-D10)/D5)</f>
        <v/>
      </c>
      <c r="L5" s="175"/>
      <c r="M5" s="326" t="s">
        <v>131</v>
      </c>
      <c r="N5" s="327">
        <f>[3]CRe!$P$32</f>
        <v>1.0120091755496351E-2</v>
      </c>
    </row>
    <row r="6" spans="2:14" ht="13.5" thickBot="1" x14ac:dyDescent="0.25">
      <c r="B6" s="388" t="s">
        <v>32</v>
      </c>
      <c r="C6" s="389"/>
      <c r="D6" s="390">
        <f>Ativos!$T$27</f>
        <v>109.61</v>
      </c>
      <c r="E6" s="391"/>
      <c r="F6" s="130">
        <f>IF(F5="","",100*F5/D5)</f>
        <v>0</v>
      </c>
      <c r="G6" s="32" t="str">
        <f>IF(G5="","",100*G5/D5)</f>
        <v/>
      </c>
      <c r="H6" s="33">
        <f>IF(H5="","",100*(H2/D5-1))</f>
        <v>0</v>
      </c>
      <c r="I6" s="125" t="s">
        <v>73</v>
      </c>
      <c r="J6" s="126" t="str">
        <f>IF(K6="","",K6*D5/100)</f>
        <v/>
      </c>
      <c r="K6" s="127" t="str">
        <f>IF(L6="","",100*B10*N19*J11*(L6-D10)/D5)</f>
        <v/>
      </c>
      <c r="L6" s="176" t="str">
        <f>IF(J15&lt;&gt;"",J15,IF(H16="","",H16))</f>
        <v/>
      </c>
      <c r="M6" s="328" t="s">
        <v>133</v>
      </c>
      <c r="N6" s="330">
        <f>IF(N17="","",IF(N5="","",N17/N5))</f>
        <v>49.406666666677566</v>
      </c>
    </row>
    <row r="7" spans="2:14" ht="13.5" thickBot="1" x14ac:dyDescent="0.25">
      <c r="B7" s="392" t="s">
        <v>33</v>
      </c>
      <c r="C7" s="393"/>
      <c r="D7" s="394">
        <f>Ativos!$T$28</f>
        <v>109.596</v>
      </c>
      <c r="E7" s="395"/>
      <c r="F7" s="381" t="s">
        <v>29</v>
      </c>
      <c r="G7" s="382"/>
      <c r="H7" s="387"/>
      <c r="I7" s="225" t="s">
        <v>49</v>
      </c>
      <c r="J7" s="32">
        <f>IF(K7="","",-K7*D5/100)</f>
        <v>-16.253937479744206</v>
      </c>
      <c r="K7" s="177">
        <f>Risk!$C$13</f>
        <v>0.49840816270676491</v>
      </c>
      <c r="L7" s="178" t="str">
        <f>IF(K7="","",IF(I10="","",IF(K7=0,"",IF(B10=0,"",I10-(H2-D5-J7)/N19/B10))))</f>
        <v/>
      </c>
      <c r="M7" s="93" t="s">
        <v>67</v>
      </c>
      <c r="N7" s="329">
        <f>IF(N17="","",IF(K7="","",IF(K7=0,"",N17/K7)))</f>
        <v>1.0031938427424425</v>
      </c>
    </row>
    <row r="8" spans="2:14" ht="12.75" customHeight="1" x14ac:dyDescent="0.2">
      <c r="B8" s="398" t="s">
        <v>41</v>
      </c>
      <c r="C8" s="364" t="s">
        <v>71</v>
      </c>
      <c r="D8" s="368" t="s">
        <v>44</v>
      </c>
      <c r="E8" s="368" t="s">
        <v>45</v>
      </c>
      <c r="F8" s="364" t="s">
        <v>53</v>
      </c>
      <c r="G8" s="401" t="s">
        <v>109</v>
      </c>
      <c r="H8" s="366"/>
      <c r="I8" s="368" t="s">
        <v>65</v>
      </c>
      <c r="J8" s="366" t="s">
        <v>123</v>
      </c>
      <c r="K8" s="364" t="s">
        <v>28</v>
      </c>
      <c r="L8" s="358" t="s">
        <v>29</v>
      </c>
      <c r="M8" s="409" t="s">
        <v>75</v>
      </c>
      <c r="N8" s="410"/>
    </row>
    <row r="9" spans="2:14" ht="13.5" thickBot="1" x14ac:dyDescent="0.25">
      <c r="B9" s="399"/>
      <c r="C9" s="400"/>
      <c r="D9" s="365"/>
      <c r="E9" s="365"/>
      <c r="F9" s="365"/>
      <c r="G9" s="402"/>
      <c r="H9" s="367"/>
      <c r="I9" s="365"/>
      <c r="J9" s="367"/>
      <c r="K9" s="365"/>
      <c r="L9" s="359"/>
      <c r="M9" s="99" t="s">
        <v>52</v>
      </c>
      <c r="N9" s="275" t="s">
        <v>53</v>
      </c>
    </row>
    <row r="10" spans="2:14" ht="13.5" thickBot="1" x14ac:dyDescent="0.25">
      <c r="B10" s="105" t="str">
        <f>IF(B11&lt;&gt;"",B11,IF(H18="","",H18))</f>
        <v/>
      </c>
      <c r="C10" s="106" t="str">
        <f>IF(B10="","",IF(B10&gt;0,N19*B10*D6/D5,-N19*B10*D7/D5))</f>
        <v/>
      </c>
      <c r="D10" s="107" t="str">
        <f>IF(D11&lt;&gt;"",D11,IF(H17="","",H17))</f>
        <v/>
      </c>
      <c r="E10" s="107" t="str">
        <f>IF(E11&lt;&gt;"",E11,IF(J19="","",J19))</f>
        <v/>
      </c>
      <c r="F10" s="98" t="str">
        <f>IF(B10="","",IF(D10="","",IF(E10="","",B10*N$19*J11*(E10-D10))))</f>
        <v/>
      </c>
      <c r="G10" s="167">
        <v>0</v>
      </c>
      <c r="H10" s="168"/>
      <c r="I10" s="104" t="str">
        <f>IF(B10="","",IF(B10&gt;0,D$7,D$6))</f>
        <v/>
      </c>
      <c r="J10" s="128" t="str">
        <f>IF(B10="","",IF(H10="t",B10*N$19*(E10-D10)+G10,IF(H10="s",B10*N$19*(L6-D10)+G10,"")))</f>
        <v/>
      </c>
      <c r="K10" s="98" t="str">
        <f>IF(B10="","",IF(H10="",B10*N19*J11*(I10-D10)+G10,""))</f>
        <v/>
      </c>
      <c r="L10" s="102" t="str">
        <f>IF(B10="","",IF(H10&lt;&gt;"",100*J10/D$5,100*K10/D$5))</f>
        <v/>
      </c>
      <c r="M10" s="115" t="str">
        <f>IF(E10="","",E10)</f>
        <v/>
      </c>
      <c r="N10" s="102" t="str">
        <f>IF(B10="","",IF(D10="","",IF(M10="","",B10*N$19*J11*(M10-D10))))</f>
        <v/>
      </c>
    </row>
    <row r="11" spans="2:14" ht="13.5" thickBot="1" x14ac:dyDescent="0.25">
      <c r="B11" s="288"/>
      <c r="C11" s="314" t="s">
        <v>79</v>
      </c>
      <c r="D11" s="315"/>
      <c r="E11" s="114"/>
      <c r="G11" s="223" t="s">
        <v>100</v>
      </c>
      <c r="H11" s="169">
        <f>Ativos!$T$31</f>
        <v>100</v>
      </c>
      <c r="I11" s="223" t="s">
        <v>114</v>
      </c>
      <c r="J11" s="242">
        <f>Ativos!$T$32</f>
        <v>9.1244205992919453E-3</v>
      </c>
      <c r="M11" s="100" t="s">
        <v>56</v>
      </c>
      <c r="N11" s="101" t="str">
        <f>IF(F10="","",F10+G10)</f>
        <v/>
      </c>
    </row>
    <row r="12" spans="2:14" ht="13.5" thickBot="1" x14ac:dyDescent="0.25">
      <c r="B12" s="316">
        <f>D5/N19/3</f>
        <v>1.0870566666666666</v>
      </c>
      <c r="C12" s="317" t="s">
        <v>130</v>
      </c>
      <c r="D12" s="131"/>
      <c r="G12" s="14"/>
      <c r="I12" s="108"/>
      <c r="K12" s="15"/>
      <c r="M12" s="57" t="s">
        <v>54</v>
      </c>
      <c r="N12" s="56" t="str">
        <f>IF(N11="","",100*N11/D5)</f>
        <v/>
      </c>
    </row>
    <row r="13" spans="2:14" ht="13.5" thickBot="1" x14ac:dyDescent="0.25">
      <c r="B13" s="15"/>
      <c r="D13" s="403" t="s">
        <v>127</v>
      </c>
      <c r="E13" s="404"/>
      <c r="F13" s="405" t="s">
        <v>128</v>
      </c>
      <c r="G13" s="404"/>
      <c r="H13" s="298" t="s">
        <v>74</v>
      </c>
      <c r="I13" s="369" t="s">
        <v>112</v>
      </c>
      <c r="J13" s="370"/>
      <c r="M13" s="58" t="s">
        <v>125</v>
      </c>
      <c r="N13" s="59" t="str">
        <f>IF(N11="","",IF(J6="","",IF(J6=0,9999.9999,IF(J6&gt;0,"No Loss",-N11/J6))))</f>
        <v/>
      </c>
    </row>
    <row r="14" spans="2:14" ht="13.5" thickBot="1" x14ac:dyDescent="0.25">
      <c r="B14" s="15"/>
      <c r="C14" s="109" t="s">
        <v>76</v>
      </c>
      <c r="D14" s="116"/>
      <c r="E14" s="305" t="str">
        <f>IF(D14="","",D14)</f>
        <v/>
      </c>
      <c r="F14" s="299"/>
      <c r="G14" s="136" t="str">
        <f>IF(F14="","",F14)</f>
        <v/>
      </c>
      <c r="H14" s="174"/>
      <c r="I14" s="222" t="s">
        <v>113</v>
      </c>
      <c r="J14" s="226"/>
      <c r="M14" s="362" t="s">
        <v>82</v>
      </c>
      <c r="N14" s="363"/>
    </row>
    <row r="15" spans="2:14" ht="13.5" thickBot="1" x14ac:dyDescent="0.25">
      <c r="C15" s="110" t="s">
        <v>77</v>
      </c>
      <c r="D15" s="331">
        <f>'1'!D15</f>
        <v>20</v>
      </c>
      <c r="E15" s="332">
        <f>'1'!E15</f>
        <v>3</v>
      </c>
      <c r="F15" s="333">
        <f>'1'!F15</f>
        <v>15</v>
      </c>
      <c r="G15" s="334">
        <f>'1'!G15</f>
        <v>1</v>
      </c>
      <c r="H15" s="227" t="str">
        <f>IF(D$24="x",IF(E$24="",IF(F$24="",IF(G$24="",D15,""),""),""),IF(E$24="x",IF(F$24="",IF(G$24="",E15,""),""),IF(F$24="x",IF(G$24="",F15,""),IF(G$24="x",G15,""))))</f>
        <v/>
      </c>
      <c r="I15" s="93" t="s">
        <v>73</v>
      </c>
      <c r="J15" s="178" t="str">
        <f>IF(J14="","",IF(H15="","",IF(B10="","",IF(B10&gt;0,J14-H15/$H$11,IF(B10&lt;0,J14+H15/$H$11,"")))))</f>
        <v/>
      </c>
      <c r="K15" s="396" t="s">
        <v>129</v>
      </c>
      <c r="L15" s="406"/>
      <c r="M15" s="89" t="s">
        <v>84</v>
      </c>
      <c r="N15" s="296">
        <f>'1'!$N$15</f>
        <v>0.5</v>
      </c>
    </row>
    <row r="16" spans="2:14" ht="13.5" thickBot="1" x14ac:dyDescent="0.25">
      <c r="C16" s="111" t="s">
        <v>73</v>
      </c>
      <c r="D16" s="112" t="str">
        <f>IF(D14="","",IF(D15="","",D14-D15/$H$11))</f>
        <v/>
      </c>
      <c r="E16" s="307" t="str">
        <f>IF(E14="","",IF(E15="","",E14-E15/$H$11))</f>
        <v/>
      </c>
      <c r="F16" s="188" t="str">
        <f>IF(F14="","",IF(F15="","",F14+F15/$H$11))</f>
        <v/>
      </c>
      <c r="G16" s="82" t="str">
        <f>IF(G14="","",IF(G15="","",G14+G15/$H$11))</f>
        <v/>
      </c>
      <c r="H16" s="173" t="str">
        <f>IF(D$24="x",IF(E$24="",IF(F$24="",IF(G$24="",D16,""),""),""),IF(E$24="x",IF(F$24="",IF(G$24="",E16,""),""),IF(F$24="x",IF(G$24="",F16,""),IF(G$24="x",G16,""))))</f>
        <v/>
      </c>
      <c r="I16" s="14"/>
      <c r="J16" s="15"/>
      <c r="K16" s="313" t="s">
        <v>31</v>
      </c>
      <c r="L16" s="96" t="s">
        <v>64</v>
      </c>
      <c r="M16" s="90" t="s">
        <v>80</v>
      </c>
      <c r="N16" s="199">
        <f>'1'!$N$16</f>
        <v>20</v>
      </c>
    </row>
    <row r="17" spans="1:28" x14ac:dyDescent="0.2">
      <c r="C17" s="109" t="s">
        <v>72</v>
      </c>
      <c r="D17" s="159" t="str">
        <f>IF(D16="","",D6)</f>
        <v/>
      </c>
      <c r="E17" s="308" t="str">
        <f>IF(E16="","",D6)</f>
        <v/>
      </c>
      <c r="F17" s="301" t="str">
        <f>IF(F16="","",D7)</f>
        <v/>
      </c>
      <c r="G17" s="160" t="str">
        <f>IF(G16="","",D7)</f>
        <v/>
      </c>
      <c r="H17" s="180" t="str">
        <f>IF(D11&lt;&gt;"",D11,IF(D$24="x",IF(E$24="",IF(F$24="",IF(G$24="",D17,""),""),""),IF(E$24="x",IF(F$24="",IF(G$24="",E17,""),""),IF(F$24="x",IF(G$24="",F17,""),IF(G$24="x",G17,"")))))</f>
        <v/>
      </c>
      <c r="I17" s="396" t="s">
        <v>104</v>
      </c>
      <c r="J17" s="406"/>
      <c r="K17" s="341">
        <f>'1'!$K$17</f>
        <v>10000</v>
      </c>
      <c r="L17" s="340" t="str">
        <f>IF(H18="","",IF(K17="","",IF(D5="","",H18*K17/D5)))</f>
        <v/>
      </c>
      <c r="M17" s="90" t="s">
        <v>81</v>
      </c>
      <c r="N17" s="199">
        <f>'1'!N17</f>
        <v>0.5</v>
      </c>
    </row>
    <row r="18" spans="1:28" ht="13.5" thickBot="1" x14ac:dyDescent="0.25">
      <c r="A18" s="94"/>
      <c r="C18" s="189" t="s">
        <v>64</v>
      </c>
      <c r="D18" s="97" t="str">
        <f>IF(D17="","",IF(N17="","",N17*D5/100/(D17-D16)/N19/J11))</f>
        <v/>
      </c>
      <c r="E18" s="293" t="str">
        <f>IF(E17="","",IF(N17="","",N17*D5/100/(E17-E16)/N19/J11))</f>
        <v/>
      </c>
      <c r="F18" s="302" t="str">
        <f>IF(F17="","",IF(N17="","",N17*D5/100/(F17-F16)/N19/J11))</f>
        <v/>
      </c>
      <c r="G18" s="161" t="str">
        <f>IF(G17="","",IF(N17="","",N17*D5/100/(G17-G16)/N19/J11))</f>
        <v/>
      </c>
      <c r="H18" s="194" t="str">
        <f>IF(B11&lt;&gt;"",B11,IF(D$24="x",IF(E$24="",IF(F$24="",IF(G$24="",D18,""),""),""),IF(E$24="x",IF(F$24="",IF(G$24="",E18,""),""),IF(F$24="x",IF(G$24="",F18,""),IF(G$24="x",G18,"")))))</f>
        <v/>
      </c>
      <c r="I18" s="181" t="s">
        <v>105</v>
      </c>
      <c r="J18" s="185" t="s">
        <v>65</v>
      </c>
      <c r="K18" s="225" t="s">
        <v>130</v>
      </c>
      <c r="L18" s="293">
        <f>IF(K17="","",K17/N19/J11/3)</f>
        <v>365.32</v>
      </c>
      <c r="M18" s="91" t="s">
        <v>83</v>
      </c>
      <c r="N18" s="321">
        <f>'1'!N18</f>
        <v>16.30585</v>
      </c>
      <c r="O18" s="94"/>
      <c r="AB18" s="94"/>
    </row>
    <row r="19" spans="1:28" ht="13.5" thickBot="1" x14ac:dyDescent="0.25">
      <c r="C19" s="135" t="s">
        <v>101</v>
      </c>
      <c r="D19" s="309" t="str">
        <f>IF(D18="","",D$17+(D$17-D$16))</f>
        <v/>
      </c>
      <c r="E19" s="305" t="str">
        <f>IF(E18="","",E$17+(E$17-E$16))</f>
        <v/>
      </c>
      <c r="F19" s="303" t="str">
        <f>IF(F18="","",F$17-(F$16-F$17))</f>
        <v/>
      </c>
      <c r="G19" s="136" t="str">
        <f>IF(G18="","",G$17-(G$16-G$17))</f>
        <v/>
      </c>
      <c r="H19" s="196" t="str">
        <f t="shared" ref="H19" si="0">IF(H18="","",H$17+(H$17-H$16))</f>
        <v/>
      </c>
      <c r="I19" s="191" t="s">
        <v>85</v>
      </c>
      <c r="J19" s="186" t="str">
        <f>IF(I19="x",H19,IF(I20="x",H20,IF(I21="x",H21,IF(I22="x",H22,IF(I23="x",H23,"")))))</f>
        <v/>
      </c>
      <c r="M19" s="88" t="s">
        <v>55</v>
      </c>
      <c r="N19" s="203">
        <f>Ativos!$T$30</f>
        <v>1000</v>
      </c>
    </row>
    <row r="20" spans="1:28" ht="13.5" thickBot="1" x14ac:dyDescent="0.25">
      <c r="C20" s="57" t="s">
        <v>102</v>
      </c>
      <c r="D20" s="310" t="str">
        <f>IF(D19="","",D$17+2*(D$17-D$16))</f>
        <v/>
      </c>
      <c r="E20" s="311" t="str">
        <f>IF(E19="","",E$17+2*(E$17-E$16))</f>
        <v/>
      </c>
      <c r="F20" s="187" t="str">
        <f>IF(F19="","",F$17-2*(F$16-F$17))</f>
        <v/>
      </c>
      <c r="G20" s="170" t="str">
        <f>IF(G19="","",G$17-2*(G$16-G$17))</f>
        <v/>
      </c>
      <c r="H20" s="197" t="str">
        <f>IF(H19="","",H$17+2*(H$17-H$16))</f>
        <v/>
      </c>
      <c r="I20" s="192"/>
      <c r="J20" s="15"/>
      <c r="M20" s="85" t="s">
        <v>68</v>
      </c>
      <c r="N20" s="322">
        <f>'1'!$N$20</f>
        <v>500</v>
      </c>
    </row>
    <row r="21" spans="1:28" ht="13.5" thickBot="1" x14ac:dyDescent="0.25">
      <c r="C21" s="57" t="s">
        <v>103</v>
      </c>
      <c r="D21" s="112" t="str">
        <f>IF(D20="","",D$17+3*(D$17-D$16))</f>
        <v/>
      </c>
      <c r="E21" s="307" t="str">
        <f>IF(E20="","",E$17+3*(E$17-E$16))</f>
        <v/>
      </c>
      <c r="F21" s="188" t="str">
        <f>IF(F20="","",F$17-3*(F$16-F$17))</f>
        <v/>
      </c>
      <c r="G21" s="82" t="str">
        <f>IF(G20="","",G$17-3*(G$16-G$17))</f>
        <v/>
      </c>
      <c r="H21" s="197" t="str">
        <f>IF(H20="","",H$17+3*(H$17-H$16))</f>
        <v/>
      </c>
      <c r="I21" s="192"/>
      <c r="J21" s="381" t="s">
        <v>124</v>
      </c>
      <c r="K21" s="387"/>
      <c r="M21" s="121" t="s">
        <v>69</v>
      </c>
      <c r="N21" s="84">
        <f>IF(D5="","",IF(N19="","",IF(N20="","",D5*N20/N19/D6)))</f>
        <v>14.876243043517928</v>
      </c>
    </row>
    <row r="22" spans="1:28" x14ac:dyDescent="0.2">
      <c r="C22" s="57" t="s">
        <v>106</v>
      </c>
      <c r="D22" s="310" t="str">
        <f>IF(D21="","",D$17+4*(D$17-D$16))</f>
        <v/>
      </c>
      <c r="E22" s="311" t="str">
        <f>IF(E21="","",E$17+4*(E$17-E$16))</f>
        <v/>
      </c>
      <c r="F22" s="187" t="str">
        <f>IF(F21="","",F$17-4*(F$16-F$17))</f>
        <v/>
      </c>
      <c r="G22" s="170" t="str">
        <f>IF(G21="","",G$17-4*(G$16-G$17))</f>
        <v/>
      </c>
      <c r="H22" s="197" t="str">
        <f>IF(H21="","",H$17+4*(H$17-H$16))</f>
        <v/>
      </c>
      <c r="I22" s="192"/>
      <c r="J22" s="281"/>
      <c r="K22" s="282" t="str">
        <f>IF(K23="","",IF(H17="","",(K23-H17)/(H17-H16)))</f>
        <v/>
      </c>
      <c r="L22" s="278" t="s">
        <v>125</v>
      </c>
      <c r="M22" s="15"/>
    </row>
    <row r="23" spans="1:28" ht="13.5" thickBot="1" x14ac:dyDescent="0.25">
      <c r="C23" s="58" t="s">
        <v>107</v>
      </c>
      <c r="D23" s="112" t="str">
        <f>IF(D22="","",D$17+5*(D$17-D$16))</f>
        <v/>
      </c>
      <c r="E23" s="307" t="str">
        <f>IF(E22="","",E$17+5*(E$17-E$16))</f>
        <v/>
      </c>
      <c r="F23" s="188" t="str">
        <f>IF(F22="","",F$17-5*(F$16-F$17))</f>
        <v/>
      </c>
      <c r="G23" s="82" t="str">
        <f>IF(G22="","",G$17-5*(G$16-G$17))</f>
        <v/>
      </c>
      <c r="H23" s="198" t="str">
        <f>IF(H22="","",H$17+5*(H$17-H$16))</f>
        <v/>
      </c>
      <c r="I23" s="193"/>
      <c r="J23" s="277" t="str">
        <f>IF(J22="","",IF(H17="","",H17+J22*(H17-H16)))</f>
        <v/>
      </c>
      <c r="K23" s="280"/>
      <c r="L23" s="279" t="s">
        <v>126</v>
      </c>
    </row>
    <row r="24" spans="1:28" ht="13.5" thickBot="1" x14ac:dyDescent="0.25">
      <c r="C24" s="190" t="s">
        <v>78</v>
      </c>
      <c r="D24" s="119"/>
      <c r="E24" s="312"/>
      <c r="F24" s="304"/>
      <c r="G24" s="123"/>
      <c r="H24" s="195" t="str">
        <f>IF(D$24="x",IF(E$24="",IF(F$24="",IF(G$24="",D13,""),""),""),IF(E$24="x",IF(F$24="",IF(G$24="",D13,""),""),IF(F$24="x",IF(G$24="",F13,""),IF(G$24="x",F13,""))))</f>
        <v/>
      </c>
      <c r="I24" s="14"/>
      <c r="J24" s="15"/>
    </row>
    <row r="25" spans="1:28" x14ac:dyDescent="0.2">
      <c r="I25" s="14"/>
      <c r="J25" s="15"/>
    </row>
    <row r="26" spans="1:28" x14ac:dyDescent="0.2">
      <c r="D26" s="131"/>
      <c r="G26" s="113"/>
      <c r="H26" s="14"/>
      <c r="I26" s="14"/>
      <c r="J26" s="15"/>
    </row>
    <row r="27" spans="1:28" x14ac:dyDescent="0.2">
      <c r="I27" s="14"/>
      <c r="J27" s="15"/>
    </row>
    <row r="28" spans="1:28" x14ac:dyDescent="0.2">
      <c r="I28" s="14"/>
      <c r="J28" s="15"/>
    </row>
    <row r="29" spans="1:28" x14ac:dyDescent="0.2">
      <c r="I29" s="14"/>
      <c r="L29" s="14"/>
    </row>
    <row r="30" spans="1:28" x14ac:dyDescent="0.2">
      <c r="I30" s="14"/>
      <c r="L30" s="14"/>
    </row>
  </sheetData>
  <mergeCells count="30">
    <mergeCell ref="J21:K21"/>
    <mergeCell ref="I2:L2"/>
    <mergeCell ref="B3:C4"/>
    <mergeCell ref="D3:E4"/>
    <mergeCell ref="F3:H3"/>
    <mergeCell ref="B5:C5"/>
    <mergeCell ref="D5:E5"/>
    <mergeCell ref="B8:B9"/>
    <mergeCell ref="C8:C9"/>
    <mergeCell ref="D8:D9"/>
    <mergeCell ref="E8:E9"/>
    <mergeCell ref="F8:F9"/>
    <mergeCell ref="B6:C6"/>
    <mergeCell ref="D6:E6"/>
    <mergeCell ref="B7:C7"/>
    <mergeCell ref="D7:E7"/>
    <mergeCell ref="F7:H7"/>
    <mergeCell ref="M8:N8"/>
    <mergeCell ref="I13:J13"/>
    <mergeCell ref="D13:E13"/>
    <mergeCell ref="F13:G13"/>
    <mergeCell ref="M14:N14"/>
    <mergeCell ref="I17:J17"/>
    <mergeCell ref="G8:G9"/>
    <mergeCell ref="H8:H9"/>
    <mergeCell ref="I8:I9"/>
    <mergeCell ref="J8:J9"/>
    <mergeCell ref="K8:K9"/>
    <mergeCell ref="L8:L9"/>
    <mergeCell ref="K15:L15"/>
  </mergeCells>
  <pageMargins left="0.511811024" right="0.511811024" top="0.78740157499999996" bottom="0.78740157499999996" header="0.31496062000000002" footer="0.3149606200000000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0"/>
  <sheetViews>
    <sheetView workbookViewId="0">
      <selection activeCell="F14" sqref="F14"/>
    </sheetView>
  </sheetViews>
  <sheetFormatPr defaultRowHeight="12.75" x14ac:dyDescent="0.2"/>
  <cols>
    <col min="1" max="1" width="1.42578125" style="14" customWidth="1"/>
    <col min="2" max="2" width="5.85546875" customWidth="1"/>
    <col min="3" max="3" width="12.42578125" style="16" bestFit="1" customWidth="1"/>
    <col min="4" max="4" width="8.5703125" style="16" customWidth="1"/>
    <col min="5" max="5" width="10.85546875" style="15" bestFit="1" customWidth="1"/>
    <col min="6" max="6" width="10" style="15" customWidth="1"/>
    <col min="7" max="7" width="9.85546875" style="15" bestFit="1" customWidth="1"/>
    <col min="8" max="8" width="12.7109375" style="15" customWidth="1"/>
    <col min="9" max="9" width="13.28515625" style="15" bestFit="1" customWidth="1"/>
    <col min="10" max="10" width="8.7109375" style="14" customWidth="1"/>
    <col min="11" max="11" width="10.140625" style="14" bestFit="1" customWidth="1"/>
    <col min="12" max="12" width="8.5703125" style="15" bestFit="1" customWidth="1"/>
    <col min="13" max="13" width="13.5703125" style="14" bestFit="1" customWidth="1"/>
    <col min="14" max="14" width="12" style="14" customWidth="1"/>
    <col min="15" max="15" width="1.42578125" style="14" customWidth="1"/>
    <col min="16" max="16" width="14.5703125" style="14" bestFit="1" customWidth="1"/>
    <col min="17" max="17" width="10.5703125" style="14" bestFit="1" customWidth="1"/>
    <col min="18" max="19" width="10.140625" style="14" bestFit="1" customWidth="1"/>
    <col min="20" max="20" width="2.42578125" style="14" customWidth="1"/>
    <col min="21" max="21" width="4" style="14" bestFit="1" customWidth="1"/>
    <col min="22" max="22" width="8.140625" style="14" bestFit="1" customWidth="1"/>
    <col min="23" max="25" width="9.140625" style="14"/>
    <col min="26" max="26" width="10.140625" style="14" bestFit="1" customWidth="1"/>
    <col min="27" max="27" width="9.140625" style="14"/>
    <col min="28" max="28" width="2.42578125" style="14" customWidth="1"/>
    <col min="29" max="16384" width="9.140625" style="14"/>
  </cols>
  <sheetData>
    <row r="1" spans="2:14" ht="13.5" thickBot="1" x14ac:dyDescent="0.25">
      <c r="L1" s="60"/>
      <c r="N1" s="50"/>
    </row>
    <row r="2" spans="2:14" ht="13.5" thickBot="1" x14ac:dyDescent="0.25">
      <c r="B2" s="223" t="s">
        <v>96</v>
      </c>
      <c r="C2" s="147" t="str">
        <f>Ativos!$V$26</f>
        <v>WTI</v>
      </c>
      <c r="D2" s="223" t="s">
        <v>51</v>
      </c>
      <c r="E2" s="155">
        <f>Ativos!$V$29</f>
        <v>3.9999999999992042E-2</v>
      </c>
      <c r="G2" s="171" t="s">
        <v>30</v>
      </c>
      <c r="H2" s="182">
        <f>SUM(D5:G5)</f>
        <v>3261.17</v>
      </c>
      <c r="I2" s="371" t="s">
        <v>70</v>
      </c>
      <c r="J2" s="345"/>
      <c r="K2" s="345"/>
      <c r="L2" s="372"/>
    </row>
    <row r="3" spans="2:14" ht="13.5" thickBot="1" x14ac:dyDescent="0.25">
      <c r="B3" s="373" t="s">
        <v>31</v>
      </c>
      <c r="C3" s="374"/>
      <c r="D3" s="377" t="s">
        <v>40</v>
      </c>
      <c r="E3" s="378"/>
      <c r="F3" s="381" t="s">
        <v>28</v>
      </c>
      <c r="G3" s="382"/>
      <c r="H3" s="382"/>
      <c r="I3" s="225" t="s">
        <v>46</v>
      </c>
      <c r="J3" s="184" t="s">
        <v>28</v>
      </c>
      <c r="K3" s="132" t="s">
        <v>48</v>
      </c>
      <c r="L3" s="96" t="s">
        <v>65</v>
      </c>
    </row>
    <row r="4" spans="2:14" ht="13.5" thickBot="1" x14ac:dyDescent="0.25">
      <c r="B4" s="375"/>
      <c r="C4" s="376"/>
      <c r="D4" s="379"/>
      <c r="E4" s="380"/>
      <c r="F4" s="144" t="s">
        <v>42</v>
      </c>
      <c r="G4" s="132" t="s">
        <v>43</v>
      </c>
      <c r="H4" s="133" t="s">
        <v>47</v>
      </c>
      <c r="I4" s="183"/>
      <c r="J4" s="126" t="str">
        <f>IF(I4="","",IF(N10="","",IF(B10=0,"",I4*N10)))</f>
        <v/>
      </c>
      <c r="K4" s="126" t="str">
        <f>IF(J4="","",IF(D5="","",100*J4/D5))</f>
        <v/>
      </c>
      <c r="L4" s="176" t="str">
        <f>IF(I4="","",IF(I10="","",IF(B10="","",IF(B10=0,"",IF(J4="","",I10+(J4-F5-G5)/N19/B10/J11)))))</f>
        <v/>
      </c>
    </row>
    <row r="5" spans="2:14" ht="13.5" thickBot="1" x14ac:dyDescent="0.25">
      <c r="B5" s="383">
        <f>D5+F5</f>
        <v>3261.17</v>
      </c>
      <c r="C5" s="384"/>
      <c r="D5" s="407">
        <f>CLog!$Z$42</f>
        <v>3261.17</v>
      </c>
      <c r="E5" s="408"/>
      <c r="F5" s="129">
        <f>IF(J10="",0,J10)</f>
        <v>0</v>
      </c>
      <c r="G5" s="31" t="str">
        <f>K10</f>
        <v/>
      </c>
      <c r="H5" s="122">
        <f>IF(F5="",IF(G5="","",G5),IF(G5="",F5,F5+G5))</f>
        <v>0</v>
      </c>
      <c r="I5" s="103" t="str">
        <f>IF(J5="","",IF(N10="","",J5/N10))</f>
        <v/>
      </c>
      <c r="J5" s="32" t="str">
        <f>IF(K5="","",K5*D5/100)</f>
        <v/>
      </c>
      <c r="K5" s="95" t="str">
        <f>IF(L5="","",100*B10*N19*J11*(L5-D10)/D5)</f>
        <v/>
      </c>
      <c r="L5" s="175"/>
      <c r="M5" s="326" t="s">
        <v>131</v>
      </c>
      <c r="N5" s="327">
        <f>[3]CRe!$P$32</f>
        <v>1.0120091755496351E-2</v>
      </c>
    </row>
    <row r="6" spans="2:14" ht="13.5" thickBot="1" x14ac:dyDescent="0.25">
      <c r="B6" s="388" t="s">
        <v>32</v>
      </c>
      <c r="C6" s="389"/>
      <c r="D6" s="390">
        <f>Ativos!$V$27</f>
        <v>68.52</v>
      </c>
      <c r="E6" s="391"/>
      <c r="F6" s="130">
        <f>IF(F5="","",100*F5/D5)</f>
        <v>0</v>
      </c>
      <c r="G6" s="32" t="str">
        <f>IF(G5="","",100*G5/D5)</f>
        <v/>
      </c>
      <c r="H6" s="33">
        <f>IF(H5="","",100*(H2/D5-1))</f>
        <v>0</v>
      </c>
      <c r="I6" s="125" t="s">
        <v>73</v>
      </c>
      <c r="J6" s="126" t="str">
        <f>IF(K6="","",K6*D5/100)</f>
        <v/>
      </c>
      <c r="K6" s="127" t="str">
        <f>IF(L6="","",100*B10*N19*J11*(L6-D10)/D5)</f>
        <v/>
      </c>
      <c r="L6" s="176" t="str">
        <f>IF(J15&lt;&gt;"",J15,IF(H16="","",H16))</f>
        <v/>
      </c>
      <c r="M6" s="328" t="s">
        <v>133</v>
      </c>
      <c r="N6" s="330">
        <f>IF(N17="","",IF(N5="","",N17/N5))</f>
        <v>49.406666666677566</v>
      </c>
    </row>
    <row r="7" spans="2:14" ht="13.5" thickBot="1" x14ac:dyDescent="0.25">
      <c r="B7" s="392" t="s">
        <v>33</v>
      </c>
      <c r="C7" s="393"/>
      <c r="D7" s="394">
        <f>Ativos!$V$28</f>
        <v>68.48</v>
      </c>
      <c r="E7" s="395"/>
      <c r="F7" s="381" t="s">
        <v>29</v>
      </c>
      <c r="G7" s="382"/>
      <c r="H7" s="387"/>
      <c r="I7" s="225" t="s">
        <v>49</v>
      </c>
      <c r="J7" s="32">
        <f>IF(K7="","",-K7*D5/100)</f>
        <v>-16.253937479744206</v>
      </c>
      <c r="K7" s="177">
        <f>Risk!$C$13</f>
        <v>0.49840816270676491</v>
      </c>
      <c r="L7" s="178" t="str">
        <f>IF(K7="","",IF(I10="","",IF(K7=0,"",IF(B10=0,"",I10-(H2-D5-J7)/N19/B10))))</f>
        <v/>
      </c>
      <c r="M7" s="93" t="s">
        <v>67</v>
      </c>
      <c r="N7" s="329">
        <f>IF(N17="","",IF(K7="","",IF(K7=0,"",N17/K7)))</f>
        <v>1.0031938427424425</v>
      </c>
    </row>
    <row r="8" spans="2:14" ht="12.75" customHeight="1" x14ac:dyDescent="0.2">
      <c r="B8" s="398" t="s">
        <v>41</v>
      </c>
      <c r="C8" s="364" t="s">
        <v>71</v>
      </c>
      <c r="D8" s="368" t="s">
        <v>44</v>
      </c>
      <c r="E8" s="368" t="s">
        <v>45</v>
      </c>
      <c r="F8" s="364" t="s">
        <v>53</v>
      </c>
      <c r="G8" s="401" t="s">
        <v>109</v>
      </c>
      <c r="H8" s="366"/>
      <c r="I8" s="368" t="s">
        <v>65</v>
      </c>
      <c r="J8" s="366" t="s">
        <v>123</v>
      </c>
      <c r="K8" s="364" t="s">
        <v>28</v>
      </c>
      <c r="L8" s="358" t="s">
        <v>29</v>
      </c>
      <c r="M8" s="409" t="s">
        <v>75</v>
      </c>
      <c r="N8" s="410"/>
    </row>
    <row r="9" spans="2:14" ht="13.5" thickBot="1" x14ac:dyDescent="0.25">
      <c r="B9" s="399"/>
      <c r="C9" s="400"/>
      <c r="D9" s="365"/>
      <c r="E9" s="365"/>
      <c r="F9" s="365"/>
      <c r="G9" s="402"/>
      <c r="H9" s="367"/>
      <c r="I9" s="365"/>
      <c r="J9" s="367"/>
      <c r="K9" s="365"/>
      <c r="L9" s="359"/>
      <c r="M9" s="99" t="s">
        <v>52</v>
      </c>
      <c r="N9" s="275" t="s">
        <v>53</v>
      </c>
    </row>
    <row r="10" spans="2:14" ht="13.5" thickBot="1" x14ac:dyDescent="0.25">
      <c r="B10" s="105" t="str">
        <f>IF(B11&lt;&gt;"",B11,IF(H18="","",H18))</f>
        <v/>
      </c>
      <c r="C10" s="106" t="str">
        <f>IF(B10="","",IF(B10&gt;0,N19*B10*D6/D5,-N19*B10*D7/D5))</f>
        <v/>
      </c>
      <c r="D10" s="107" t="str">
        <f>IF(D11&lt;&gt;"",D11,IF(H17="","",H17))</f>
        <v/>
      </c>
      <c r="E10" s="107" t="str">
        <f>IF(E11&lt;&gt;"",E11,IF(J19="","",J19))</f>
        <v/>
      </c>
      <c r="F10" s="98" t="str">
        <f>IF(B10="","",IF(D10="","",IF(E10="","",B10*N$19*J11*(E10-D10))))</f>
        <v/>
      </c>
      <c r="G10" s="167">
        <v>0</v>
      </c>
      <c r="H10" s="168"/>
      <c r="I10" s="104" t="str">
        <f>IF(B10="","",IF(B10&gt;0,D$7,D$6))</f>
        <v/>
      </c>
      <c r="J10" s="128" t="str">
        <f>IF(B10="","",IF(H10="t",B10*N$19*(E10-D10)+G10,IF(H10="s",B10*N$19*(L6-D10)+G10,"")))</f>
        <v/>
      </c>
      <c r="K10" s="98" t="str">
        <f>IF(B10="","",IF(H10="",B10*N19*J11*(I10-D10)+G10,""))</f>
        <v/>
      </c>
      <c r="L10" s="102" t="str">
        <f>IF(B10="","",IF(H10&lt;&gt;"",100*J10/D$5,100*K10/D$5))</f>
        <v/>
      </c>
      <c r="M10" s="115" t="str">
        <f>IF(E10="","",E10)</f>
        <v/>
      </c>
      <c r="N10" s="102" t="str">
        <f>IF(B10="","",IF(D10="","",IF(M10="","",B10*N$19*J11*(M10-D10))))</f>
        <v/>
      </c>
    </row>
    <row r="11" spans="2:14" ht="13.5" thickBot="1" x14ac:dyDescent="0.25">
      <c r="B11" s="288"/>
      <c r="C11" s="314" t="s">
        <v>79</v>
      </c>
      <c r="D11" s="315"/>
      <c r="E11" s="114"/>
      <c r="G11" s="223" t="s">
        <v>100</v>
      </c>
      <c r="H11" s="169">
        <f>Ativos!$V$31</f>
        <v>100</v>
      </c>
      <c r="I11" s="223" t="s">
        <v>114</v>
      </c>
      <c r="J11" s="242">
        <f>Ativos!$V$32</f>
        <v>1</v>
      </c>
      <c r="M11" s="100" t="s">
        <v>56</v>
      </c>
      <c r="N11" s="101" t="str">
        <f>IF(F10="","",F10+G10)</f>
        <v/>
      </c>
    </row>
    <row r="12" spans="2:14" ht="13.5" thickBot="1" x14ac:dyDescent="0.25">
      <c r="B12" s="316">
        <f>D5/N19/3</f>
        <v>1.0870566666666666</v>
      </c>
      <c r="C12" s="317" t="s">
        <v>130</v>
      </c>
      <c r="D12" s="131"/>
      <c r="G12" s="14"/>
      <c r="I12" s="108"/>
      <c r="K12" s="15"/>
      <c r="M12" s="57" t="s">
        <v>54</v>
      </c>
      <c r="N12" s="56" t="str">
        <f>IF(N11="","",100*N11/D5)</f>
        <v/>
      </c>
    </row>
    <row r="13" spans="2:14" ht="13.5" thickBot="1" x14ac:dyDescent="0.25">
      <c r="B13" s="15"/>
      <c r="D13" s="403" t="s">
        <v>127</v>
      </c>
      <c r="E13" s="404"/>
      <c r="F13" s="405" t="s">
        <v>128</v>
      </c>
      <c r="G13" s="404"/>
      <c r="H13" s="298" t="s">
        <v>74</v>
      </c>
      <c r="I13" s="369" t="s">
        <v>112</v>
      </c>
      <c r="J13" s="370"/>
      <c r="M13" s="58" t="s">
        <v>125</v>
      </c>
      <c r="N13" s="59" t="str">
        <f>IF(N11="","",IF(J6="","",IF(J6=0,9999.9999,IF(J6&gt;0,"No Loss",-N11/J6))))</f>
        <v/>
      </c>
    </row>
    <row r="14" spans="2:14" ht="13.5" thickBot="1" x14ac:dyDescent="0.25">
      <c r="B14" s="15"/>
      <c r="C14" s="109" t="s">
        <v>76</v>
      </c>
      <c r="D14" s="116"/>
      <c r="E14" s="305" t="str">
        <f>IF(D14="","",D14)</f>
        <v/>
      </c>
      <c r="F14" s="299"/>
      <c r="G14" s="136" t="str">
        <f>IF(F14="","",F14)</f>
        <v/>
      </c>
      <c r="H14" s="174"/>
      <c r="I14" s="222" t="s">
        <v>113</v>
      </c>
      <c r="J14" s="226"/>
      <c r="M14" s="362" t="s">
        <v>82</v>
      </c>
      <c r="N14" s="363"/>
    </row>
    <row r="15" spans="2:14" ht="13.5" thickBot="1" x14ac:dyDescent="0.25">
      <c r="C15" s="110" t="s">
        <v>77</v>
      </c>
      <c r="D15" s="331">
        <f>'1'!D15</f>
        <v>20</v>
      </c>
      <c r="E15" s="332">
        <f>'1'!E15</f>
        <v>3</v>
      </c>
      <c r="F15" s="333">
        <f>'1'!F15</f>
        <v>15</v>
      </c>
      <c r="G15" s="334">
        <f>'1'!G15</f>
        <v>1</v>
      </c>
      <c r="H15" s="227">
        <f>IF(D$24="x",IF(E$24="",IF(F$24="",IF(G$24="",D15,""),""),""),IF(E$24="x",IF(F$24="",IF(G$24="",E15,""),""),IF(F$24="x",IF(G$24="",F15,""),IF(G$24="x",G15,""))))</f>
        <v>15</v>
      </c>
      <c r="I15" s="93" t="s">
        <v>73</v>
      </c>
      <c r="J15" s="178" t="str">
        <f>IF(J14="","",IF(H15="","",IF(B10="","",IF(B10&gt;0,J14-H15/$H$11,IF(B10&lt;0,J14+H15/$H$11,"")))))</f>
        <v/>
      </c>
      <c r="K15" s="396" t="s">
        <v>129</v>
      </c>
      <c r="L15" s="406"/>
      <c r="M15" s="89" t="s">
        <v>84</v>
      </c>
      <c r="N15" s="296">
        <f>'1'!$N$15</f>
        <v>0.5</v>
      </c>
    </row>
    <row r="16" spans="2:14" ht="13.5" thickBot="1" x14ac:dyDescent="0.25">
      <c r="C16" s="111" t="s">
        <v>73</v>
      </c>
      <c r="D16" s="112" t="str">
        <f>IF(D14="","",IF(D15="","",D14-D15/$H$11))</f>
        <v/>
      </c>
      <c r="E16" s="307" t="str">
        <f>IF(E14="","",IF(E15="","",E14-E15/$H$11))</f>
        <v/>
      </c>
      <c r="F16" s="188" t="str">
        <f>IF(F14="","",IF(F15="","",F14+F15/$H$11))</f>
        <v/>
      </c>
      <c r="G16" s="82" t="str">
        <f>IF(G14="","",IF(G15="","",G14+G15/$H$11))</f>
        <v/>
      </c>
      <c r="H16" s="173" t="str">
        <f>IF(D$24="x",IF(E$24="",IF(F$24="",IF(G$24="",D16,""),""),""),IF(E$24="x",IF(F$24="",IF(G$24="",E16,""),""),IF(F$24="x",IF(G$24="",F16,""),IF(G$24="x",G16,""))))</f>
        <v/>
      </c>
      <c r="I16" s="14"/>
      <c r="J16" s="15"/>
      <c r="K16" s="313" t="s">
        <v>31</v>
      </c>
      <c r="L16" s="96" t="s">
        <v>64</v>
      </c>
      <c r="M16" s="90" t="s">
        <v>80</v>
      </c>
      <c r="N16" s="199">
        <f>'1'!$N$16</f>
        <v>20</v>
      </c>
    </row>
    <row r="17" spans="1:28" x14ac:dyDescent="0.2">
      <c r="C17" s="109" t="s">
        <v>72</v>
      </c>
      <c r="D17" s="159" t="str">
        <f>IF(D16="","",D6)</f>
        <v/>
      </c>
      <c r="E17" s="308" t="str">
        <f>IF(E16="","",D6)</f>
        <v/>
      </c>
      <c r="F17" s="301" t="str">
        <f>IF(F16="","",D7)</f>
        <v/>
      </c>
      <c r="G17" s="160" t="str">
        <f>IF(G16="","",D7)</f>
        <v/>
      </c>
      <c r="H17" s="180" t="str">
        <f>IF(D11&lt;&gt;"",D11,IF(D$24="x",IF(E$24="",IF(F$24="",IF(G$24="",D17,""),""),""),IF(E$24="x",IF(F$24="",IF(G$24="",E17,""),""),IF(F$24="x",IF(G$24="",F17,""),IF(G$24="x",G17,"")))))</f>
        <v/>
      </c>
      <c r="I17" s="396" t="s">
        <v>104</v>
      </c>
      <c r="J17" s="406"/>
      <c r="K17" s="341">
        <f>'1'!$K$17</f>
        <v>10000</v>
      </c>
      <c r="L17" s="340" t="str">
        <f>IF(H18="","",IF(K17="","",IF(D5="","",H18*K17/D5)))</f>
        <v/>
      </c>
      <c r="M17" s="90" t="s">
        <v>81</v>
      </c>
      <c r="N17" s="199">
        <f>'1'!N17</f>
        <v>0.5</v>
      </c>
    </row>
    <row r="18" spans="1:28" ht="13.5" thickBot="1" x14ac:dyDescent="0.25">
      <c r="A18" s="94"/>
      <c r="C18" s="189" t="s">
        <v>64</v>
      </c>
      <c r="D18" s="97" t="str">
        <f>IF(D17="","",IF(N17="","",N17*D5/100/(D17-D16)/N19/J11))</f>
        <v/>
      </c>
      <c r="E18" s="293" t="str">
        <f>IF(E17="","",IF(N17="","",N17*D5/100/(E17-E16)/N19/J11))</f>
        <v/>
      </c>
      <c r="F18" s="302" t="str">
        <f>IF(F17="","",IF(N17="","",N17*D5/100/(F17-F16)/N19/J11))</f>
        <v/>
      </c>
      <c r="G18" s="161" t="str">
        <f>IF(G17="","",IF(N17="","",N17*D5/100/(G17-G16)/N19/J11))</f>
        <v/>
      </c>
      <c r="H18" s="194" t="str">
        <f>IF(B11&lt;&gt;"",B11,IF(D$24="x",IF(E$24="",IF(F$24="",IF(G$24="",D18,""),""),""),IF(E$24="x",IF(F$24="",IF(G$24="",E18,""),""),IF(F$24="x",IF(G$24="",F18,""),IF(G$24="x",G18,"")))))</f>
        <v/>
      </c>
      <c r="I18" s="181" t="s">
        <v>105</v>
      </c>
      <c r="J18" s="185" t="s">
        <v>65</v>
      </c>
      <c r="K18" s="225" t="s">
        <v>130</v>
      </c>
      <c r="L18" s="293">
        <f>IF(K17="","",K17/N19/J11/3)</f>
        <v>3.3333333333333335</v>
      </c>
      <c r="M18" s="91" t="s">
        <v>83</v>
      </c>
      <c r="N18" s="321">
        <f>'1'!N18</f>
        <v>16.30585</v>
      </c>
      <c r="O18" s="94"/>
      <c r="AB18" s="94"/>
    </row>
    <row r="19" spans="1:28" ht="13.5" thickBot="1" x14ac:dyDescent="0.25">
      <c r="C19" s="135" t="s">
        <v>101</v>
      </c>
      <c r="D19" s="309" t="str">
        <f>IF(D18="","",D$17+(D$17-D$16))</f>
        <v/>
      </c>
      <c r="E19" s="305" t="str">
        <f>IF(E18="","",E$17+(E$17-E$16))</f>
        <v/>
      </c>
      <c r="F19" s="303" t="str">
        <f>IF(F18="","",F$17-(F$16-F$17))</f>
        <v/>
      </c>
      <c r="G19" s="136" t="str">
        <f>IF(G18="","",G$17-(G$16-G$17))</f>
        <v/>
      </c>
      <c r="H19" s="196" t="str">
        <f t="shared" ref="H19" si="0">IF(H18="","",H$17+(H$17-H$16))</f>
        <v/>
      </c>
      <c r="I19" s="191" t="s">
        <v>85</v>
      </c>
      <c r="J19" s="186" t="str">
        <f>IF(I19="x",H19,IF(I20="x",H20,IF(I21="x",H21,IF(I22="x",H22,IF(I23="x",H23,"")))))</f>
        <v/>
      </c>
      <c r="L19" s="113"/>
      <c r="M19" s="88" t="s">
        <v>55</v>
      </c>
      <c r="N19" s="203">
        <f>Ativos!$V$30</f>
        <v>1000</v>
      </c>
    </row>
    <row r="20" spans="1:28" ht="13.5" thickBot="1" x14ac:dyDescent="0.25">
      <c r="C20" s="57" t="s">
        <v>102</v>
      </c>
      <c r="D20" s="310" t="str">
        <f>IF(D19="","",D$17+2*(D$17-D$16))</f>
        <v/>
      </c>
      <c r="E20" s="311" t="str">
        <f>IF(E19="","",E$17+2*(E$17-E$16))</f>
        <v/>
      </c>
      <c r="F20" s="187" t="str">
        <f>IF(F19="","",F$17-2*(F$16-F$17))</f>
        <v/>
      </c>
      <c r="G20" s="170" t="str">
        <f>IF(G19="","",G$17-2*(G$16-G$17))</f>
        <v/>
      </c>
      <c r="H20" s="197" t="str">
        <f>IF(H19="","",H$17+2*(H$17-H$16))</f>
        <v/>
      </c>
      <c r="I20" s="192"/>
      <c r="J20" s="15"/>
      <c r="M20" s="85" t="s">
        <v>68</v>
      </c>
      <c r="N20" s="322">
        <f>'1'!$N$20</f>
        <v>500</v>
      </c>
    </row>
    <row r="21" spans="1:28" ht="13.5" thickBot="1" x14ac:dyDescent="0.25">
      <c r="C21" s="57" t="s">
        <v>103</v>
      </c>
      <c r="D21" s="112" t="str">
        <f>IF(D20="","",D$17+3*(D$17-D$16))</f>
        <v/>
      </c>
      <c r="E21" s="307" t="str">
        <f>IF(E20="","",E$17+3*(E$17-E$16))</f>
        <v/>
      </c>
      <c r="F21" s="188" t="str">
        <f>IF(F20="","",F$17-3*(F$16-F$17))</f>
        <v/>
      </c>
      <c r="G21" s="82" t="str">
        <f>IF(G20="","",G$17-3*(G$16-G$17))</f>
        <v/>
      </c>
      <c r="H21" s="197" t="str">
        <f>IF(H20="","",H$17+3*(H$17-H$16))</f>
        <v/>
      </c>
      <c r="I21" s="192"/>
      <c r="J21" s="381" t="s">
        <v>124</v>
      </c>
      <c r="K21" s="387"/>
      <c r="M21" s="121" t="s">
        <v>69</v>
      </c>
      <c r="N21" s="84">
        <f>IF(D5="","",IF(N19="","",IF(N20="","",D5*N20/N19/D6)))</f>
        <v>23.797212492702862</v>
      </c>
    </row>
    <row r="22" spans="1:28" x14ac:dyDescent="0.2">
      <c r="C22" s="57" t="s">
        <v>106</v>
      </c>
      <c r="D22" s="310" t="str">
        <f>IF(D21="","",D$17+4*(D$17-D$16))</f>
        <v/>
      </c>
      <c r="E22" s="311" t="str">
        <f>IF(E21="","",E$17+4*(E$17-E$16))</f>
        <v/>
      </c>
      <c r="F22" s="187" t="str">
        <f>IF(F21="","",F$17-4*(F$16-F$17))</f>
        <v/>
      </c>
      <c r="G22" s="170" t="str">
        <f>IF(G21="","",G$17-4*(G$16-G$17))</f>
        <v/>
      </c>
      <c r="H22" s="197" t="str">
        <f>IF(H21="","",H$17+4*(H$17-H$16))</f>
        <v/>
      </c>
      <c r="I22" s="192"/>
      <c r="J22" s="281"/>
      <c r="K22" s="282" t="str">
        <f>IF(K23="","",IF(H17="","",(K23-H17)/(H17-H16)))</f>
        <v/>
      </c>
      <c r="L22" s="278" t="s">
        <v>125</v>
      </c>
      <c r="M22" s="15"/>
    </row>
    <row r="23" spans="1:28" ht="13.5" thickBot="1" x14ac:dyDescent="0.25">
      <c r="C23" s="58" t="s">
        <v>107</v>
      </c>
      <c r="D23" s="112" t="str">
        <f>IF(D22="","",D$17+5*(D$17-D$16))</f>
        <v/>
      </c>
      <c r="E23" s="307" t="str">
        <f>IF(E22="","",E$17+5*(E$17-E$16))</f>
        <v/>
      </c>
      <c r="F23" s="188" t="str">
        <f>IF(F22="","",F$17-5*(F$16-F$17))</f>
        <v/>
      </c>
      <c r="G23" s="82" t="str">
        <f>IF(G22="","",G$17-5*(G$16-G$17))</f>
        <v/>
      </c>
      <c r="H23" s="198" t="str">
        <f>IF(H22="","",H$17+5*(H$17-H$16))</f>
        <v/>
      </c>
      <c r="I23" s="193"/>
      <c r="J23" s="277" t="str">
        <f>IF(J22="","",IF(H17="","",H17+J22*(H17-H16)))</f>
        <v/>
      </c>
      <c r="K23" s="280"/>
      <c r="L23" s="279" t="s">
        <v>126</v>
      </c>
    </row>
    <row r="24" spans="1:28" ht="13.5" thickBot="1" x14ac:dyDescent="0.25">
      <c r="C24" s="190" t="s">
        <v>78</v>
      </c>
      <c r="D24" s="119"/>
      <c r="E24" s="312"/>
      <c r="F24" s="304" t="s">
        <v>85</v>
      </c>
      <c r="G24" s="123"/>
      <c r="H24" s="195" t="str">
        <f>IF(D$24="x",IF(E$24="",IF(F$24="",IF(G$24="",D13,""),""),""),IF(E$24="x",IF(F$24="",IF(G$24="",D13,""),""),IF(F$24="x",IF(G$24="",F13,""),IF(G$24="x",F13,""))))</f>
        <v>Sell</v>
      </c>
      <c r="I24" s="14"/>
      <c r="J24" s="15"/>
    </row>
    <row r="25" spans="1:28" x14ac:dyDescent="0.2">
      <c r="I25" s="14"/>
      <c r="J25" s="15"/>
    </row>
    <row r="26" spans="1:28" x14ac:dyDescent="0.2">
      <c r="D26" s="131"/>
      <c r="G26" s="113"/>
      <c r="H26" s="14"/>
      <c r="I26" s="14"/>
      <c r="J26" s="15"/>
    </row>
    <row r="27" spans="1:28" x14ac:dyDescent="0.2">
      <c r="I27" s="14"/>
      <c r="J27" s="15"/>
    </row>
    <row r="28" spans="1:28" x14ac:dyDescent="0.2">
      <c r="I28" s="14"/>
      <c r="J28" s="15"/>
    </row>
    <row r="29" spans="1:28" x14ac:dyDescent="0.2">
      <c r="I29" s="14"/>
      <c r="L29" s="14"/>
    </row>
    <row r="30" spans="1:28" x14ac:dyDescent="0.2">
      <c r="I30" s="14"/>
      <c r="L30" s="14"/>
    </row>
  </sheetData>
  <mergeCells count="30">
    <mergeCell ref="J21:K21"/>
    <mergeCell ref="I2:L2"/>
    <mergeCell ref="B3:C4"/>
    <mergeCell ref="D3:E4"/>
    <mergeCell ref="F3:H3"/>
    <mergeCell ref="B5:C5"/>
    <mergeCell ref="D5:E5"/>
    <mergeCell ref="B8:B9"/>
    <mergeCell ref="C8:C9"/>
    <mergeCell ref="D8:D9"/>
    <mergeCell ref="E8:E9"/>
    <mergeCell ref="F8:F9"/>
    <mergeCell ref="B6:C6"/>
    <mergeCell ref="D6:E6"/>
    <mergeCell ref="B7:C7"/>
    <mergeCell ref="D7:E7"/>
    <mergeCell ref="F7:H7"/>
    <mergeCell ref="M8:N8"/>
    <mergeCell ref="I13:J13"/>
    <mergeCell ref="D13:E13"/>
    <mergeCell ref="F13:G13"/>
    <mergeCell ref="M14:N14"/>
    <mergeCell ref="I17:J17"/>
    <mergeCell ref="G8:G9"/>
    <mergeCell ref="H8:H9"/>
    <mergeCell ref="I8:I9"/>
    <mergeCell ref="J8:J9"/>
    <mergeCell ref="K8:K9"/>
    <mergeCell ref="L8:L9"/>
    <mergeCell ref="K15:L15"/>
  </mergeCells>
  <pageMargins left="0.511811024" right="0.511811024" top="0.78740157499999996" bottom="0.78740157499999996" header="0.31496062000000002" footer="0.31496062000000002"/>
  <pageSetup paperSize="9" orientation="portrait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C108"/>
  <sheetViews>
    <sheetView zoomScale="80" workbookViewId="0">
      <pane ySplit="630" topLeftCell="A38" activePane="bottomLeft"/>
      <selection activeCell="X1" sqref="X1:X1048576"/>
      <selection pane="bottomLeft" activeCell="Z53" sqref="Z53"/>
    </sheetView>
  </sheetViews>
  <sheetFormatPr defaultRowHeight="12.75" x14ac:dyDescent="0.2"/>
  <cols>
    <col min="1" max="1" width="4.140625" customWidth="1"/>
    <col min="2" max="2" width="4.42578125" customWidth="1"/>
    <col min="3" max="3" width="7.140625" bestFit="1" customWidth="1"/>
    <col min="4" max="4" width="5.85546875" customWidth="1"/>
    <col min="5" max="5" width="5.85546875" hidden="1" customWidth="1"/>
    <col min="6" max="6" width="10" customWidth="1"/>
    <col min="7" max="7" width="10.85546875" bestFit="1" customWidth="1"/>
    <col min="8" max="8" width="10.7109375" customWidth="1"/>
    <col min="9" max="9" width="10" customWidth="1"/>
    <col min="10" max="10" width="9.28515625" hidden="1" customWidth="1"/>
    <col min="11" max="11" width="5.85546875" hidden="1" customWidth="1"/>
    <col min="12" max="12" width="5.42578125" hidden="1" customWidth="1"/>
    <col min="13" max="13" width="9.140625" bestFit="1" customWidth="1"/>
    <col min="14" max="14" width="3.42578125" hidden="1" customWidth="1"/>
    <col min="15" max="15" width="8.7109375" bestFit="1" customWidth="1"/>
    <col min="16" max="16" width="9.28515625" hidden="1" customWidth="1"/>
    <col min="17" max="17" width="5.85546875" hidden="1" customWidth="1"/>
    <col min="18" max="18" width="5.140625" hidden="1" customWidth="1"/>
    <col min="19" max="19" width="6.28515625" hidden="1" customWidth="1"/>
    <col min="20" max="20" width="8.7109375" bestFit="1" customWidth="1"/>
    <col min="21" max="21" width="6.140625" hidden="1" customWidth="1"/>
    <col min="22" max="22" width="8.7109375" customWidth="1"/>
    <col min="23" max="23" width="4.140625" customWidth="1"/>
    <col min="24" max="24" width="8.42578125" customWidth="1"/>
    <col min="25" max="25" width="12" style="2" bestFit="1" customWidth="1"/>
    <col min="26" max="26" width="9.85546875" bestFit="1" customWidth="1"/>
    <col min="27" max="27" width="8.42578125" customWidth="1"/>
    <col min="28" max="28" width="10.28515625" customWidth="1"/>
    <col min="29" max="29" width="12.85546875" customWidth="1"/>
    <col min="30" max="30" width="8.42578125" customWidth="1"/>
  </cols>
  <sheetData>
    <row r="1" spans="2:25" ht="13.5" customHeight="1" x14ac:dyDescent="0.2">
      <c r="B1" s="429" t="s">
        <v>0</v>
      </c>
      <c r="C1" s="426" t="s">
        <v>117</v>
      </c>
      <c r="D1" s="426" t="s">
        <v>54</v>
      </c>
      <c r="E1" s="415" t="s">
        <v>0</v>
      </c>
      <c r="F1" s="428" t="s">
        <v>12</v>
      </c>
      <c r="G1" s="428" t="s">
        <v>26</v>
      </c>
      <c r="H1" s="428" t="s">
        <v>34</v>
      </c>
      <c r="I1" s="428" t="s">
        <v>39</v>
      </c>
      <c r="J1" s="426" t="s">
        <v>120</v>
      </c>
      <c r="K1" s="415" t="s">
        <v>0</v>
      </c>
      <c r="L1" s="415" t="s">
        <v>3</v>
      </c>
      <c r="M1" s="415" t="s">
        <v>118</v>
      </c>
      <c r="N1" s="415" t="s">
        <v>0</v>
      </c>
      <c r="O1" s="415" t="s">
        <v>9</v>
      </c>
      <c r="P1" s="426" t="s">
        <v>121</v>
      </c>
      <c r="Q1" s="415" t="s">
        <v>0</v>
      </c>
      <c r="R1" s="415" t="s">
        <v>4</v>
      </c>
      <c r="S1" s="415" t="s">
        <v>0</v>
      </c>
      <c r="T1" s="415" t="s">
        <v>119</v>
      </c>
      <c r="U1" s="415" t="s">
        <v>0</v>
      </c>
      <c r="V1" s="421" t="s">
        <v>20</v>
      </c>
    </row>
    <row r="2" spans="2:25" ht="13.5" customHeight="1" thickBot="1" x14ac:dyDescent="0.25">
      <c r="B2" s="379" t="s">
        <v>7</v>
      </c>
      <c r="C2" s="416"/>
      <c r="D2" s="416"/>
      <c r="E2" s="427"/>
      <c r="F2" s="416" t="s">
        <v>3</v>
      </c>
      <c r="G2" s="416" t="s">
        <v>3</v>
      </c>
      <c r="H2" s="416" t="s">
        <v>3</v>
      </c>
      <c r="I2" s="416" t="s">
        <v>3</v>
      </c>
      <c r="J2" s="416" t="s">
        <v>3</v>
      </c>
      <c r="K2" s="427"/>
      <c r="L2" s="416" t="s">
        <v>3</v>
      </c>
      <c r="M2" s="416"/>
      <c r="N2" s="416" t="s">
        <v>0</v>
      </c>
      <c r="O2" s="416" t="s">
        <v>8</v>
      </c>
      <c r="P2" s="416" t="s">
        <v>3</v>
      </c>
      <c r="Q2" s="416" t="s">
        <v>0</v>
      </c>
      <c r="R2" s="416" t="s">
        <v>4</v>
      </c>
      <c r="S2" s="416" t="s">
        <v>0</v>
      </c>
      <c r="T2" s="416" t="s">
        <v>1</v>
      </c>
      <c r="U2" s="416" t="s">
        <v>0</v>
      </c>
      <c r="V2" s="380" t="s">
        <v>2</v>
      </c>
      <c r="Y2"/>
    </row>
    <row r="3" spans="2:25" x14ac:dyDescent="0.2">
      <c r="B3" s="61">
        <v>0</v>
      </c>
      <c r="C3" s="62"/>
      <c r="D3" s="48"/>
      <c r="E3" s="48">
        <v>0</v>
      </c>
      <c r="F3" s="63">
        <v>0</v>
      </c>
      <c r="G3" s="44">
        <f t="shared" ref="G3:G34" si="0">IF(F3="","",Z$40+F3)</f>
        <v>3260.84</v>
      </c>
      <c r="H3" s="262">
        <f t="shared" ref="H3:H34" si="1">IF(G3="","",(G3+Z$44)/Z$45)</f>
        <v>3260.84</v>
      </c>
      <c r="I3" s="64"/>
      <c r="J3" s="49">
        <v>1</v>
      </c>
      <c r="K3" s="64"/>
      <c r="L3" s="49">
        <v>0</v>
      </c>
      <c r="M3" s="64"/>
      <c r="N3" s="64"/>
      <c r="O3" s="64"/>
      <c r="P3" s="49">
        <v>1</v>
      </c>
      <c r="Q3" s="64"/>
      <c r="R3" s="49">
        <v>0</v>
      </c>
      <c r="S3" s="64"/>
      <c r="T3" s="64"/>
      <c r="U3" s="64"/>
      <c r="V3" s="65"/>
      <c r="Y3"/>
    </row>
    <row r="4" spans="2:25" x14ac:dyDescent="0.2">
      <c r="B4" s="41">
        <f t="shared" ref="B4:B35" si="2">B3+1</f>
        <v>1</v>
      </c>
      <c r="C4" s="228">
        <f>[3]CRe!J3</f>
        <v>31.109999999999673</v>
      </c>
      <c r="D4" s="228">
        <f>[3]CRe!L3</f>
        <v>0.95404865004108363</v>
      </c>
      <c r="E4" s="3">
        <f t="shared" ref="E4:E35" si="3">IF(C4="","",E3+1)</f>
        <v>1</v>
      </c>
      <c r="F4" s="4">
        <f t="shared" ref="F4:F35" si="4">IF(C4="","",F3+C4)</f>
        <v>31.109999999999673</v>
      </c>
      <c r="G4" s="4">
        <f t="shared" si="0"/>
        <v>3291.95</v>
      </c>
      <c r="H4" s="256">
        <f t="shared" si="1"/>
        <v>3291.95</v>
      </c>
      <c r="I4" s="4">
        <f>IF(G4="","",SLOPE(G$3:G4,B$3:B4))</f>
        <v>31.109999999999673</v>
      </c>
      <c r="J4" s="259">
        <f t="shared" ref="J4:J35" si="5">IF(D4="","",IF(D4&gt;0,J3*(1+D4/100),J3))</f>
        <v>1.0095404865004107</v>
      </c>
      <c r="K4" s="3">
        <f t="shared" ref="K4:K35" si="6">E4</f>
        <v>1</v>
      </c>
      <c r="L4" s="260">
        <f t="shared" ref="L4:L35" si="7">IF(C4="","",IF(C4&gt;0,L3+1,L3))</f>
        <v>1</v>
      </c>
      <c r="M4" s="4">
        <f t="shared" ref="M4:M35" si="8">IF(J4="","",IF(L4=0,"",100*(J4^(1/L4)-1)))</f>
        <v>0.95404865004107275</v>
      </c>
      <c r="N4" s="3">
        <f t="shared" ref="N4:N35" si="9">E4</f>
        <v>1</v>
      </c>
      <c r="O4" s="4">
        <f t="shared" ref="O4:O35" si="10">IF(C4="","",IF(L4=0,"",100*L4/B4))</f>
        <v>100</v>
      </c>
      <c r="P4" s="259">
        <f t="shared" ref="P4:P35" si="11">IF(D4="","",IF(D4&lt;0,P3*(1+D4/100),P3))</f>
        <v>1</v>
      </c>
      <c r="Q4" s="3">
        <f t="shared" ref="Q4:Q35" si="12">E4</f>
        <v>1</v>
      </c>
      <c r="R4" s="260">
        <f t="shared" ref="R4:R35" si="13">IF(C4="","",IF(C4&lt;0,R3+1,R3))</f>
        <v>0</v>
      </c>
      <c r="S4" s="3">
        <f t="shared" ref="S4:S35" si="14">E4</f>
        <v>1</v>
      </c>
      <c r="T4" s="4" t="str">
        <f t="shared" ref="T4:T35" si="15">IF(P4="","",IF(R4=0,"",100*(P4^(1/R4)-1)))</f>
        <v/>
      </c>
      <c r="U4" s="11">
        <f t="shared" ref="U4:U35" si="16">E4</f>
        <v>1</v>
      </c>
      <c r="V4" s="263" t="str">
        <f t="shared" ref="V4:V35" si="17">IF(M4="","",IF(T4="","",-M4/T4))</f>
        <v/>
      </c>
      <c r="Y4"/>
    </row>
    <row r="5" spans="2:25" x14ac:dyDescent="0.2">
      <c r="B5" s="41">
        <f t="shared" si="2"/>
        <v>2</v>
      </c>
      <c r="C5" s="228">
        <f>[3]CRe!J4</f>
        <v>226.21000000000004</v>
      </c>
      <c r="D5" s="228">
        <f>[3]CRe!L4</f>
        <v>6.8716110512006576</v>
      </c>
      <c r="E5" s="3">
        <f t="shared" si="3"/>
        <v>2</v>
      </c>
      <c r="F5" s="4">
        <f t="shared" si="4"/>
        <v>257.31999999999971</v>
      </c>
      <c r="G5" s="4">
        <f t="shared" si="0"/>
        <v>3518.16</v>
      </c>
      <c r="H5" s="256">
        <f t="shared" si="1"/>
        <v>3518.16</v>
      </c>
      <c r="I5" s="4">
        <f>IF(G5="","",SLOPE(G$3:G5,B$3:B5))</f>
        <v>128.65999999999985</v>
      </c>
      <c r="J5" s="259">
        <f t="shared" si="5"/>
        <v>1.0789121821371179</v>
      </c>
      <c r="K5" s="3">
        <f t="shared" si="6"/>
        <v>2</v>
      </c>
      <c r="L5" s="260">
        <f t="shared" si="7"/>
        <v>2</v>
      </c>
      <c r="M5" s="4">
        <f t="shared" si="8"/>
        <v>3.8706976070305377</v>
      </c>
      <c r="N5" s="3">
        <f t="shared" si="9"/>
        <v>2</v>
      </c>
      <c r="O5" s="4">
        <f t="shared" si="10"/>
        <v>100</v>
      </c>
      <c r="P5" s="259">
        <f t="shared" si="11"/>
        <v>1</v>
      </c>
      <c r="Q5" s="3">
        <f t="shared" si="12"/>
        <v>2</v>
      </c>
      <c r="R5" s="260">
        <f t="shared" si="13"/>
        <v>0</v>
      </c>
      <c r="S5" s="3">
        <f t="shared" si="14"/>
        <v>2</v>
      </c>
      <c r="T5" s="4" t="str">
        <f t="shared" si="15"/>
        <v/>
      </c>
      <c r="U5" s="11">
        <f t="shared" si="16"/>
        <v>2</v>
      </c>
      <c r="V5" s="263" t="str">
        <f t="shared" si="17"/>
        <v/>
      </c>
      <c r="Y5"/>
    </row>
    <row r="6" spans="2:25" x14ac:dyDescent="0.2">
      <c r="B6" s="41">
        <f t="shared" si="2"/>
        <v>3</v>
      </c>
      <c r="C6" s="228">
        <f>[3]CRe!J5</f>
        <v>-58.199999999999818</v>
      </c>
      <c r="D6" s="228">
        <f>[3]CRe!L5</f>
        <v>-1.6542738249539481</v>
      </c>
      <c r="E6" s="3">
        <f t="shared" si="3"/>
        <v>3</v>
      </c>
      <c r="F6" s="4">
        <f t="shared" si="4"/>
        <v>199.11999999999989</v>
      </c>
      <c r="G6" s="4">
        <f t="shared" si="0"/>
        <v>3459.96</v>
      </c>
      <c r="H6" s="256">
        <f t="shared" si="1"/>
        <v>3459.96</v>
      </c>
      <c r="I6" s="4">
        <f>IF(G6="","",SLOPE(G$3:G6,B$3:B6))</f>
        <v>82.356999999999971</v>
      </c>
      <c r="J6" s="259">
        <f t="shared" si="5"/>
        <v>1.0789121821371179</v>
      </c>
      <c r="K6" s="3">
        <f t="shared" si="6"/>
        <v>3</v>
      </c>
      <c r="L6" s="260">
        <f t="shared" si="7"/>
        <v>2</v>
      </c>
      <c r="M6" s="4">
        <f t="shared" si="8"/>
        <v>3.8706976070305377</v>
      </c>
      <c r="N6" s="3">
        <f t="shared" si="9"/>
        <v>3</v>
      </c>
      <c r="O6" s="4">
        <f t="shared" si="10"/>
        <v>66.666666666666671</v>
      </c>
      <c r="P6" s="259">
        <f t="shared" si="11"/>
        <v>0.98345726175046055</v>
      </c>
      <c r="Q6" s="3">
        <f t="shared" si="12"/>
        <v>3</v>
      </c>
      <c r="R6" s="260">
        <f t="shared" si="13"/>
        <v>1</v>
      </c>
      <c r="S6" s="3">
        <f t="shared" si="14"/>
        <v>3</v>
      </c>
      <c r="T6" s="4">
        <f t="shared" si="15"/>
        <v>-1.6542738249539446</v>
      </c>
      <c r="U6" s="11">
        <f t="shared" si="16"/>
        <v>3</v>
      </c>
      <c r="V6" s="263">
        <f t="shared" si="17"/>
        <v>2.3398167514004515</v>
      </c>
      <c r="Y6"/>
    </row>
    <row r="7" spans="2:25" x14ac:dyDescent="0.2">
      <c r="B7" s="41">
        <f t="shared" si="2"/>
        <v>4</v>
      </c>
      <c r="C7" s="228">
        <f>[3]CRe!J6</f>
        <v>-33.570000000000164</v>
      </c>
      <c r="D7" s="228">
        <f>[3]CRe!L6</f>
        <v>-0.97024243054833481</v>
      </c>
      <c r="E7" s="3">
        <f t="shared" si="3"/>
        <v>4</v>
      </c>
      <c r="F7" s="4">
        <f t="shared" si="4"/>
        <v>165.54999999999973</v>
      </c>
      <c r="G7" s="4">
        <f t="shared" si="0"/>
        <v>3426.39</v>
      </c>
      <c r="H7" s="256">
        <f t="shared" si="1"/>
        <v>3426.39</v>
      </c>
      <c r="I7" s="4">
        <f>IF(G7="","",SLOPE(G$3:G7,B$3:B7))</f>
        <v>49.910999999999966</v>
      </c>
      <c r="J7" s="318">
        <f t="shared" si="5"/>
        <v>1.0789121821371179</v>
      </c>
      <c r="K7" s="3">
        <f t="shared" si="6"/>
        <v>4</v>
      </c>
      <c r="L7" s="260">
        <f t="shared" si="7"/>
        <v>2</v>
      </c>
      <c r="M7" s="4">
        <f t="shared" si="8"/>
        <v>3.8706976070305377</v>
      </c>
      <c r="N7" s="3">
        <f t="shared" si="9"/>
        <v>4</v>
      </c>
      <c r="O7" s="4">
        <f t="shared" si="10"/>
        <v>50</v>
      </c>
      <c r="P7" s="318">
        <f t="shared" si="11"/>
        <v>0.9739153421106489</v>
      </c>
      <c r="Q7" s="3">
        <f t="shared" si="12"/>
        <v>4</v>
      </c>
      <c r="R7" s="260">
        <f t="shared" si="13"/>
        <v>2</v>
      </c>
      <c r="S7" s="3">
        <f t="shared" si="14"/>
        <v>4</v>
      </c>
      <c r="T7" s="4">
        <f t="shared" si="15"/>
        <v>-1.3128507803245482</v>
      </c>
      <c r="U7" s="11">
        <f t="shared" si="16"/>
        <v>4</v>
      </c>
      <c r="V7" s="263">
        <f t="shared" si="17"/>
        <v>2.9483149684944907</v>
      </c>
      <c r="Y7"/>
    </row>
    <row r="8" spans="2:25" x14ac:dyDescent="0.2">
      <c r="B8" s="41">
        <f t="shared" si="2"/>
        <v>5</v>
      </c>
      <c r="C8" s="228">
        <f>[3]CRe!J7</f>
        <v>-36.400000000000091</v>
      </c>
      <c r="D8" s="228">
        <f>[3]CRe!L7</f>
        <v>-1.0623425821345525</v>
      </c>
      <c r="E8" s="3">
        <f t="shared" si="3"/>
        <v>5</v>
      </c>
      <c r="F8" s="4">
        <f t="shared" si="4"/>
        <v>129.14999999999964</v>
      </c>
      <c r="G8" s="4">
        <f t="shared" si="0"/>
        <v>3389.99</v>
      </c>
      <c r="H8" s="256">
        <f t="shared" si="1"/>
        <v>3389.99</v>
      </c>
      <c r="I8" s="4">
        <f>IF(G8="","",SLOPE(G$3:G8,B$3:B8))</f>
        <v>28.310571428571386</v>
      </c>
      <c r="J8" s="318">
        <f t="shared" si="5"/>
        <v>1.0789121821371179</v>
      </c>
      <c r="K8" s="3">
        <f t="shared" si="6"/>
        <v>5</v>
      </c>
      <c r="L8" s="260">
        <f t="shared" si="7"/>
        <v>2</v>
      </c>
      <c r="M8" s="4">
        <f t="shared" si="8"/>
        <v>3.8706976070305377</v>
      </c>
      <c r="N8" s="3">
        <f t="shared" si="9"/>
        <v>5</v>
      </c>
      <c r="O8" s="4">
        <f t="shared" si="10"/>
        <v>40</v>
      </c>
      <c r="P8" s="318">
        <f t="shared" si="11"/>
        <v>0.96356902471746597</v>
      </c>
      <c r="Q8" s="3">
        <f t="shared" si="12"/>
        <v>5</v>
      </c>
      <c r="R8" s="260">
        <f t="shared" si="13"/>
        <v>3</v>
      </c>
      <c r="S8" s="3">
        <f t="shared" si="14"/>
        <v>5</v>
      </c>
      <c r="T8" s="4">
        <f t="shared" si="15"/>
        <v>-1.2294186027777099</v>
      </c>
      <c r="U8" s="11">
        <f t="shared" si="16"/>
        <v>5</v>
      </c>
      <c r="V8" s="263">
        <f t="shared" si="17"/>
        <v>3.1483968099109649</v>
      </c>
      <c r="Y8"/>
    </row>
    <row r="9" spans="2:25" x14ac:dyDescent="0.2">
      <c r="B9" s="41">
        <f t="shared" si="2"/>
        <v>6</v>
      </c>
      <c r="C9" s="228">
        <f>[3]CRe!J8</f>
        <v>41.400000000000091</v>
      </c>
      <c r="D9" s="228">
        <f>[3]CRe!L8</f>
        <v>1.2212425405384704</v>
      </c>
      <c r="E9" s="3">
        <f t="shared" si="3"/>
        <v>6</v>
      </c>
      <c r="F9" s="4">
        <f t="shared" si="4"/>
        <v>170.54999999999973</v>
      </c>
      <c r="G9" s="4">
        <f t="shared" si="0"/>
        <v>3431.39</v>
      </c>
      <c r="H9" s="256">
        <f t="shared" si="1"/>
        <v>3431.39</v>
      </c>
      <c r="I9" s="4">
        <f>IF(G9="","",SLOPE(G$3:G9,B$3:B9))</f>
        <v>21.998571428571399</v>
      </c>
      <c r="J9" s="318">
        <f t="shared" si="5"/>
        <v>1.0920883166804285</v>
      </c>
      <c r="K9" s="3">
        <f t="shared" si="6"/>
        <v>6</v>
      </c>
      <c r="L9" s="260">
        <f t="shared" si="7"/>
        <v>3</v>
      </c>
      <c r="M9" s="4">
        <f t="shared" si="8"/>
        <v>2.9799287462295876</v>
      </c>
      <c r="N9" s="3">
        <f t="shared" si="9"/>
        <v>6</v>
      </c>
      <c r="O9" s="4">
        <f t="shared" si="10"/>
        <v>50</v>
      </c>
      <c r="P9" s="318">
        <f t="shared" si="11"/>
        <v>0.96356902471746597</v>
      </c>
      <c r="Q9" s="3">
        <f t="shared" si="12"/>
        <v>6</v>
      </c>
      <c r="R9" s="260">
        <f t="shared" si="13"/>
        <v>3</v>
      </c>
      <c r="S9" s="3">
        <f t="shared" si="14"/>
        <v>6</v>
      </c>
      <c r="T9" s="4">
        <f t="shared" si="15"/>
        <v>-1.2294186027777099</v>
      </c>
      <c r="U9" s="11">
        <f t="shared" si="16"/>
        <v>6</v>
      </c>
      <c r="V9" s="263">
        <f t="shared" si="17"/>
        <v>2.4238520057341169</v>
      </c>
      <c r="Y9"/>
    </row>
    <row r="10" spans="2:25" x14ac:dyDescent="0.2">
      <c r="B10" s="41">
        <f t="shared" si="2"/>
        <v>7</v>
      </c>
      <c r="C10" s="228">
        <f>[3]CRe!J9</f>
        <v>52.550000000000182</v>
      </c>
      <c r="D10" s="228">
        <f>[3]CRe!L9</f>
        <v>1.531449354343289</v>
      </c>
      <c r="E10" s="3">
        <f t="shared" si="3"/>
        <v>7</v>
      </c>
      <c r="F10" s="4">
        <f t="shared" si="4"/>
        <v>223.09999999999991</v>
      </c>
      <c r="G10" s="4">
        <f t="shared" si="0"/>
        <v>3483.94</v>
      </c>
      <c r="H10" s="256">
        <f t="shared" si="1"/>
        <v>3483.94</v>
      </c>
      <c r="I10" s="4">
        <f>IF(G10="","",SLOPE(G$3:G10,B$3:B10))</f>
        <v>21.9145238095238</v>
      </c>
      <c r="J10" s="318">
        <f t="shared" si="5"/>
        <v>1.1088130961550893</v>
      </c>
      <c r="K10" s="3">
        <f t="shared" si="6"/>
        <v>7</v>
      </c>
      <c r="L10" s="260">
        <f t="shared" si="7"/>
        <v>4</v>
      </c>
      <c r="M10" s="4">
        <f t="shared" si="8"/>
        <v>2.6158830294376711</v>
      </c>
      <c r="N10" s="3">
        <f t="shared" si="9"/>
        <v>7</v>
      </c>
      <c r="O10" s="4">
        <f t="shared" si="10"/>
        <v>57.142857142857146</v>
      </c>
      <c r="P10" s="318">
        <f t="shared" si="11"/>
        <v>0.96356902471746597</v>
      </c>
      <c r="Q10" s="3">
        <f t="shared" si="12"/>
        <v>7</v>
      </c>
      <c r="R10" s="260">
        <f t="shared" si="13"/>
        <v>3</v>
      </c>
      <c r="S10" s="3">
        <f t="shared" si="14"/>
        <v>7</v>
      </c>
      <c r="T10" s="4">
        <f t="shared" si="15"/>
        <v>-1.2294186027777099</v>
      </c>
      <c r="U10" s="11">
        <f t="shared" si="16"/>
        <v>7</v>
      </c>
      <c r="V10" s="263">
        <f t="shared" si="17"/>
        <v>2.1277399117984932</v>
      </c>
      <c r="Y10"/>
    </row>
    <row r="11" spans="2:25" x14ac:dyDescent="0.2">
      <c r="B11" s="41">
        <f t="shared" si="2"/>
        <v>8</v>
      </c>
      <c r="C11" s="228">
        <f>[3]CRe!J10</f>
        <v>-13.980000000000018</v>
      </c>
      <c r="D11" s="228">
        <f>[3]CRe!L10</f>
        <v>-0.40126982669047168</v>
      </c>
      <c r="E11" s="3">
        <f t="shared" si="3"/>
        <v>8</v>
      </c>
      <c r="F11" s="4">
        <f t="shared" si="4"/>
        <v>209.11999999999989</v>
      </c>
      <c r="G11" s="4">
        <f t="shared" si="0"/>
        <v>3469.96</v>
      </c>
      <c r="H11" s="256">
        <f t="shared" si="1"/>
        <v>3469.96</v>
      </c>
      <c r="I11" s="4">
        <f>IF(G11="","",SLOPE(G$3:G11,B$3:B11))</f>
        <v>19.482333333333333</v>
      </c>
      <c r="J11" s="318">
        <f t="shared" si="5"/>
        <v>1.1088130961550893</v>
      </c>
      <c r="K11" s="3">
        <f t="shared" si="6"/>
        <v>8</v>
      </c>
      <c r="L11" s="260">
        <f t="shared" si="7"/>
        <v>4</v>
      </c>
      <c r="M11" s="4">
        <f t="shared" si="8"/>
        <v>2.6158830294376711</v>
      </c>
      <c r="N11" s="3">
        <f t="shared" si="9"/>
        <v>8</v>
      </c>
      <c r="O11" s="4">
        <f t="shared" si="10"/>
        <v>50</v>
      </c>
      <c r="P11" s="318">
        <f t="shared" si="11"/>
        <v>0.95970251296193909</v>
      </c>
      <c r="Q11" s="3">
        <f t="shared" si="12"/>
        <v>8</v>
      </c>
      <c r="R11" s="260">
        <f t="shared" si="13"/>
        <v>4</v>
      </c>
      <c r="S11" s="3">
        <f t="shared" si="14"/>
        <v>8</v>
      </c>
      <c r="T11" s="4">
        <f t="shared" si="15"/>
        <v>-1.0230292122364704</v>
      </c>
      <c r="U11" s="11">
        <f t="shared" si="16"/>
        <v>8</v>
      </c>
      <c r="V11" s="263">
        <f t="shared" si="17"/>
        <v>2.5569973937684751</v>
      </c>
      <c r="Y11"/>
    </row>
    <row r="12" spans="2:25" ht="13.5" thickBot="1" x14ac:dyDescent="0.25">
      <c r="B12" s="41">
        <f t="shared" si="2"/>
        <v>9</v>
      </c>
      <c r="C12" s="228">
        <f>[3]CRe!J11</f>
        <v>-10.920000000000073</v>
      </c>
      <c r="D12" s="228">
        <f>[3]CRe!L11</f>
        <v>-0.31470103401768529</v>
      </c>
      <c r="E12" s="3">
        <f t="shared" si="3"/>
        <v>9</v>
      </c>
      <c r="F12" s="265">
        <f t="shared" si="4"/>
        <v>198.19999999999982</v>
      </c>
      <c r="G12" s="4">
        <f t="shared" si="0"/>
        <v>3459.04</v>
      </c>
      <c r="H12" s="256">
        <f t="shared" si="1"/>
        <v>3459.04</v>
      </c>
      <c r="I12" s="266">
        <f>IF(G12="","",SLOPE(G$3:G12,B$3:B12))</f>
        <v>16.585818181818183</v>
      </c>
      <c r="J12" s="318">
        <f t="shared" si="5"/>
        <v>1.1088130961550893</v>
      </c>
      <c r="K12" s="3">
        <f t="shared" si="6"/>
        <v>9</v>
      </c>
      <c r="L12" s="260">
        <f t="shared" si="7"/>
        <v>4</v>
      </c>
      <c r="M12" s="4">
        <f t="shared" si="8"/>
        <v>2.6158830294376711</v>
      </c>
      <c r="N12" s="3">
        <f t="shared" si="9"/>
        <v>9</v>
      </c>
      <c r="O12" s="4">
        <f t="shared" si="10"/>
        <v>44.444444444444443</v>
      </c>
      <c r="P12" s="318">
        <f t="shared" si="11"/>
        <v>0.95668231923015412</v>
      </c>
      <c r="Q12" s="3">
        <f t="shared" si="12"/>
        <v>9</v>
      </c>
      <c r="R12" s="260">
        <f t="shared" si="13"/>
        <v>5</v>
      </c>
      <c r="S12" s="3">
        <f t="shared" si="14"/>
        <v>9</v>
      </c>
      <c r="T12" s="4">
        <f t="shared" si="15"/>
        <v>-0.88176737571195041</v>
      </c>
      <c r="U12" s="11">
        <f t="shared" si="16"/>
        <v>9</v>
      </c>
      <c r="V12" s="263">
        <f t="shared" si="17"/>
        <v>2.9666362143706819</v>
      </c>
      <c r="Y12"/>
    </row>
    <row r="13" spans="2:25" x14ac:dyDescent="0.2">
      <c r="B13" s="41">
        <f t="shared" si="2"/>
        <v>10</v>
      </c>
      <c r="C13" s="228">
        <f>[3]CRe!J12</f>
        <v>-46.349999999999909</v>
      </c>
      <c r="D13" s="228">
        <f>[3]CRe!L12</f>
        <v>-1.3399671585179678</v>
      </c>
      <c r="E13" s="43">
        <f t="shared" si="3"/>
        <v>10</v>
      </c>
      <c r="F13" s="45">
        <f t="shared" si="4"/>
        <v>151.84999999999991</v>
      </c>
      <c r="G13" s="267">
        <f t="shared" si="0"/>
        <v>3412.69</v>
      </c>
      <c r="H13" s="257">
        <f t="shared" si="1"/>
        <v>3412.69</v>
      </c>
      <c r="I13" s="45">
        <f>IF(G13="","",SLOPE(G$3:G13,B$3:B13))</f>
        <v>12.145181818181825</v>
      </c>
      <c r="J13" s="318">
        <f t="shared" si="5"/>
        <v>1.1088130961550893</v>
      </c>
      <c r="K13" s="3">
        <f t="shared" si="6"/>
        <v>10</v>
      </c>
      <c r="L13" s="260">
        <f t="shared" si="7"/>
        <v>4</v>
      </c>
      <c r="M13" s="4">
        <f t="shared" si="8"/>
        <v>2.6158830294376711</v>
      </c>
      <c r="N13" s="3">
        <f t="shared" si="9"/>
        <v>10</v>
      </c>
      <c r="O13" s="4">
        <f t="shared" si="10"/>
        <v>40</v>
      </c>
      <c r="P13" s="320">
        <f t="shared" si="11"/>
        <v>0.94386309034112204</v>
      </c>
      <c r="Q13" s="3">
        <f t="shared" si="12"/>
        <v>10</v>
      </c>
      <c r="R13" s="260">
        <f t="shared" si="13"/>
        <v>6</v>
      </c>
      <c r="S13" s="3">
        <f t="shared" si="14"/>
        <v>10</v>
      </c>
      <c r="T13" s="4">
        <f t="shared" si="15"/>
        <v>-0.95828151666683681</v>
      </c>
      <c r="U13" s="11">
        <f t="shared" si="16"/>
        <v>10</v>
      </c>
      <c r="V13" s="263">
        <f t="shared" si="17"/>
        <v>2.7297646713842738</v>
      </c>
      <c r="Y13"/>
    </row>
    <row r="14" spans="2:25" x14ac:dyDescent="0.2">
      <c r="B14" s="41">
        <f t="shared" si="2"/>
        <v>11</v>
      </c>
      <c r="C14" s="228">
        <f>[3]CRe!J13</f>
        <v>-4.1399999999998727</v>
      </c>
      <c r="D14" s="228">
        <f>[3]CRe!L13</f>
        <v>-0.121311926954979</v>
      </c>
      <c r="E14" s="43">
        <f t="shared" si="3"/>
        <v>11</v>
      </c>
      <c r="F14" s="46">
        <f t="shared" si="4"/>
        <v>147.71000000000004</v>
      </c>
      <c r="G14" s="267">
        <f t="shared" si="0"/>
        <v>3408.55</v>
      </c>
      <c r="H14" s="257">
        <f t="shared" si="1"/>
        <v>3408.55</v>
      </c>
      <c r="I14" s="46">
        <f>IF(G14="","",SLOPE(G$3:G14,B$3:B14))</f>
        <v>8.9569230769230899</v>
      </c>
      <c r="J14" s="318">
        <f t="shared" si="5"/>
        <v>1.1088130961550893</v>
      </c>
      <c r="K14" s="3">
        <f t="shared" si="6"/>
        <v>11</v>
      </c>
      <c r="L14" s="260">
        <f t="shared" si="7"/>
        <v>4</v>
      </c>
      <c r="M14" s="4">
        <f t="shared" si="8"/>
        <v>2.6158830294376711</v>
      </c>
      <c r="N14" s="3">
        <f t="shared" si="9"/>
        <v>11</v>
      </c>
      <c r="O14" s="4">
        <f t="shared" si="10"/>
        <v>36.363636363636367</v>
      </c>
      <c r="P14" s="320">
        <f t="shared" si="11"/>
        <v>0.94271807183841239</v>
      </c>
      <c r="Q14" s="3">
        <f t="shared" si="12"/>
        <v>11</v>
      </c>
      <c r="R14" s="260">
        <f t="shared" si="13"/>
        <v>7</v>
      </c>
      <c r="S14" s="3">
        <f t="shared" si="14"/>
        <v>11</v>
      </c>
      <c r="T14" s="4">
        <f t="shared" si="15"/>
        <v>-0.83914521897907601</v>
      </c>
      <c r="U14" s="11">
        <f t="shared" si="16"/>
        <v>11</v>
      </c>
      <c r="V14" s="263">
        <f t="shared" si="17"/>
        <v>3.1173186360046437</v>
      </c>
      <c r="Y14"/>
    </row>
    <row r="15" spans="2:25" x14ac:dyDescent="0.2">
      <c r="B15" s="41">
        <f t="shared" si="2"/>
        <v>12</v>
      </c>
      <c r="C15" s="228">
        <f>[3]CRe!J14</f>
        <v>-27.240000000000236</v>
      </c>
      <c r="D15" s="228">
        <f>[3]CRe!L14</f>
        <v>-0.7991668011324532</v>
      </c>
      <c r="E15" s="43">
        <f t="shared" si="3"/>
        <v>12</v>
      </c>
      <c r="F15" s="46">
        <f t="shared" si="4"/>
        <v>120.4699999999998</v>
      </c>
      <c r="G15" s="267">
        <f t="shared" si="0"/>
        <v>3381.31</v>
      </c>
      <c r="H15" s="257">
        <f t="shared" si="1"/>
        <v>3381.31</v>
      </c>
      <c r="I15" s="46">
        <f>IF(G15="","",SLOPE(G$3:G15,B$3:B15))</f>
        <v>5.8366483516483614</v>
      </c>
      <c r="J15" s="318">
        <f t="shared" si="5"/>
        <v>1.1088130961550893</v>
      </c>
      <c r="K15" s="3">
        <f t="shared" si="6"/>
        <v>12</v>
      </c>
      <c r="L15" s="260">
        <f t="shared" si="7"/>
        <v>4</v>
      </c>
      <c r="M15" s="4">
        <f t="shared" si="8"/>
        <v>2.6158830294376711</v>
      </c>
      <c r="N15" s="3">
        <f t="shared" si="9"/>
        <v>12</v>
      </c>
      <c r="O15" s="4">
        <f t="shared" si="10"/>
        <v>33.333333333333336</v>
      </c>
      <c r="P15" s="320">
        <f t="shared" si="11"/>
        <v>0.93518418198000375</v>
      </c>
      <c r="Q15" s="3">
        <f t="shared" si="12"/>
        <v>12</v>
      </c>
      <c r="R15" s="260">
        <f t="shared" si="13"/>
        <v>8</v>
      </c>
      <c r="S15" s="3">
        <f t="shared" si="14"/>
        <v>12</v>
      </c>
      <c r="T15" s="4">
        <f t="shared" si="15"/>
        <v>-0.8341487979789064</v>
      </c>
      <c r="U15" s="11">
        <f t="shared" si="16"/>
        <v>12</v>
      </c>
      <c r="V15" s="263">
        <f t="shared" si="17"/>
        <v>3.1359908876879068</v>
      </c>
      <c r="Y15"/>
    </row>
    <row r="16" spans="2:25" x14ac:dyDescent="0.2">
      <c r="B16" s="41">
        <f t="shared" si="2"/>
        <v>13</v>
      </c>
      <c r="C16" s="228">
        <f>[3]CRe!J15</f>
        <v>-128.36000000000013</v>
      </c>
      <c r="D16" s="228">
        <f>[3]CRe!L15</f>
        <v>-3.7961618425994699</v>
      </c>
      <c r="E16" s="43">
        <f t="shared" si="3"/>
        <v>13</v>
      </c>
      <c r="F16" s="46">
        <f t="shared" si="4"/>
        <v>-7.8900000000003274</v>
      </c>
      <c r="G16" s="267">
        <f t="shared" si="0"/>
        <v>3252.95</v>
      </c>
      <c r="H16" s="257">
        <f t="shared" si="1"/>
        <v>3252.95</v>
      </c>
      <c r="I16" s="46">
        <f>IF(G16="","",SLOPE(G$3:G16,B$3:B16))</f>
        <v>4.11428571428607E-2</v>
      </c>
      <c r="J16" s="318">
        <f t="shared" si="5"/>
        <v>1.1088130961550893</v>
      </c>
      <c r="K16" s="3">
        <f t="shared" si="6"/>
        <v>13</v>
      </c>
      <c r="L16" s="260">
        <f t="shared" si="7"/>
        <v>4</v>
      </c>
      <c r="M16" s="4">
        <f t="shared" si="8"/>
        <v>2.6158830294376711</v>
      </c>
      <c r="N16" s="3">
        <f t="shared" si="9"/>
        <v>13</v>
      </c>
      <c r="O16" s="4">
        <f t="shared" si="10"/>
        <v>30.76923076923077</v>
      </c>
      <c r="P16" s="320">
        <f t="shared" si="11"/>
        <v>0.89968307690565286</v>
      </c>
      <c r="Q16" s="3">
        <f t="shared" si="12"/>
        <v>13</v>
      </c>
      <c r="R16" s="260">
        <f t="shared" si="13"/>
        <v>9</v>
      </c>
      <c r="S16" s="3">
        <f t="shared" si="14"/>
        <v>13</v>
      </c>
      <c r="T16" s="4">
        <f t="shared" si="15"/>
        <v>-1.1677143875502893</v>
      </c>
      <c r="U16" s="11">
        <f t="shared" si="16"/>
        <v>13</v>
      </c>
      <c r="V16" s="263">
        <f t="shared" si="17"/>
        <v>2.240173673740073</v>
      </c>
      <c r="Y16"/>
    </row>
    <row r="17" spans="2:25" x14ac:dyDescent="0.2">
      <c r="B17" s="41">
        <f t="shared" si="2"/>
        <v>14</v>
      </c>
      <c r="C17" s="228">
        <f>[3]CRe!J16</f>
        <v>14.910000000000309</v>
      </c>
      <c r="D17" s="228">
        <f>[3]CRe!L16</f>
        <v>0.45835318710709694</v>
      </c>
      <c r="E17" s="43">
        <f t="shared" si="3"/>
        <v>14</v>
      </c>
      <c r="F17" s="46">
        <f t="shared" si="4"/>
        <v>7.0199999999999818</v>
      </c>
      <c r="G17" s="267">
        <f t="shared" si="0"/>
        <v>3267.86</v>
      </c>
      <c r="H17" s="257">
        <f t="shared" si="1"/>
        <v>3267.86</v>
      </c>
      <c r="I17" s="46">
        <f>IF(G17="","",SLOPE(G$3:G17,B$3:B17))</f>
        <v>-3.3542142857142787</v>
      </c>
      <c r="J17" s="318">
        <f t="shared" si="5"/>
        <v>1.1138953763203769</v>
      </c>
      <c r="K17" s="3">
        <f t="shared" si="6"/>
        <v>14</v>
      </c>
      <c r="L17" s="260">
        <f t="shared" si="7"/>
        <v>5</v>
      </c>
      <c r="M17" s="4">
        <f t="shared" si="8"/>
        <v>2.1807015783540162</v>
      </c>
      <c r="N17" s="3">
        <f t="shared" si="9"/>
        <v>14</v>
      </c>
      <c r="O17" s="4">
        <f t="shared" si="10"/>
        <v>35.714285714285715</v>
      </c>
      <c r="P17" s="320">
        <f t="shared" si="11"/>
        <v>0.89968307690565286</v>
      </c>
      <c r="Q17" s="3">
        <f t="shared" si="12"/>
        <v>14</v>
      </c>
      <c r="R17" s="260">
        <f t="shared" si="13"/>
        <v>9</v>
      </c>
      <c r="S17" s="3">
        <f t="shared" si="14"/>
        <v>14</v>
      </c>
      <c r="T17" s="4">
        <f t="shared" si="15"/>
        <v>-1.1677143875502893</v>
      </c>
      <c r="U17" s="11">
        <f t="shared" si="16"/>
        <v>14</v>
      </c>
      <c r="V17" s="263">
        <f t="shared" si="17"/>
        <v>1.8674956835368282</v>
      </c>
      <c r="Y17"/>
    </row>
    <row r="18" spans="2:25" x14ac:dyDescent="0.2">
      <c r="B18" s="41">
        <f t="shared" si="2"/>
        <v>15</v>
      </c>
      <c r="C18" s="228">
        <f>[3]CRe!J17</f>
        <v>-1.9100000000003092</v>
      </c>
      <c r="D18" s="228">
        <f>[3]CRe!L17</f>
        <v>-5.8448036329595186E-2</v>
      </c>
      <c r="E18" s="43">
        <f t="shared" si="3"/>
        <v>15</v>
      </c>
      <c r="F18" s="46">
        <f t="shared" si="4"/>
        <v>5.1099999999996726</v>
      </c>
      <c r="G18" s="267">
        <f t="shared" si="0"/>
        <v>3265.95</v>
      </c>
      <c r="H18" s="257">
        <f t="shared" si="1"/>
        <v>3265.95</v>
      </c>
      <c r="I18" s="46">
        <f>IF(G18="","",SLOPE(G$3:G18,B$3:B18))</f>
        <v>-5.5942499999999979</v>
      </c>
      <c r="J18" s="318">
        <f t="shared" si="5"/>
        <v>1.1138953763203769</v>
      </c>
      <c r="K18" s="3">
        <f t="shared" si="6"/>
        <v>15</v>
      </c>
      <c r="L18" s="260">
        <f t="shared" si="7"/>
        <v>5</v>
      </c>
      <c r="M18" s="4">
        <f t="shared" si="8"/>
        <v>2.1807015783540162</v>
      </c>
      <c r="N18" s="3">
        <f t="shared" si="9"/>
        <v>15</v>
      </c>
      <c r="O18" s="4">
        <f t="shared" si="10"/>
        <v>33.333333333333336</v>
      </c>
      <c r="P18" s="320">
        <f t="shared" si="11"/>
        <v>0.8991572298140118</v>
      </c>
      <c r="Q18" s="3">
        <f t="shared" si="12"/>
        <v>15</v>
      </c>
      <c r="R18" s="260">
        <f t="shared" si="13"/>
        <v>10</v>
      </c>
      <c r="S18" s="3">
        <f t="shared" si="14"/>
        <v>15</v>
      </c>
      <c r="T18" s="4">
        <f t="shared" si="15"/>
        <v>-1.0573440565628367</v>
      </c>
      <c r="U18" s="11">
        <f t="shared" si="16"/>
        <v>15</v>
      </c>
      <c r="V18" s="263">
        <f t="shared" si="17"/>
        <v>2.0624332872716344</v>
      </c>
      <c r="Y18"/>
    </row>
    <row r="19" spans="2:25" x14ac:dyDescent="0.2">
      <c r="B19" s="41">
        <f t="shared" si="2"/>
        <v>16</v>
      </c>
      <c r="C19" s="228">
        <f>[3]CRe!J18</f>
        <v>-16.5</v>
      </c>
      <c r="D19" s="228">
        <f>[3]CRe!L18</f>
        <v>-0.50521287833555328</v>
      </c>
      <c r="E19" s="43">
        <f t="shared" si="3"/>
        <v>16</v>
      </c>
      <c r="F19" s="46">
        <f t="shared" si="4"/>
        <v>-11.390000000000327</v>
      </c>
      <c r="G19" s="267">
        <f t="shared" si="0"/>
        <v>3249.45</v>
      </c>
      <c r="H19" s="257">
        <f t="shared" si="1"/>
        <v>3249.45</v>
      </c>
      <c r="I19" s="46">
        <f>IF(G19="","",SLOPE(G$3:G19,B$3:B19))</f>
        <v>-7.3453676470588247</v>
      </c>
      <c r="J19" s="318">
        <f t="shared" si="5"/>
        <v>1.1138953763203769</v>
      </c>
      <c r="K19" s="3">
        <f t="shared" si="6"/>
        <v>16</v>
      </c>
      <c r="L19" s="260">
        <f t="shared" si="7"/>
        <v>5</v>
      </c>
      <c r="M19" s="4">
        <f t="shared" si="8"/>
        <v>2.1807015783540162</v>
      </c>
      <c r="N19" s="3">
        <f t="shared" si="9"/>
        <v>16</v>
      </c>
      <c r="O19" s="4">
        <f t="shared" si="10"/>
        <v>31.25</v>
      </c>
      <c r="P19" s="320">
        <f t="shared" si="11"/>
        <v>0.89461457169250624</v>
      </c>
      <c r="Q19" s="3">
        <f t="shared" si="12"/>
        <v>16</v>
      </c>
      <c r="R19" s="260">
        <f t="shared" si="13"/>
        <v>11</v>
      </c>
      <c r="S19" s="3">
        <f t="shared" si="14"/>
        <v>16</v>
      </c>
      <c r="T19" s="4">
        <f t="shared" si="15"/>
        <v>-1.0072771795692437</v>
      </c>
      <c r="U19" s="11">
        <f t="shared" si="16"/>
        <v>16</v>
      </c>
      <c r="V19" s="263">
        <f t="shared" si="17"/>
        <v>2.1649468712143172</v>
      </c>
      <c r="Y19"/>
    </row>
    <row r="20" spans="2:25" x14ac:dyDescent="0.2">
      <c r="B20" s="41">
        <f t="shared" si="2"/>
        <v>17</v>
      </c>
      <c r="C20" s="228">
        <f>[3]CRe!J19</f>
        <v>-29.75</v>
      </c>
      <c r="D20" s="228">
        <f>[3]CRe!L19</f>
        <v>-0.91553955284740496</v>
      </c>
      <c r="E20" s="43">
        <f t="shared" si="3"/>
        <v>17</v>
      </c>
      <c r="F20" s="46">
        <f t="shared" si="4"/>
        <v>-41.140000000000327</v>
      </c>
      <c r="G20" s="267">
        <f t="shared" si="0"/>
        <v>3219.7</v>
      </c>
      <c r="H20" s="257">
        <f t="shared" si="1"/>
        <v>3219.7</v>
      </c>
      <c r="I20" s="46">
        <f>IF(G20="","",SLOPE(G$3:G20,B$3:B20))</f>
        <v>-8.9672858617131102</v>
      </c>
      <c r="J20" s="318">
        <f t="shared" si="5"/>
        <v>1.1138953763203769</v>
      </c>
      <c r="K20" s="3">
        <f t="shared" si="6"/>
        <v>17</v>
      </c>
      <c r="L20" s="260">
        <f t="shared" si="7"/>
        <v>5</v>
      </c>
      <c r="M20" s="4">
        <f t="shared" si="8"/>
        <v>2.1807015783540162</v>
      </c>
      <c r="N20" s="3">
        <f t="shared" si="9"/>
        <v>17</v>
      </c>
      <c r="O20" s="4">
        <f t="shared" si="10"/>
        <v>29.411764705882351</v>
      </c>
      <c r="P20" s="320">
        <f t="shared" si="11"/>
        <v>0.88642402144312504</v>
      </c>
      <c r="Q20" s="3">
        <f t="shared" si="12"/>
        <v>17</v>
      </c>
      <c r="R20" s="260">
        <f t="shared" si="13"/>
        <v>12</v>
      </c>
      <c r="S20" s="3">
        <f t="shared" si="14"/>
        <v>17</v>
      </c>
      <c r="T20" s="4">
        <f t="shared" si="15"/>
        <v>-0.99963562249332227</v>
      </c>
      <c r="U20" s="11">
        <f t="shared" si="16"/>
        <v>17</v>
      </c>
      <c r="V20" s="263">
        <f t="shared" si="17"/>
        <v>2.1814964665973413</v>
      </c>
      <c r="Y20"/>
    </row>
    <row r="21" spans="2:25" x14ac:dyDescent="0.2">
      <c r="B21" s="41">
        <f t="shared" si="2"/>
        <v>18</v>
      </c>
      <c r="C21" s="228">
        <f>[3]CRe!J20</f>
        <v>-26.699999999999818</v>
      </c>
      <c r="D21" s="228">
        <f>[3]CRe!L20</f>
        <v>-0.82926980774605774</v>
      </c>
      <c r="E21" s="43">
        <f t="shared" si="3"/>
        <v>18</v>
      </c>
      <c r="F21" s="46">
        <f t="shared" si="4"/>
        <v>-67.840000000000146</v>
      </c>
      <c r="G21" s="267">
        <f t="shared" si="0"/>
        <v>3193</v>
      </c>
      <c r="H21" s="257">
        <f t="shared" si="1"/>
        <v>3193</v>
      </c>
      <c r="I21" s="46">
        <f>IF(G21="","",SLOPE(G$3:G21,B$3:B21))</f>
        <v>-10.408228070175442</v>
      </c>
      <c r="J21" s="318">
        <f t="shared" si="5"/>
        <v>1.1138953763203769</v>
      </c>
      <c r="K21" s="3">
        <f t="shared" si="6"/>
        <v>18</v>
      </c>
      <c r="L21" s="260">
        <f t="shared" si="7"/>
        <v>5</v>
      </c>
      <c r="M21" s="4">
        <f t="shared" si="8"/>
        <v>2.1807015783540162</v>
      </c>
      <c r="N21" s="3">
        <f t="shared" si="9"/>
        <v>18</v>
      </c>
      <c r="O21" s="4">
        <f t="shared" si="10"/>
        <v>27.777777777777779</v>
      </c>
      <c r="P21" s="320">
        <f t="shared" si="11"/>
        <v>0.87907317466468882</v>
      </c>
      <c r="Q21" s="3">
        <f t="shared" si="12"/>
        <v>18</v>
      </c>
      <c r="R21" s="260">
        <f t="shared" si="13"/>
        <v>13</v>
      </c>
      <c r="S21" s="3">
        <f t="shared" si="14"/>
        <v>18</v>
      </c>
      <c r="T21" s="4">
        <f t="shared" si="15"/>
        <v>-0.98654095696119048</v>
      </c>
      <c r="U21" s="11">
        <f t="shared" si="16"/>
        <v>18</v>
      </c>
      <c r="V21" s="263">
        <f t="shared" si="17"/>
        <v>2.2104521489621263</v>
      </c>
      <c r="Y21"/>
    </row>
    <row r="22" spans="2:25" x14ac:dyDescent="0.2">
      <c r="B22" s="41">
        <f t="shared" si="2"/>
        <v>19</v>
      </c>
      <c r="C22" s="228">
        <f>[3]CRe!J21</f>
        <v>13.800000000000182</v>
      </c>
      <c r="D22" s="228">
        <f>[3]CRe!L21</f>
        <v>0.43219542749765683</v>
      </c>
      <c r="E22" s="43">
        <f t="shared" si="3"/>
        <v>19</v>
      </c>
      <c r="F22" s="46">
        <f t="shared" si="4"/>
        <v>-54.039999999999964</v>
      </c>
      <c r="G22" s="267">
        <f t="shared" si="0"/>
        <v>3206.8</v>
      </c>
      <c r="H22" s="257">
        <f t="shared" si="1"/>
        <v>3206.8</v>
      </c>
      <c r="I22" s="46">
        <f>IF(G22="","",SLOPE(G$3:G22,B$3:B22))</f>
        <v>-11.112225563909773</v>
      </c>
      <c r="J22" s="318">
        <f t="shared" si="5"/>
        <v>1.1187095812039414</v>
      </c>
      <c r="K22" s="3">
        <f t="shared" si="6"/>
        <v>19</v>
      </c>
      <c r="L22" s="260">
        <f t="shared" si="7"/>
        <v>6</v>
      </c>
      <c r="M22" s="4">
        <f t="shared" si="8"/>
        <v>1.8871840953511132</v>
      </c>
      <c r="N22" s="3">
        <f t="shared" si="9"/>
        <v>19</v>
      </c>
      <c r="O22" s="4">
        <f t="shared" si="10"/>
        <v>31.578947368421051</v>
      </c>
      <c r="P22" s="320">
        <f t="shared" si="11"/>
        <v>0.87907317466468882</v>
      </c>
      <c r="Q22" s="3">
        <f t="shared" si="12"/>
        <v>19</v>
      </c>
      <c r="R22" s="260">
        <f t="shared" si="13"/>
        <v>13</v>
      </c>
      <c r="S22" s="3">
        <f t="shared" si="14"/>
        <v>19</v>
      </c>
      <c r="T22" s="4">
        <f t="shared" si="15"/>
        <v>-0.98654095696119048</v>
      </c>
      <c r="U22" s="11">
        <f t="shared" si="16"/>
        <v>19</v>
      </c>
      <c r="V22" s="263">
        <f t="shared" si="17"/>
        <v>1.9129303066789483</v>
      </c>
      <c r="Y22"/>
    </row>
    <row r="23" spans="2:25" x14ac:dyDescent="0.2">
      <c r="B23" s="41">
        <f t="shared" si="2"/>
        <v>20</v>
      </c>
      <c r="C23" s="228">
        <f>[3]CRe!J22</f>
        <v>19.409999999999854</v>
      </c>
      <c r="D23" s="228">
        <f>[3]CRe!L22</f>
        <v>0.60527628788823296</v>
      </c>
      <c r="E23" s="43">
        <f t="shared" si="3"/>
        <v>20</v>
      </c>
      <c r="F23" s="46">
        <f t="shared" si="4"/>
        <v>-34.630000000000109</v>
      </c>
      <c r="G23" s="267">
        <f t="shared" si="0"/>
        <v>3226.21</v>
      </c>
      <c r="H23" s="257">
        <f t="shared" si="1"/>
        <v>3226.21</v>
      </c>
      <c r="I23" s="46">
        <f>IF(G23="","",SLOPE(G$3:G23,B$3:B23))</f>
        <v>-11.236974025974023</v>
      </c>
      <c r="J23" s="318">
        <f t="shared" si="5"/>
        <v>1.1254808650293024</v>
      </c>
      <c r="K23" s="3">
        <f t="shared" si="6"/>
        <v>20</v>
      </c>
      <c r="L23" s="260">
        <f t="shared" si="7"/>
        <v>7</v>
      </c>
      <c r="M23" s="4">
        <f t="shared" si="8"/>
        <v>1.7030591885255353</v>
      </c>
      <c r="N23" s="3">
        <f t="shared" si="9"/>
        <v>20</v>
      </c>
      <c r="O23" s="4">
        <f t="shared" si="10"/>
        <v>35</v>
      </c>
      <c r="P23" s="320">
        <f t="shared" si="11"/>
        <v>0.87907317466468882</v>
      </c>
      <c r="Q23" s="3">
        <f t="shared" si="12"/>
        <v>20</v>
      </c>
      <c r="R23" s="260">
        <f t="shared" si="13"/>
        <v>13</v>
      </c>
      <c r="S23" s="3">
        <f t="shared" si="14"/>
        <v>20</v>
      </c>
      <c r="T23" s="4">
        <f t="shared" si="15"/>
        <v>-0.98654095696119048</v>
      </c>
      <c r="U23" s="11">
        <f t="shared" si="16"/>
        <v>20</v>
      </c>
      <c r="V23" s="263">
        <f t="shared" si="17"/>
        <v>1.7262934463171324</v>
      </c>
      <c r="Y23"/>
    </row>
    <row r="24" spans="2:25" x14ac:dyDescent="0.2">
      <c r="B24" s="41">
        <f t="shared" si="2"/>
        <v>21</v>
      </c>
      <c r="C24" s="228">
        <f>[3]CRe!J23</f>
        <v>1.4000000000000909</v>
      </c>
      <c r="D24" s="228">
        <f>[3]CRe!L23</f>
        <v>4.3394571339128295E-2</v>
      </c>
      <c r="E24" s="43">
        <f t="shared" si="3"/>
        <v>21</v>
      </c>
      <c r="F24" s="46">
        <f t="shared" si="4"/>
        <v>-33.230000000000018</v>
      </c>
      <c r="G24" s="267">
        <f t="shared" si="0"/>
        <v>3227.61</v>
      </c>
      <c r="H24" s="257">
        <f t="shared" si="1"/>
        <v>3227.61</v>
      </c>
      <c r="I24" s="46">
        <f>IF(G24="","",SLOPE(G$3:G24,B$3:B24))</f>
        <v>-11.180813099943531</v>
      </c>
      <c r="J24" s="318">
        <f t="shared" si="5"/>
        <v>1.1259692626261859</v>
      </c>
      <c r="K24" s="3">
        <f t="shared" si="6"/>
        <v>21</v>
      </c>
      <c r="L24" s="260">
        <f t="shared" si="7"/>
        <v>8</v>
      </c>
      <c r="M24" s="4">
        <f t="shared" si="8"/>
        <v>1.494104690247422</v>
      </c>
      <c r="N24" s="3">
        <f t="shared" si="9"/>
        <v>21</v>
      </c>
      <c r="O24" s="4">
        <f t="shared" si="10"/>
        <v>38.095238095238095</v>
      </c>
      <c r="P24" s="320">
        <f t="shared" si="11"/>
        <v>0.87907317466468882</v>
      </c>
      <c r="Q24" s="3">
        <f t="shared" si="12"/>
        <v>21</v>
      </c>
      <c r="R24" s="260">
        <f t="shared" si="13"/>
        <v>13</v>
      </c>
      <c r="S24" s="3">
        <f t="shared" si="14"/>
        <v>21</v>
      </c>
      <c r="T24" s="4">
        <f t="shared" si="15"/>
        <v>-0.98654095696119048</v>
      </c>
      <c r="U24" s="11">
        <f t="shared" si="16"/>
        <v>21</v>
      </c>
      <c r="V24" s="263">
        <f t="shared" si="17"/>
        <v>1.5144882528239509</v>
      </c>
      <c r="Y24"/>
    </row>
    <row r="25" spans="2:25" x14ac:dyDescent="0.2">
      <c r="B25" s="41">
        <f t="shared" si="2"/>
        <v>22</v>
      </c>
      <c r="C25" s="228">
        <f>[3]CRe!J24</f>
        <v>-1.5799999999999272</v>
      </c>
      <c r="D25" s="228">
        <f>[3]CRe!L24</f>
        <v>-4.8952630584238092E-2</v>
      </c>
      <c r="E25" s="43">
        <f t="shared" si="3"/>
        <v>22</v>
      </c>
      <c r="F25" s="46">
        <f t="shared" si="4"/>
        <v>-34.809999999999945</v>
      </c>
      <c r="G25" s="267">
        <f t="shared" si="0"/>
        <v>3226.03</v>
      </c>
      <c r="H25" s="257">
        <f t="shared" si="1"/>
        <v>3226.03</v>
      </c>
      <c r="I25" s="46">
        <f>IF(G25="","",SLOPE(G$3:G25,B$3:B25))</f>
        <v>-11.033725296442684</v>
      </c>
      <c r="J25" s="318">
        <f t="shared" si="5"/>
        <v>1.1259692626261859</v>
      </c>
      <c r="K25" s="3">
        <f t="shared" si="6"/>
        <v>22</v>
      </c>
      <c r="L25" s="260">
        <f t="shared" si="7"/>
        <v>8</v>
      </c>
      <c r="M25" s="4">
        <f t="shared" si="8"/>
        <v>1.494104690247422</v>
      </c>
      <c r="N25" s="3">
        <f t="shared" si="9"/>
        <v>22</v>
      </c>
      <c r="O25" s="4">
        <f t="shared" si="10"/>
        <v>36.363636363636367</v>
      </c>
      <c r="P25" s="320">
        <f t="shared" si="11"/>
        <v>0.87864284522093006</v>
      </c>
      <c r="Q25" s="3">
        <f t="shared" si="12"/>
        <v>22</v>
      </c>
      <c r="R25" s="260">
        <f t="shared" si="13"/>
        <v>14</v>
      </c>
      <c r="S25" s="3">
        <f t="shared" si="14"/>
        <v>22</v>
      </c>
      <c r="T25" s="4">
        <f t="shared" si="15"/>
        <v>-0.91986301586138852</v>
      </c>
      <c r="U25" s="11">
        <f t="shared" si="16"/>
        <v>22</v>
      </c>
      <c r="V25" s="263">
        <f t="shared" si="17"/>
        <v>1.6242686840151908</v>
      </c>
      <c r="Y25"/>
    </row>
    <row r="26" spans="2:25" x14ac:dyDescent="0.2">
      <c r="B26" s="41">
        <f t="shared" si="2"/>
        <v>23</v>
      </c>
      <c r="C26" s="228">
        <f>[3]CRe!J25</f>
        <v>33.289999999999964</v>
      </c>
      <c r="D26" s="228">
        <f>[3]CRe!L25</f>
        <v>1.0319184880487771</v>
      </c>
      <c r="E26" s="43">
        <f t="shared" si="3"/>
        <v>23</v>
      </c>
      <c r="F26" s="46">
        <f t="shared" si="4"/>
        <v>-1.5199999999999818</v>
      </c>
      <c r="G26" s="267">
        <f t="shared" si="0"/>
        <v>3259.32</v>
      </c>
      <c r="H26" s="257">
        <f t="shared" si="1"/>
        <v>3259.32</v>
      </c>
      <c r="I26" s="46">
        <f>IF(G26="","",SLOPE(G$3:G26,B$3:B26))</f>
        <v>-10.477230434782602</v>
      </c>
      <c r="J26" s="318">
        <f t="shared" si="5"/>
        <v>1.1375883476169719</v>
      </c>
      <c r="K26" s="3">
        <f t="shared" si="6"/>
        <v>23</v>
      </c>
      <c r="L26" s="260">
        <f t="shared" si="7"/>
        <v>9</v>
      </c>
      <c r="M26" s="4">
        <f t="shared" si="8"/>
        <v>1.4426464322835342</v>
      </c>
      <c r="N26" s="3">
        <f t="shared" si="9"/>
        <v>23</v>
      </c>
      <c r="O26" s="4">
        <f t="shared" si="10"/>
        <v>39.130434782608695</v>
      </c>
      <c r="P26" s="320">
        <f t="shared" si="11"/>
        <v>0.87864284522093006</v>
      </c>
      <c r="Q26" s="3">
        <f t="shared" si="12"/>
        <v>23</v>
      </c>
      <c r="R26" s="260">
        <f t="shared" si="13"/>
        <v>14</v>
      </c>
      <c r="S26" s="3">
        <f t="shared" si="14"/>
        <v>23</v>
      </c>
      <c r="T26" s="4">
        <f t="shared" si="15"/>
        <v>-0.91986301586138852</v>
      </c>
      <c r="U26" s="11">
        <f t="shared" si="16"/>
        <v>23</v>
      </c>
      <c r="V26" s="263">
        <f t="shared" si="17"/>
        <v>1.5683274655113673</v>
      </c>
      <c r="Y26"/>
    </row>
    <row r="27" spans="2:25" x14ac:dyDescent="0.2">
      <c r="B27" s="41">
        <f t="shared" si="2"/>
        <v>24</v>
      </c>
      <c r="C27" s="228">
        <f>[3]CRe!J26</f>
        <v>9.2799999999997453</v>
      </c>
      <c r="D27" s="228">
        <f>[3]CRe!L26</f>
        <v>0.28472196654516108</v>
      </c>
      <c r="E27" s="43">
        <f t="shared" si="3"/>
        <v>24</v>
      </c>
      <c r="F27" s="46">
        <f t="shared" si="4"/>
        <v>7.7599999999997635</v>
      </c>
      <c r="G27" s="267">
        <f t="shared" si="0"/>
        <v>3268.6</v>
      </c>
      <c r="H27" s="257">
        <f t="shared" si="1"/>
        <v>3268.6</v>
      </c>
      <c r="I27" s="46">
        <f>IF(G27="","",SLOPE(G$3:G27,B$3:B27))</f>
        <v>-9.8616461538461486</v>
      </c>
      <c r="J27" s="318">
        <f t="shared" si="5"/>
        <v>1.1408273115314955</v>
      </c>
      <c r="K27" s="3">
        <f t="shared" si="6"/>
        <v>24</v>
      </c>
      <c r="L27" s="260">
        <f t="shared" si="7"/>
        <v>10</v>
      </c>
      <c r="M27" s="4">
        <f t="shared" si="8"/>
        <v>1.3262548754586101</v>
      </c>
      <c r="N27" s="3">
        <f t="shared" si="9"/>
        <v>24</v>
      </c>
      <c r="O27" s="4">
        <f t="shared" si="10"/>
        <v>41.666666666666664</v>
      </c>
      <c r="P27" s="320">
        <f t="shared" si="11"/>
        <v>0.87864284522093006</v>
      </c>
      <c r="Q27" s="3">
        <f t="shared" si="12"/>
        <v>24</v>
      </c>
      <c r="R27" s="260">
        <f t="shared" si="13"/>
        <v>14</v>
      </c>
      <c r="S27" s="3">
        <f t="shared" si="14"/>
        <v>24</v>
      </c>
      <c r="T27" s="4">
        <f t="shared" si="15"/>
        <v>-0.91986301586138852</v>
      </c>
      <c r="U27" s="11">
        <f t="shared" si="16"/>
        <v>24</v>
      </c>
      <c r="V27" s="263">
        <f t="shared" si="17"/>
        <v>1.4417960637504961</v>
      </c>
      <c r="Y27"/>
    </row>
    <row r="28" spans="2:25" x14ac:dyDescent="0.2">
      <c r="B28" s="41">
        <f t="shared" si="2"/>
        <v>25</v>
      </c>
      <c r="C28" s="228">
        <f>[3]CRe!J27</f>
        <v>42.050000000000182</v>
      </c>
      <c r="D28" s="228">
        <f>[3]CRe!L27</f>
        <v>1.2864835097595357</v>
      </c>
      <c r="E28" s="43">
        <f t="shared" si="3"/>
        <v>25</v>
      </c>
      <c r="F28" s="46">
        <f t="shared" si="4"/>
        <v>49.809999999999945</v>
      </c>
      <c r="G28" s="267">
        <f t="shared" si="0"/>
        <v>3310.65</v>
      </c>
      <c r="H28" s="257">
        <f t="shared" si="1"/>
        <v>3310.65</v>
      </c>
      <c r="I28" s="46">
        <f>IF(G28="","",SLOPE(G$3:G28,B$3:B28))</f>
        <v>-8.9339076923076881</v>
      </c>
      <c r="J28" s="318">
        <f t="shared" si="5"/>
        <v>1.1555038667691813</v>
      </c>
      <c r="K28" s="3">
        <f t="shared" si="6"/>
        <v>25</v>
      </c>
      <c r="L28" s="260">
        <f t="shared" si="7"/>
        <v>11</v>
      </c>
      <c r="M28" s="4">
        <f t="shared" si="8"/>
        <v>1.3226386515322597</v>
      </c>
      <c r="N28" s="3">
        <f t="shared" si="9"/>
        <v>25</v>
      </c>
      <c r="O28" s="4">
        <f t="shared" si="10"/>
        <v>44</v>
      </c>
      <c r="P28" s="320">
        <f t="shared" si="11"/>
        <v>0.87864284522093006</v>
      </c>
      <c r="Q28" s="3">
        <f t="shared" si="12"/>
        <v>25</v>
      </c>
      <c r="R28" s="260">
        <f t="shared" si="13"/>
        <v>14</v>
      </c>
      <c r="S28" s="3">
        <f t="shared" si="14"/>
        <v>25</v>
      </c>
      <c r="T28" s="4">
        <f t="shared" si="15"/>
        <v>-0.91986301586138852</v>
      </c>
      <c r="U28" s="11">
        <f t="shared" si="16"/>
        <v>25</v>
      </c>
      <c r="V28" s="263">
        <f t="shared" si="17"/>
        <v>1.437864800221041</v>
      </c>
      <c r="Y28"/>
    </row>
    <row r="29" spans="2:25" x14ac:dyDescent="0.2">
      <c r="B29" s="41">
        <f t="shared" si="2"/>
        <v>26</v>
      </c>
      <c r="C29" s="228">
        <f>[3]CRe!J28</f>
        <v>25.210000000000036</v>
      </c>
      <c r="D29" s="228">
        <f>[3]CRe!L28</f>
        <v>0.7614818842221327</v>
      </c>
      <c r="E29" s="43">
        <f t="shared" si="3"/>
        <v>26</v>
      </c>
      <c r="F29" s="46">
        <f t="shared" si="4"/>
        <v>75.019999999999982</v>
      </c>
      <c r="G29" s="267">
        <f t="shared" si="0"/>
        <v>3335.86</v>
      </c>
      <c r="H29" s="257">
        <f t="shared" si="1"/>
        <v>3335.86</v>
      </c>
      <c r="I29" s="46">
        <f>IF(G29="","",SLOPE(G$3:G29,B$3:B29))</f>
        <v>-7.9266239316239258</v>
      </c>
      <c r="J29" s="318">
        <f t="shared" si="5"/>
        <v>1.1643028193861149</v>
      </c>
      <c r="K29" s="3">
        <f t="shared" si="6"/>
        <v>26</v>
      </c>
      <c r="L29" s="260">
        <f t="shared" si="7"/>
        <v>12</v>
      </c>
      <c r="M29" s="4">
        <f t="shared" si="8"/>
        <v>1.2757564627559059</v>
      </c>
      <c r="N29" s="3">
        <f t="shared" si="9"/>
        <v>26</v>
      </c>
      <c r="O29" s="4">
        <f t="shared" si="10"/>
        <v>46.153846153846153</v>
      </c>
      <c r="P29" s="320">
        <f t="shared" si="11"/>
        <v>0.87864284522093006</v>
      </c>
      <c r="Q29" s="3">
        <f t="shared" si="12"/>
        <v>26</v>
      </c>
      <c r="R29" s="260">
        <f t="shared" si="13"/>
        <v>14</v>
      </c>
      <c r="S29" s="3">
        <f t="shared" si="14"/>
        <v>26</v>
      </c>
      <c r="T29" s="4">
        <f t="shared" si="15"/>
        <v>-0.91986301586138852</v>
      </c>
      <c r="U29" s="11">
        <f t="shared" si="16"/>
        <v>26</v>
      </c>
      <c r="V29" s="263">
        <f t="shared" si="17"/>
        <v>1.3868983106808004</v>
      </c>
      <c r="Y29"/>
    </row>
    <row r="30" spans="2:25" x14ac:dyDescent="0.2">
      <c r="B30" s="41">
        <f t="shared" si="2"/>
        <v>27</v>
      </c>
      <c r="C30" s="228">
        <f>[3]CRe!J29</f>
        <v>22.809999999999945</v>
      </c>
      <c r="D30" s="228">
        <f>[3]CRe!L29</f>
        <v>0.68378169347634332</v>
      </c>
      <c r="E30" s="43">
        <f t="shared" si="3"/>
        <v>27</v>
      </c>
      <c r="F30" s="46">
        <f t="shared" si="4"/>
        <v>97.829999999999927</v>
      </c>
      <c r="G30" s="267">
        <f t="shared" si="0"/>
        <v>3358.67</v>
      </c>
      <c r="H30" s="257">
        <f t="shared" si="1"/>
        <v>3358.67</v>
      </c>
      <c r="I30" s="46">
        <f>IF(G30="","",SLOPE(G$3:G30,B$3:B30))</f>
        <v>-6.8931828133552209</v>
      </c>
      <c r="J30" s="318">
        <f t="shared" si="5"/>
        <v>1.1722641089217061</v>
      </c>
      <c r="K30" s="3">
        <f t="shared" si="6"/>
        <v>27</v>
      </c>
      <c r="L30" s="260">
        <f t="shared" si="7"/>
        <v>13</v>
      </c>
      <c r="M30" s="4">
        <f t="shared" si="8"/>
        <v>1.230096632518074</v>
      </c>
      <c r="N30" s="3">
        <f t="shared" si="9"/>
        <v>27</v>
      </c>
      <c r="O30" s="4">
        <f t="shared" si="10"/>
        <v>48.148148148148145</v>
      </c>
      <c r="P30" s="320">
        <f t="shared" si="11"/>
        <v>0.87864284522093006</v>
      </c>
      <c r="Q30" s="3">
        <f t="shared" si="12"/>
        <v>27</v>
      </c>
      <c r="R30" s="260">
        <f t="shared" si="13"/>
        <v>14</v>
      </c>
      <c r="S30" s="3">
        <f t="shared" si="14"/>
        <v>27</v>
      </c>
      <c r="T30" s="4">
        <f t="shared" si="15"/>
        <v>-0.91986301586138852</v>
      </c>
      <c r="U30" s="11">
        <f t="shared" si="16"/>
        <v>27</v>
      </c>
      <c r="V30" s="263">
        <f t="shared" si="17"/>
        <v>1.3372606695858655</v>
      </c>
      <c r="Y30"/>
    </row>
    <row r="31" spans="2:25" x14ac:dyDescent="0.2">
      <c r="B31" s="41">
        <f t="shared" si="2"/>
        <v>28</v>
      </c>
      <c r="C31" s="228">
        <f>[3]CRe!J30</f>
        <v>-30.099999999999909</v>
      </c>
      <c r="D31" s="228">
        <f>[3]CRe!L30</f>
        <v>-0.89618807444613224</v>
      </c>
      <c r="E31" s="43">
        <f t="shared" si="3"/>
        <v>28</v>
      </c>
      <c r="F31" s="46">
        <f t="shared" si="4"/>
        <v>67.730000000000018</v>
      </c>
      <c r="G31" s="267">
        <f t="shared" si="0"/>
        <v>3328.57</v>
      </c>
      <c r="H31" s="257">
        <f t="shared" si="1"/>
        <v>3328.57</v>
      </c>
      <c r="I31" s="46">
        <f>IF(G31="","",SLOPE(G$3:G31,B$3:B31))</f>
        <v>-6.2193497536945754</v>
      </c>
      <c r="J31" s="318">
        <f t="shared" si="5"/>
        <v>1.1722641089217061</v>
      </c>
      <c r="K31" s="3">
        <f t="shared" si="6"/>
        <v>28</v>
      </c>
      <c r="L31" s="260">
        <f t="shared" si="7"/>
        <v>13</v>
      </c>
      <c r="M31" s="4">
        <f t="shared" si="8"/>
        <v>1.230096632518074</v>
      </c>
      <c r="N31" s="3">
        <f t="shared" si="9"/>
        <v>28</v>
      </c>
      <c r="O31" s="4">
        <f t="shared" si="10"/>
        <v>46.428571428571431</v>
      </c>
      <c r="P31" s="320">
        <f t="shared" si="11"/>
        <v>0.87076855282508592</v>
      </c>
      <c r="Q31" s="3">
        <f t="shared" si="12"/>
        <v>28</v>
      </c>
      <c r="R31" s="260">
        <f t="shared" si="13"/>
        <v>15</v>
      </c>
      <c r="S31" s="3">
        <f t="shared" si="14"/>
        <v>28</v>
      </c>
      <c r="T31" s="4">
        <f t="shared" si="15"/>
        <v>-0.91828486240420615</v>
      </c>
      <c r="U31" s="11">
        <f t="shared" si="16"/>
        <v>28</v>
      </c>
      <c r="V31" s="263">
        <f t="shared" si="17"/>
        <v>1.3395588698886949</v>
      </c>
      <c r="Y31"/>
    </row>
    <row r="32" spans="2:25" x14ac:dyDescent="0.2">
      <c r="B32" s="41">
        <f t="shared" si="2"/>
        <v>29</v>
      </c>
      <c r="C32" s="228">
        <f>[3]CRe!J31</f>
        <v>20.419999999999618</v>
      </c>
      <c r="D32" s="228">
        <f>[3]CRe!L31</f>
        <v>0.61347665814447694</v>
      </c>
      <c r="E32" s="43">
        <f t="shared" si="3"/>
        <v>29</v>
      </c>
      <c r="F32" s="46">
        <f t="shared" si="4"/>
        <v>88.149999999999636</v>
      </c>
      <c r="G32" s="267">
        <f t="shared" si="0"/>
        <v>3348.99</v>
      </c>
      <c r="H32" s="257">
        <f t="shared" si="1"/>
        <v>3348.99</v>
      </c>
      <c r="I32" s="46">
        <f>IF(G32="","",SLOPE(G$3:G32,B$3:B32))</f>
        <v>-5.4997219132369253</v>
      </c>
      <c r="J32" s="318">
        <f t="shared" si="5"/>
        <v>1.1794556756017462</v>
      </c>
      <c r="K32" s="3">
        <f t="shared" si="6"/>
        <v>29</v>
      </c>
      <c r="L32" s="260">
        <f t="shared" si="7"/>
        <v>14</v>
      </c>
      <c r="M32" s="4">
        <f t="shared" si="8"/>
        <v>1.1859272974815704</v>
      </c>
      <c r="N32" s="3">
        <f t="shared" si="9"/>
        <v>29</v>
      </c>
      <c r="O32" s="4">
        <f t="shared" si="10"/>
        <v>48.275862068965516</v>
      </c>
      <c r="P32" s="320">
        <f t="shared" si="11"/>
        <v>0.87076855282508592</v>
      </c>
      <c r="Q32" s="3">
        <f t="shared" si="12"/>
        <v>29</v>
      </c>
      <c r="R32" s="260">
        <f t="shared" si="13"/>
        <v>15</v>
      </c>
      <c r="S32" s="3">
        <f t="shared" si="14"/>
        <v>29</v>
      </c>
      <c r="T32" s="4">
        <f t="shared" si="15"/>
        <v>-0.91828486240420615</v>
      </c>
      <c r="U32" s="11">
        <f t="shared" si="16"/>
        <v>29</v>
      </c>
      <c r="V32" s="263">
        <f t="shared" si="17"/>
        <v>1.2914590515808315</v>
      </c>
      <c r="Y32"/>
    </row>
    <row r="33" spans="2:29" ht="13.5" thickBot="1" x14ac:dyDescent="0.25">
      <c r="B33" s="41">
        <f t="shared" si="2"/>
        <v>30</v>
      </c>
      <c r="C33" s="228">
        <f>[3]CRe!J32</f>
        <v>27.550000000000182</v>
      </c>
      <c r="D33" s="228">
        <f>[3]CRe!L32</f>
        <v>0.82263607834004238</v>
      </c>
      <c r="E33" s="43">
        <f t="shared" si="3"/>
        <v>30</v>
      </c>
      <c r="F33" s="47">
        <f t="shared" si="4"/>
        <v>115.69999999999982</v>
      </c>
      <c r="G33" s="267">
        <f t="shared" si="0"/>
        <v>3376.54</v>
      </c>
      <c r="H33" s="257">
        <f t="shared" si="1"/>
        <v>3376.54</v>
      </c>
      <c r="I33" s="47">
        <f>IF(G33="","",SLOPE(G$3:G33,B$3:B33))</f>
        <v>-4.7107741935483833</v>
      </c>
      <c r="J33" s="318">
        <f t="shared" si="5"/>
        <v>1.1891583035172755</v>
      </c>
      <c r="K33" s="3">
        <f t="shared" si="6"/>
        <v>30</v>
      </c>
      <c r="L33" s="260">
        <f t="shared" si="7"/>
        <v>15</v>
      </c>
      <c r="M33" s="4">
        <f t="shared" si="8"/>
        <v>1.1616672093715419</v>
      </c>
      <c r="N33" s="3">
        <f t="shared" si="9"/>
        <v>30</v>
      </c>
      <c r="O33" s="4">
        <f t="shared" si="10"/>
        <v>50</v>
      </c>
      <c r="P33" s="320">
        <f t="shared" si="11"/>
        <v>0.87076855282508592</v>
      </c>
      <c r="Q33" s="3">
        <f t="shared" si="12"/>
        <v>30</v>
      </c>
      <c r="R33" s="260">
        <f t="shared" si="13"/>
        <v>15</v>
      </c>
      <c r="S33" s="3">
        <f t="shared" si="14"/>
        <v>30</v>
      </c>
      <c r="T33" s="4">
        <f t="shared" si="15"/>
        <v>-0.91828486240420615</v>
      </c>
      <c r="U33" s="11">
        <f t="shared" si="16"/>
        <v>30</v>
      </c>
      <c r="V33" s="263">
        <f t="shared" si="17"/>
        <v>1.2650401383402146</v>
      </c>
      <c r="Y33"/>
    </row>
    <row r="34" spans="2:29" x14ac:dyDescent="0.2">
      <c r="B34" s="41">
        <f t="shared" si="2"/>
        <v>31</v>
      </c>
      <c r="C34" s="228">
        <f>[3]CRe!J33</f>
        <v>-32.400000000000091</v>
      </c>
      <c r="D34" s="228">
        <f>[3]CRe!L33</f>
        <v>-0.95956215534245382</v>
      </c>
      <c r="E34" s="3">
        <f t="shared" si="3"/>
        <v>31</v>
      </c>
      <c r="F34" s="44">
        <f t="shared" si="4"/>
        <v>83.299999999999727</v>
      </c>
      <c r="G34" s="4">
        <f t="shared" si="0"/>
        <v>3344.14</v>
      </c>
      <c r="H34" s="256">
        <f t="shared" si="1"/>
        <v>3344.14</v>
      </c>
      <c r="I34" s="44">
        <f>IF(G34="","",SLOPE(G$3:G34,B$3:B34))</f>
        <v>-4.2181140029325501</v>
      </c>
      <c r="J34" s="318">
        <f t="shared" si="5"/>
        <v>1.1891583035172755</v>
      </c>
      <c r="K34" s="3">
        <f t="shared" si="6"/>
        <v>31</v>
      </c>
      <c r="L34" s="260">
        <f t="shared" si="7"/>
        <v>15</v>
      </c>
      <c r="M34" s="4">
        <f t="shared" si="8"/>
        <v>1.1616672093715419</v>
      </c>
      <c r="N34" s="3">
        <f t="shared" si="9"/>
        <v>31</v>
      </c>
      <c r="O34" s="4">
        <f t="shared" si="10"/>
        <v>48.387096774193552</v>
      </c>
      <c r="P34" s="318">
        <f t="shared" si="11"/>
        <v>0.86241298733155325</v>
      </c>
      <c r="Q34" s="3">
        <f t="shared" si="12"/>
        <v>31</v>
      </c>
      <c r="R34" s="260">
        <f t="shared" si="13"/>
        <v>16</v>
      </c>
      <c r="S34" s="3">
        <f t="shared" si="14"/>
        <v>31</v>
      </c>
      <c r="T34" s="4">
        <f t="shared" si="15"/>
        <v>-0.9208651971391979</v>
      </c>
      <c r="U34" s="11">
        <f t="shared" si="16"/>
        <v>31</v>
      </c>
      <c r="V34" s="263">
        <f t="shared" si="17"/>
        <v>1.261495399088195</v>
      </c>
      <c r="Y34"/>
    </row>
    <row r="35" spans="2:29" x14ac:dyDescent="0.2">
      <c r="B35" s="41">
        <f t="shared" si="2"/>
        <v>32</v>
      </c>
      <c r="C35" s="228">
        <f>[3]CRe!J34</f>
        <v>-35.2199999999998</v>
      </c>
      <c r="D35" s="228">
        <f>[3]CRe!L34</f>
        <v>-1.0531855723743564</v>
      </c>
      <c r="E35" s="3">
        <f t="shared" si="3"/>
        <v>32</v>
      </c>
      <c r="F35" s="4">
        <f t="shared" si="4"/>
        <v>48.079999999999927</v>
      </c>
      <c r="G35" s="4">
        <f t="shared" ref="G35:G66" si="18">IF(F35="","",Z$40+F35)</f>
        <v>3308.92</v>
      </c>
      <c r="H35" s="256">
        <f t="shared" ref="H35:H66" si="19">IF(G35="","",(G35+Z$44)/Z$45)</f>
        <v>3308.92</v>
      </c>
      <c r="I35" s="4">
        <f>IF(G35="","",SLOPE(G$3:G35,B$3:B35))</f>
        <v>-3.9755447860962523</v>
      </c>
      <c r="J35" s="318">
        <f t="shared" si="5"/>
        <v>1.1891583035172755</v>
      </c>
      <c r="K35" s="3">
        <f t="shared" si="6"/>
        <v>32</v>
      </c>
      <c r="L35" s="260">
        <f t="shared" si="7"/>
        <v>15</v>
      </c>
      <c r="M35" s="4">
        <f t="shared" si="8"/>
        <v>1.1616672093715419</v>
      </c>
      <c r="N35" s="3">
        <f t="shared" si="9"/>
        <v>32</v>
      </c>
      <c r="O35" s="4">
        <f t="shared" si="10"/>
        <v>46.875</v>
      </c>
      <c r="P35" s="318">
        <f t="shared" si="11"/>
        <v>0.85333017817469459</v>
      </c>
      <c r="Q35" s="3">
        <f t="shared" si="12"/>
        <v>32</v>
      </c>
      <c r="R35" s="260">
        <f t="shared" si="13"/>
        <v>17</v>
      </c>
      <c r="S35" s="3">
        <f t="shared" si="14"/>
        <v>32</v>
      </c>
      <c r="T35" s="4">
        <f t="shared" si="15"/>
        <v>-0.92865364459518984</v>
      </c>
      <c r="U35" s="11">
        <f t="shared" si="16"/>
        <v>32</v>
      </c>
      <c r="V35" s="263">
        <f t="shared" si="17"/>
        <v>1.2509154690045126</v>
      </c>
      <c r="Y35"/>
    </row>
    <row r="36" spans="2:29" x14ac:dyDescent="0.2">
      <c r="B36" s="41">
        <f t="shared" ref="B36:B67" si="20">B35+1</f>
        <v>33</v>
      </c>
      <c r="C36" s="228">
        <f>[3]CRe!J35</f>
        <v>24.840000000000146</v>
      </c>
      <c r="D36" s="228">
        <f>[3]CRe!L35</f>
        <v>0.75069811297946598</v>
      </c>
      <c r="E36" s="3">
        <f t="shared" ref="E36:E67" si="21">IF(C36="","",E35+1)</f>
        <v>33</v>
      </c>
      <c r="F36" s="4">
        <f t="shared" ref="F36:F67" si="22">IF(C36="","",F35+C36)</f>
        <v>72.920000000000073</v>
      </c>
      <c r="G36" s="4">
        <f t="shared" si="18"/>
        <v>3333.76</v>
      </c>
      <c r="H36" s="256">
        <f t="shared" si="19"/>
        <v>3333.76</v>
      </c>
      <c r="I36" s="4">
        <f>IF(G36="","",SLOPE(G$3:G36,B$3:B36))</f>
        <v>-3.6280473644003015</v>
      </c>
      <c r="J36" s="318">
        <f t="shared" ref="J36:J67" si="23">IF(D36="","",IF(D36&gt;0,J35*(1+D36/100),J35))</f>
        <v>1.1980852924621184</v>
      </c>
      <c r="K36" s="3">
        <f t="shared" ref="K36:K67" si="24">E36</f>
        <v>33</v>
      </c>
      <c r="L36" s="260">
        <f t="shared" ref="L36:L67" si="25">IF(C36="","",IF(C36&gt;0,L35+1,L35))</f>
        <v>16</v>
      </c>
      <c r="M36" s="4">
        <f t="shared" ref="M36:M67" si="26">IF(J36="","",IF(L36=0,"",100*(J36^(1/L36)-1)))</f>
        <v>1.1359325992033931</v>
      </c>
      <c r="N36" s="3">
        <f t="shared" ref="N36:N67" si="27">E36</f>
        <v>33</v>
      </c>
      <c r="O36" s="4">
        <f t="shared" ref="O36:O67" si="28">IF(C36="","",IF(L36=0,"",100*L36/B36))</f>
        <v>48.484848484848484</v>
      </c>
      <c r="P36" s="318">
        <f t="shared" ref="P36:P67" si="29">IF(D36="","",IF(D36&lt;0,P35*(1+D36/100),P35))</f>
        <v>0.85333017817469459</v>
      </c>
      <c r="Q36" s="3">
        <f t="shared" ref="Q36:Q67" si="30">E36</f>
        <v>33</v>
      </c>
      <c r="R36" s="260">
        <f t="shared" ref="R36:R67" si="31">IF(C36="","",IF(C36&lt;0,R35+1,R35))</f>
        <v>17</v>
      </c>
      <c r="S36" s="3">
        <f t="shared" ref="S36:S67" si="32">E36</f>
        <v>33</v>
      </c>
      <c r="T36" s="4">
        <f t="shared" ref="T36:T67" si="33">IF(P36="","",IF(R36=0,"",100*(P36^(1/R36)-1)))</f>
        <v>-0.92865364459518984</v>
      </c>
      <c r="U36" s="11">
        <f t="shared" ref="U36:U67" si="34">E36</f>
        <v>33</v>
      </c>
      <c r="V36" s="263">
        <f t="shared" ref="V36:V67" si="35">IF(M36="","",IF(T36="","",-M36/T36))</f>
        <v>1.2232037270456828</v>
      </c>
      <c r="Y36"/>
    </row>
    <row r="37" spans="2:29" x14ac:dyDescent="0.2">
      <c r="B37" s="41">
        <f t="shared" si="20"/>
        <v>34</v>
      </c>
      <c r="C37" s="228">
        <f>[3]CRe!J36</f>
        <v>-36</v>
      </c>
      <c r="D37" s="228">
        <f>[3]CRe!L36</f>
        <v>-1.0798617776924553</v>
      </c>
      <c r="E37" s="3">
        <f t="shared" si="21"/>
        <v>34</v>
      </c>
      <c r="F37" s="4">
        <f t="shared" si="22"/>
        <v>36.920000000000073</v>
      </c>
      <c r="G37" s="4">
        <f t="shared" si="18"/>
        <v>3297.76</v>
      </c>
      <c r="H37" s="256">
        <f t="shared" si="19"/>
        <v>3297.76</v>
      </c>
      <c r="I37" s="4">
        <f>IF(G37="","",SLOPE(G$3:G37,B$3:B37))</f>
        <v>-3.4909635854341685</v>
      </c>
      <c r="J37" s="318">
        <f t="shared" si="23"/>
        <v>1.1980852924621184</v>
      </c>
      <c r="K37" s="3">
        <f t="shared" si="24"/>
        <v>34</v>
      </c>
      <c r="L37" s="260">
        <f t="shared" si="25"/>
        <v>16</v>
      </c>
      <c r="M37" s="4">
        <f t="shared" si="26"/>
        <v>1.1359325992033931</v>
      </c>
      <c r="N37" s="3">
        <f t="shared" si="27"/>
        <v>34</v>
      </c>
      <c r="O37" s="4">
        <f t="shared" si="28"/>
        <v>47.058823529411768</v>
      </c>
      <c r="P37" s="318">
        <f t="shared" si="29"/>
        <v>0.84411539174307115</v>
      </c>
      <c r="Q37" s="3">
        <f t="shared" si="30"/>
        <v>34</v>
      </c>
      <c r="R37" s="260">
        <f t="shared" si="31"/>
        <v>18</v>
      </c>
      <c r="S37" s="3">
        <f t="shared" si="32"/>
        <v>34</v>
      </c>
      <c r="T37" s="4">
        <f t="shared" si="33"/>
        <v>-0.93706015690029343</v>
      </c>
      <c r="U37" s="11">
        <f t="shared" si="34"/>
        <v>34</v>
      </c>
      <c r="V37" s="263">
        <f t="shared" si="35"/>
        <v>1.2122301763004746</v>
      </c>
      <c r="Y37"/>
    </row>
    <row r="38" spans="2:29" ht="13.5" thickBot="1" x14ac:dyDescent="0.25">
      <c r="B38" s="41">
        <f t="shared" si="20"/>
        <v>35</v>
      </c>
      <c r="C38" s="228">
        <f>[3]CRe!J37</f>
        <v>-36.590000000000146</v>
      </c>
      <c r="D38" s="228">
        <f>[3]CRe!L37</f>
        <v>-1.1095410217844883</v>
      </c>
      <c r="E38" s="3">
        <f t="shared" si="21"/>
        <v>35</v>
      </c>
      <c r="F38" s="4">
        <f t="shared" si="22"/>
        <v>0.32999999999992724</v>
      </c>
      <c r="G38" s="4">
        <f t="shared" si="18"/>
        <v>3261.17</v>
      </c>
      <c r="H38" s="256">
        <f t="shared" si="19"/>
        <v>3261.17</v>
      </c>
      <c r="I38" s="4">
        <f>IF(G38="","",SLOPE(G$3:G38,B$3:B38))</f>
        <v>-3.5245868725868674</v>
      </c>
      <c r="J38" s="318">
        <f t="shared" si="23"/>
        <v>1.1980852924621184</v>
      </c>
      <c r="K38" s="3">
        <f t="shared" si="24"/>
        <v>35</v>
      </c>
      <c r="L38" s="260">
        <f t="shared" si="25"/>
        <v>16</v>
      </c>
      <c r="M38" s="4">
        <f t="shared" si="26"/>
        <v>1.1359325992033931</v>
      </c>
      <c r="N38" s="3">
        <f t="shared" si="27"/>
        <v>35</v>
      </c>
      <c r="O38" s="4">
        <f t="shared" si="28"/>
        <v>45.714285714285715</v>
      </c>
      <c r="P38" s="318">
        <f t="shared" si="29"/>
        <v>0.83474958520048492</v>
      </c>
      <c r="Q38" s="3">
        <f t="shared" si="30"/>
        <v>35</v>
      </c>
      <c r="R38" s="260">
        <f t="shared" si="31"/>
        <v>19</v>
      </c>
      <c r="S38" s="3">
        <f t="shared" si="32"/>
        <v>35</v>
      </c>
      <c r="T38" s="4">
        <f t="shared" si="33"/>
        <v>-0.94614559259734721</v>
      </c>
      <c r="U38" s="11">
        <f t="shared" si="34"/>
        <v>35</v>
      </c>
      <c r="V38" s="263">
        <f t="shared" si="35"/>
        <v>1.2005896429586962</v>
      </c>
    </row>
    <row r="39" spans="2:29" ht="13.5" thickBot="1" x14ac:dyDescent="0.25">
      <c r="B39" s="41">
        <f t="shared" si="20"/>
        <v>36</v>
      </c>
      <c r="C39" s="228" t="str">
        <f>[3]CRe!J38</f>
        <v/>
      </c>
      <c r="D39" s="228" t="str">
        <f>[3]CRe!L38</f>
        <v/>
      </c>
      <c r="E39" s="3" t="str">
        <f t="shared" si="21"/>
        <v/>
      </c>
      <c r="F39" s="4" t="str">
        <f t="shared" si="22"/>
        <v/>
      </c>
      <c r="G39" s="4" t="str">
        <f t="shared" si="18"/>
        <v/>
      </c>
      <c r="H39" s="256" t="str">
        <f t="shared" si="19"/>
        <v/>
      </c>
      <c r="I39" s="4" t="str">
        <f>IF(G39="","",SLOPE(G$3:G39,B$3:B39))</f>
        <v/>
      </c>
      <c r="J39" s="318" t="str">
        <f t="shared" si="23"/>
        <v/>
      </c>
      <c r="K39" s="3" t="str">
        <f t="shared" si="24"/>
        <v/>
      </c>
      <c r="L39" s="260" t="str">
        <f t="shared" si="25"/>
        <v/>
      </c>
      <c r="M39" s="4" t="str">
        <f t="shared" si="26"/>
        <v/>
      </c>
      <c r="N39" s="3" t="str">
        <f t="shared" si="27"/>
        <v/>
      </c>
      <c r="O39" s="4" t="str">
        <f t="shared" si="28"/>
        <v/>
      </c>
      <c r="P39" s="318" t="str">
        <f t="shared" si="29"/>
        <v/>
      </c>
      <c r="Q39" s="3" t="str">
        <f t="shared" si="30"/>
        <v/>
      </c>
      <c r="R39" s="260" t="str">
        <f t="shared" si="31"/>
        <v/>
      </c>
      <c r="S39" s="3" t="str">
        <f t="shared" si="32"/>
        <v/>
      </c>
      <c r="T39" s="4" t="str">
        <f t="shared" si="33"/>
        <v/>
      </c>
      <c r="U39" s="11" t="str">
        <f t="shared" si="34"/>
        <v/>
      </c>
      <c r="V39" s="263" t="str">
        <f t="shared" si="35"/>
        <v/>
      </c>
      <c r="Y39" s="422" t="s">
        <v>19</v>
      </c>
      <c r="Z39" s="423"/>
      <c r="AB39" s="419" t="s">
        <v>27</v>
      </c>
      <c r="AC39" s="420"/>
    </row>
    <row r="40" spans="2:29" x14ac:dyDescent="0.2">
      <c r="B40" s="41">
        <f t="shared" si="20"/>
        <v>37</v>
      </c>
      <c r="C40" s="228" t="str">
        <f>[3]CRe!J39</f>
        <v/>
      </c>
      <c r="D40" s="228" t="str">
        <f>[3]CRe!L39</f>
        <v/>
      </c>
      <c r="E40" s="3" t="str">
        <f t="shared" si="21"/>
        <v/>
      </c>
      <c r="F40" s="4" t="str">
        <f t="shared" si="22"/>
        <v/>
      </c>
      <c r="G40" s="4" t="str">
        <f t="shared" si="18"/>
        <v/>
      </c>
      <c r="H40" s="256" t="str">
        <f t="shared" si="19"/>
        <v/>
      </c>
      <c r="I40" s="4" t="str">
        <f>IF(G40="","",SLOPE(G$3:G40,B$3:B40))</f>
        <v/>
      </c>
      <c r="J40" s="318" t="str">
        <f t="shared" si="23"/>
        <v/>
      </c>
      <c r="K40" s="3" t="str">
        <f t="shared" si="24"/>
        <v/>
      </c>
      <c r="L40" s="260" t="str">
        <f t="shared" si="25"/>
        <v/>
      </c>
      <c r="M40" s="4" t="str">
        <f t="shared" si="26"/>
        <v/>
      </c>
      <c r="N40" s="3" t="str">
        <f t="shared" si="27"/>
        <v/>
      </c>
      <c r="O40" s="4" t="str">
        <f t="shared" si="28"/>
        <v/>
      </c>
      <c r="P40" s="318" t="str">
        <f t="shared" si="29"/>
        <v/>
      </c>
      <c r="Q40" s="3" t="str">
        <f t="shared" si="30"/>
        <v/>
      </c>
      <c r="R40" s="260" t="str">
        <f t="shared" si="31"/>
        <v/>
      </c>
      <c r="S40" s="3" t="str">
        <f t="shared" si="32"/>
        <v/>
      </c>
      <c r="T40" s="4" t="str">
        <f t="shared" si="33"/>
        <v/>
      </c>
      <c r="U40" s="11" t="str">
        <f t="shared" si="34"/>
        <v/>
      </c>
      <c r="V40" s="263" t="str">
        <f t="shared" si="35"/>
        <v/>
      </c>
      <c r="Y40" s="35" t="s">
        <v>23</v>
      </c>
      <c r="Z40" s="38">
        <v>3260.84</v>
      </c>
      <c r="AB40" s="6" t="s">
        <v>21</v>
      </c>
      <c r="AC40" s="251">
        <f>IF(F4="","",VLOOKUP(MAX(K4:K103),K4:L103,2,FALSE))</f>
        <v>16</v>
      </c>
    </row>
    <row r="41" spans="2:29" x14ac:dyDescent="0.2">
      <c r="B41" s="41">
        <f t="shared" si="20"/>
        <v>38</v>
      </c>
      <c r="C41" s="228" t="str">
        <f>[3]CRe!J40</f>
        <v/>
      </c>
      <c r="D41" s="228" t="str">
        <f>[3]CRe!L40</f>
        <v/>
      </c>
      <c r="E41" s="3" t="str">
        <f t="shared" si="21"/>
        <v/>
      </c>
      <c r="F41" s="4" t="str">
        <f t="shared" si="22"/>
        <v/>
      </c>
      <c r="G41" s="4" t="str">
        <f t="shared" si="18"/>
        <v/>
      </c>
      <c r="H41" s="256" t="str">
        <f t="shared" si="19"/>
        <v/>
      </c>
      <c r="I41" s="4" t="str">
        <f>IF(G41="","",SLOPE(G$3:G41,B$3:B41))</f>
        <v/>
      </c>
      <c r="J41" s="318" t="str">
        <f t="shared" si="23"/>
        <v/>
      </c>
      <c r="K41" s="3" t="str">
        <f t="shared" si="24"/>
        <v/>
      </c>
      <c r="L41" s="260" t="str">
        <f t="shared" si="25"/>
        <v/>
      </c>
      <c r="M41" s="4" t="str">
        <f t="shared" si="26"/>
        <v/>
      </c>
      <c r="N41" s="3" t="str">
        <f t="shared" si="27"/>
        <v/>
      </c>
      <c r="O41" s="4" t="str">
        <f t="shared" si="28"/>
        <v/>
      </c>
      <c r="P41" s="318" t="str">
        <f t="shared" si="29"/>
        <v/>
      </c>
      <c r="Q41" s="3" t="str">
        <f t="shared" si="30"/>
        <v/>
      </c>
      <c r="R41" s="260" t="str">
        <f t="shared" si="31"/>
        <v/>
      </c>
      <c r="S41" s="3" t="str">
        <f t="shared" si="32"/>
        <v/>
      </c>
      <c r="T41" s="4" t="str">
        <f t="shared" si="33"/>
        <v/>
      </c>
      <c r="U41" s="11" t="str">
        <f t="shared" si="34"/>
        <v/>
      </c>
      <c r="V41" s="263" t="str">
        <f t="shared" si="35"/>
        <v/>
      </c>
      <c r="Y41" s="9" t="s">
        <v>35</v>
      </c>
      <c r="Z41" s="17">
        <f>IF(E4="","",VLOOKUP(MAX(E4:E103),E4:F103,2,FALSE))</f>
        <v>0.32999999999992724</v>
      </c>
      <c r="AB41" s="7" t="s">
        <v>22</v>
      </c>
      <c r="AC41" s="252">
        <f>IF(F4="","",VLOOKUP(MAX(Q4:Q103),Q4:R103,2,FALSE))</f>
        <v>19</v>
      </c>
    </row>
    <row r="42" spans="2:29" ht="13.5" thickBot="1" x14ac:dyDescent="0.25">
      <c r="B42" s="41">
        <f t="shared" si="20"/>
        <v>39</v>
      </c>
      <c r="C42" s="228" t="str">
        <f>[3]CRe!J41</f>
        <v/>
      </c>
      <c r="D42" s="228" t="str">
        <f>[3]CRe!L41</f>
        <v/>
      </c>
      <c r="E42" s="3" t="str">
        <f t="shared" si="21"/>
        <v/>
      </c>
      <c r="F42" s="4" t="str">
        <f t="shared" si="22"/>
        <v/>
      </c>
      <c r="G42" s="4" t="str">
        <f t="shared" si="18"/>
        <v/>
      </c>
      <c r="H42" s="256" t="str">
        <f t="shared" si="19"/>
        <v/>
      </c>
      <c r="I42" s="4" t="str">
        <f>IF(G42="","",SLOPE(G$3:G42,B$3:B42))</f>
        <v/>
      </c>
      <c r="J42" s="318" t="str">
        <f t="shared" si="23"/>
        <v/>
      </c>
      <c r="K42" s="3" t="str">
        <f t="shared" si="24"/>
        <v/>
      </c>
      <c r="L42" s="260" t="str">
        <f t="shared" si="25"/>
        <v/>
      </c>
      <c r="M42" s="4" t="str">
        <f t="shared" si="26"/>
        <v/>
      </c>
      <c r="N42" s="3" t="str">
        <f t="shared" si="27"/>
        <v/>
      </c>
      <c r="O42" s="4" t="str">
        <f t="shared" si="28"/>
        <v/>
      </c>
      <c r="P42" s="318" t="str">
        <f t="shared" si="29"/>
        <v/>
      </c>
      <c r="Q42" s="3" t="str">
        <f t="shared" si="30"/>
        <v/>
      </c>
      <c r="R42" s="260" t="str">
        <f t="shared" si="31"/>
        <v/>
      </c>
      <c r="S42" s="3" t="str">
        <f t="shared" si="32"/>
        <v/>
      </c>
      <c r="T42" s="4" t="str">
        <f t="shared" si="33"/>
        <v/>
      </c>
      <c r="U42" s="11" t="str">
        <f t="shared" si="34"/>
        <v/>
      </c>
      <c r="V42" s="263" t="str">
        <f t="shared" si="35"/>
        <v/>
      </c>
      <c r="Y42" s="36" t="s">
        <v>24</v>
      </c>
      <c r="Z42" s="34">
        <f>IF(Z40="","",IF(Z41="","",Z40+Z41))</f>
        <v>3261.17</v>
      </c>
      <c r="AB42" s="323" t="s">
        <v>132</v>
      </c>
      <c r="AC42" s="253">
        <f>IF(AC40="","",IF(AC41="","",AC40+AC41))</f>
        <v>35</v>
      </c>
    </row>
    <row r="43" spans="2:29" ht="13.5" thickBot="1" x14ac:dyDescent="0.25">
      <c r="B43" s="41">
        <f t="shared" si="20"/>
        <v>40</v>
      </c>
      <c r="C43" s="228" t="str">
        <f>[3]CRe!J42</f>
        <v/>
      </c>
      <c r="D43" s="228" t="str">
        <f>[3]CRe!L42</f>
        <v/>
      </c>
      <c r="E43" s="3" t="str">
        <f t="shared" si="21"/>
        <v/>
      </c>
      <c r="F43" s="4" t="str">
        <f t="shared" si="22"/>
        <v/>
      </c>
      <c r="G43" s="4" t="str">
        <f t="shared" si="18"/>
        <v/>
      </c>
      <c r="H43" s="256" t="str">
        <f t="shared" si="19"/>
        <v/>
      </c>
      <c r="I43" s="4" t="str">
        <f>IF(G43="","",SLOPE(G$3:G43,B$3:B43))</f>
        <v/>
      </c>
      <c r="J43" s="318" t="str">
        <f t="shared" si="23"/>
        <v/>
      </c>
      <c r="K43" s="3" t="str">
        <f t="shared" si="24"/>
        <v/>
      </c>
      <c r="L43" s="260" t="str">
        <f t="shared" si="25"/>
        <v/>
      </c>
      <c r="M43" s="4" t="str">
        <f t="shared" si="26"/>
        <v/>
      </c>
      <c r="N43" s="3" t="str">
        <f t="shared" si="27"/>
        <v/>
      </c>
      <c r="O43" s="4" t="str">
        <f t="shared" si="28"/>
        <v/>
      </c>
      <c r="P43" s="318" t="str">
        <f t="shared" si="29"/>
        <v/>
      </c>
      <c r="Q43" s="3" t="str">
        <f t="shared" si="30"/>
        <v/>
      </c>
      <c r="R43" s="260" t="str">
        <f t="shared" si="31"/>
        <v/>
      </c>
      <c r="S43" s="3" t="str">
        <f t="shared" si="32"/>
        <v/>
      </c>
      <c r="T43" s="4" t="str">
        <f t="shared" si="33"/>
        <v/>
      </c>
      <c r="U43" s="11" t="str">
        <f t="shared" si="34"/>
        <v/>
      </c>
      <c r="V43" s="263" t="str">
        <f t="shared" si="35"/>
        <v/>
      </c>
      <c r="Y43" s="424" t="s">
        <v>34</v>
      </c>
      <c r="Z43" s="425"/>
      <c r="AB43" s="20" t="s">
        <v>8</v>
      </c>
      <c r="AC43" s="254">
        <f>IF(E4="","",IF(AC40=0,"",VLOOKUP(MAX(N4:N103),N4:O103,2,FALSE)/100))</f>
        <v>0.45714285714285713</v>
      </c>
    </row>
    <row r="44" spans="2:29" x14ac:dyDescent="0.2">
      <c r="B44" s="41">
        <f t="shared" si="20"/>
        <v>41</v>
      </c>
      <c r="C44" s="228" t="str">
        <f>[3]CRe!J43</f>
        <v/>
      </c>
      <c r="D44" s="228" t="str">
        <f>[3]CRe!L43</f>
        <v/>
      </c>
      <c r="E44" s="3" t="str">
        <f t="shared" si="21"/>
        <v/>
      </c>
      <c r="F44" s="4" t="str">
        <f t="shared" si="22"/>
        <v/>
      </c>
      <c r="G44" s="4" t="str">
        <f t="shared" si="18"/>
        <v/>
      </c>
      <c r="H44" s="256" t="str">
        <f t="shared" si="19"/>
        <v/>
      </c>
      <c r="I44" s="4" t="str">
        <f>IF(G44="","",SLOPE(G$3:G44,B$3:B44))</f>
        <v/>
      </c>
      <c r="J44" s="318" t="str">
        <f t="shared" si="23"/>
        <v/>
      </c>
      <c r="K44" s="3" t="str">
        <f t="shared" si="24"/>
        <v/>
      </c>
      <c r="L44" s="260" t="str">
        <f t="shared" si="25"/>
        <v/>
      </c>
      <c r="M44" s="4" t="str">
        <f t="shared" si="26"/>
        <v/>
      </c>
      <c r="N44" s="3" t="str">
        <f t="shared" si="27"/>
        <v/>
      </c>
      <c r="O44" s="4" t="str">
        <f t="shared" si="28"/>
        <v/>
      </c>
      <c r="P44" s="318" t="str">
        <f t="shared" si="29"/>
        <v/>
      </c>
      <c r="Q44" s="3" t="str">
        <f t="shared" si="30"/>
        <v/>
      </c>
      <c r="R44" s="260" t="str">
        <f t="shared" si="31"/>
        <v/>
      </c>
      <c r="S44" s="3" t="str">
        <f t="shared" si="32"/>
        <v/>
      </c>
      <c r="T44" s="4" t="str">
        <f t="shared" si="33"/>
        <v/>
      </c>
      <c r="U44" s="11" t="str">
        <f t="shared" si="34"/>
        <v/>
      </c>
      <c r="V44" s="263" t="str">
        <f t="shared" si="35"/>
        <v/>
      </c>
      <c r="Y44" s="30" t="s">
        <v>38</v>
      </c>
      <c r="Z44" s="40">
        <v>0</v>
      </c>
      <c r="AB44" s="417" t="s">
        <v>10</v>
      </c>
      <c r="AC44" s="249">
        <f>IF(AC45="","",IF(Z42="","",AC45*Z42))</f>
        <v>30.855416222106907</v>
      </c>
    </row>
    <row r="45" spans="2:29" x14ac:dyDescent="0.2">
      <c r="B45" s="41">
        <f t="shared" si="20"/>
        <v>42</v>
      </c>
      <c r="C45" s="228" t="str">
        <f>[3]CRe!J44</f>
        <v/>
      </c>
      <c r="D45" s="228" t="str">
        <f>[3]CRe!L44</f>
        <v/>
      </c>
      <c r="E45" s="3" t="str">
        <f t="shared" si="21"/>
        <v/>
      </c>
      <c r="F45" s="4" t="str">
        <f t="shared" si="22"/>
        <v/>
      </c>
      <c r="G45" s="4" t="str">
        <f t="shared" si="18"/>
        <v/>
      </c>
      <c r="H45" s="256" t="str">
        <f t="shared" si="19"/>
        <v/>
      </c>
      <c r="I45" s="4" t="str">
        <f>IF(G45="","",SLOPE(G$3:G45,B$3:B45))</f>
        <v/>
      </c>
      <c r="J45" s="318" t="str">
        <f t="shared" si="23"/>
        <v/>
      </c>
      <c r="K45" s="3" t="str">
        <f t="shared" si="24"/>
        <v/>
      </c>
      <c r="L45" s="260" t="str">
        <f t="shared" si="25"/>
        <v/>
      </c>
      <c r="M45" s="4" t="str">
        <f t="shared" si="26"/>
        <v/>
      </c>
      <c r="N45" s="3" t="str">
        <f t="shared" si="27"/>
        <v/>
      </c>
      <c r="O45" s="4" t="str">
        <f t="shared" si="28"/>
        <v/>
      </c>
      <c r="P45" s="318" t="str">
        <f t="shared" si="29"/>
        <v/>
      </c>
      <c r="Q45" s="3" t="str">
        <f t="shared" si="30"/>
        <v/>
      </c>
      <c r="R45" s="260" t="str">
        <f t="shared" si="31"/>
        <v/>
      </c>
      <c r="S45" s="3" t="str">
        <f t="shared" si="32"/>
        <v/>
      </c>
      <c r="T45" s="4" t="str">
        <f t="shared" si="33"/>
        <v/>
      </c>
      <c r="U45" s="11" t="str">
        <f t="shared" si="34"/>
        <v/>
      </c>
      <c r="V45" s="263" t="str">
        <f t="shared" si="35"/>
        <v/>
      </c>
      <c r="Y45" s="9" t="s">
        <v>37</v>
      </c>
      <c r="Z45" s="29">
        <v>1</v>
      </c>
      <c r="AB45" s="418"/>
      <c r="AC45" s="217">
        <f>IF(E4="","",IF(AC41=0,"",-VLOOKUP(MAX(S4:S103),S4:T103,2,FALSE)/100))</f>
        <v>9.4614559259734721E-3</v>
      </c>
    </row>
    <row r="46" spans="2:29" ht="13.5" thickBot="1" x14ac:dyDescent="0.25">
      <c r="B46" s="41">
        <f t="shared" si="20"/>
        <v>43</v>
      </c>
      <c r="C46" s="228" t="str">
        <f>[3]CRe!J45</f>
        <v/>
      </c>
      <c r="D46" s="228" t="str">
        <f>[3]CRe!L45</f>
        <v/>
      </c>
      <c r="E46" s="3" t="str">
        <f t="shared" si="21"/>
        <v/>
      </c>
      <c r="F46" s="4" t="str">
        <f t="shared" si="22"/>
        <v/>
      </c>
      <c r="G46" s="4" t="str">
        <f t="shared" si="18"/>
        <v/>
      </c>
      <c r="H46" s="256" t="str">
        <f t="shared" si="19"/>
        <v/>
      </c>
      <c r="I46" s="4" t="str">
        <f>IF(G46="","",SLOPE(G$3:G46,B$3:B46))</f>
        <v/>
      </c>
      <c r="J46" s="318" t="str">
        <f t="shared" si="23"/>
        <v/>
      </c>
      <c r="K46" s="3" t="str">
        <f t="shared" si="24"/>
        <v/>
      </c>
      <c r="L46" s="260" t="str">
        <f t="shared" si="25"/>
        <v/>
      </c>
      <c r="M46" s="4" t="str">
        <f t="shared" si="26"/>
        <v/>
      </c>
      <c r="N46" s="3" t="str">
        <f t="shared" si="27"/>
        <v/>
      </c>
      <c r="O46" s="4" t="str">
        <f t="shared" si="28"/>
        <v/>
      </c>
      <c r="P46" s="318" t="str">
        <f t="shared" si="29"/>
        <v/>
      </c>
      <c r="Q46" s="3" t="str">
        <f t="shared" si="30"/>
        <v/>
      </c>
      <c r="R46" s="260" t="str">
        <f t="shared" si="31"/>
        <v/>
      </c>
      <c r="S46" s="3" t="str">
        <f t="shared" si="32"/>
        <v/>
      </c>
      <c r="T46" s="4" t="str">
        <f t="shared" si="33"/>
        <v/>
      </c>
      <c r="U46" s="11" t="str">
        <f t="shared" si="34"/>
        <v/>
      </c>
      <c r="V46" s="263" t="str">
        <f t="shared" si="35"/>
        <v/>
      </c>
      <c r="Y46" s="37" t="s">
        <v>36</v>
      </c>
      <c r="Z46" s="39">
        <f>IF(Z45="","",IF(Z44="","",(Z42+Z44)/Z45))</f>
        <v>3261.17</v>
      </c>
      <c r="AB46" s="8" t="s">
        <v>25</v>
      </c>
      <c r="AC46" s="255">
        <f>IF(E4="","",VLOOKUP(MAX(U4:U103),U4:V103,2,FALSE))</f>
        <v>1.2005896429586962</v>
      </c>
    </row>
    <row r="47" spans="2:29" x14ac:dyDescent="0.2">
      <c r="B47" s="41">
        <f t="shared" si="20"/>
        <v>44</v>
      </c>
      <c r="C47" s="228" t="str">
        <f>[3]CRe!J46</f>
        <v/>
      </c>
      <c r="D47" s="228" t="str">
        <f>[3]CRe!L46</f>
        <v/>
      </c>
      <c r="E47" s="3" t="str">
        <f t="shared" si="21"/>
        <v/>
      </c>
      <c r="F47" s="4" t="str">
        <f t="shared" si="22"/>
        <v/>
      </c>
      <c r="G47" s="4" t="str">
        <f t="shared" si="18"/>
        <v/>
      </c>
      <c r="H47" s="256" t="str">
        <f t="shared" si="19"/>
        <v/>
      </c>
      <c r="I47" s="4" t="str">
        <f>IF(G47="","",SLOPE(G$3:G47,B$3:B47))</f>
        <v/>
      </c>
      <c r="J47" s="318" t="str">
        <f t="shared" si="23"/>
        <v/>
      </c>
      <c r="K47" s="3" t="str">
        <f t="shared" si="24"/>
        <v/>
      </c>
      <c r="L47" s="260" t="str">
        <f t="shared" si="25"/>
        <v/>
      </c>
      <c r="M47" s="4" t="str">
        <f t="shared" si="26"/>
        <v/>
      </c>
      <c r="N47" s="3" t="str">
        <f t="shared" si="27"/>
        <v/>
      </c>
      <c r="O47" s="4" t="str">
        <f t="shared" si="28"/>
        <v/>
      </c>
      <c r="P47" s="318" t="str">
        <f t="shared" si="29"/>
        <v/>
      </c>
      <c r="Q47" s="3" t="str">
        <f t="shared" si="30"/>
        <v/>
      </c>
      <c r="R47" s="260" t="str">
        <f t="shared" si="31"/>
        <v/>
      </c>
      <c r="S47" s="3" t="str">
        <f t="shared" si="32"/>
        <v/>
      </c>
      <c r="T47" s="4" t="str">
        <f t="shared" si="33"/>
        <v/>
      </c>
      <c r="U47" s="11" t="str">
        <f t="shared" si="34"/>
        <v/>
      </c>
      <c r="V47" s="263" t="str">
        <f t="shared" si="35"/>
        <v/>
      </c>
    </row>
    <row r="48" spans="2:29" x14ac:dyDescent="0.2">
      <c r="B48" s="41">
        <f t="shared" si="20"/>
        <v>45</v>
      </c>
      <c r="C48" s="228" t="str">
        <f>[3]CRe!J47</f>
        <v/>
      </c>
      <c r="D48" s="228" t="str">
        <f>[3]CRe!L47</f>
        <v/>
      </c>
      <c r="E48" s="3" t="str">
        <f t="shared" si="21"/>
        <v/>
      </c>
      <c r="F48" s="4" t="str">
        <f t="shared" si="22"/>
        <v/>
      </c>
      <c r="G48" s="4" t="str">
        <f t="shared" si="18"/>
        <v/>
      </c>
      <c r="H48" s="256" t="str">
        <f t="shared" si="19"/>
        <v/>
      </c>
      <c r="I48" s="4" t="str">
        <f>IF(G48="","",SLOPE(G$3:G48,B$3:B48))</f>
        <v/>
      </c>
      <c r="J48" s="318" t="str">
        <f t="shared" si="23"/>
        <v/>
      </c>
      <c r="K48" s="3" t="str">
        <f t="shared" si="24"/>
        <v/>
      </c>
      <c r="L48" s="260" t="str">
        <f t="shared" si="25"/>
        <v/>
      </c>
      <c r="M48" s="4" t="str">
        <f t="shared" si="26"/>
        <v/>
      </c>
      <c r="N48" s="3" t="str">
        <f t="shared" si="27"/>
        <v/>
      </c>
      <c r="O48" s="4" t="str">
        <f t="shared" si="28"/>
        <v/>
      </c>
      <c r="P48" s="318" t="str">
        <f t="shared" si="29"/>
        <v/>
      </c>
      <c r="Q48" s="3" t="str">
        <f t="shared" si="30"/>
        <v/>
      </c>
      <c r="R48" s="260" t="str">
        <f t="shared" si="31"/>
        <v/>
      </c>
      <c r="S48" s="3" t="str">
        <f t="shared" si="32"/>
        <v/>
      </c>
      <c r="T48" s="4" t="str">
        <f t="shared" si="33"/>
        <v/>
      </c>
      <c r="U48" s="11" t="str">
        <f t="shared" si="34"/>
        <v/>
      </c>
      <c r="V48" s="263" t="str">
        <f t="shared" si="35"/>
        <v/>
      </c>
    </row>
    <row r="49" spans="2:22" x14ac:dyDescent="0.2">
      <c r="B49" s="41">
        <f t="shared" si="20"/>
        <v>46</v>
      </c>
      <c r="C49" s="228" t="str">
        <f>[3]CRe!J48</f>
        <v/>
      </c>
      <c r="D49" s="228" t="str">
        <f>[3]CRe!L48</f>
        <v/>
      </c>
      <c r="E49" s="3" t="str">
        <f t="shared" si="21"/>
        <v/>
      </c>
      <c r="F49" s="4" t="str">
        <f t="shared" si="22"/>
        <v/>
      </c>
      <c r="G49" s="4" t="str">
        <f t="shared" si="18"/>
        <v/>
      </c>
      <c r="H49" s="256" t="str">
        <f t="shared" si="19"/>
        <v/>
      </c>
      <c r="I49" s="4" t="str">
        <f>IF(G49="","",SLOPE(G$3:G49,B$3:B49))</f>
        <v/>
      </c>
      <c r="J49" s="318" t="str">
        <f t="shared" si="23"/>
        <v/>
      </c>
      <c r="K49" s="3" t="str">
        <f t="shared" si="24"/>
        <v/>
      </c>
      <c r="L49" s="260" t="str">
        <f t="shared" si="25"/>
        <v/>
      </c>
      <c r="M49" s="4" t="str">
        <f t="shared" si="26"/>
        <v/>
      </c>
      <c r="N49" s="3" t="str">
        <f t="shared" si="27"/>
        <v/>
      </c>
      <c r="O49" s="4" t="str">
        <f t="shared" si="28"/>
        <v/>
      </c>
      <c r="P49" s="318" t="str">
        <f t="shared" si="29"/>
        <v/>
      </c>
      <c r="Q49" s="3" t="str">
        <f t="shared" si="30"/>
        <v/>
      </c>
      <c r="R49" s="260" t="str">
        <f t="shared" si="31"/>
        <v/>
      </c>
      <c r="S49" s="3" t="str">
        <f t="shared" si="32"/>
        <v/>
      </c>
      <c r="T49" s="4" t="str">
        <f t="shared" si="33"/>
        <v/>
      </c>
      <c r="U49" s="11" t="str">
        <f t="shared" si="34"/>
        <v/>
      </c>
      <c r="V49" s="263" t="str">
        <f t="shared" si="35"/>
        <v/>
      </c>
    </row>
    <row r="50" spans="2:22" x14ac:dyDescent="0.2">
      <c r="B50" s="41">
        <f t="shared" si="20"/>
        <v>47</v>
      </c>
      <c r="C50" s="228" t="str">
        <f>[3]CRe!J49</f>
        <v/>
      </c>
      <c r="D50" s="228" t="str">
        <f>[3]CRe!L49</f>
        <v/>
      </c>
      <c r="E50" s="3" t="str">
        <f t="shared" si="21"/>
        <v/>
      </c>
      <c r="F50" s="4" t="str">
        <f t="shared" si="22"/>
        <v/>
      </c>
      <c r="G50" s="4" t="str">
        <f t="shared" si="18"/>
        <v/>
      </c>
      <c r="H50" s="256" t="str">
        <f t="shared" si="19"/>
        <v/>
      </c>
      <c r="I50" s="4" t="str">
        <f>IF(G50="","",SLOPE(G$3:G50,B$3:B50))</f>
        <v/>
      </c>
      <c r="J50" s="318" t="str">
        <f t="shared" si="23"/>
        <v/>
      </c>
      <c r="K50" s="3" t="str">
        <f t="shared" si="24"/>
        <v/>
      </c>
      <c r="L50" s="260" t="str">
        <f t="shared" si="25"/>
        <v/>
      </c>
      <c r="M50" s="4" t="str">
        <f t="shared" si="26"/>
        <v/>
      </c>
      <c r="N50" s="3" t="str">
        <f t="shared" si="27"/>
        <v/>
      </c>
      <c r="O50" s="4" t="str">
        <f t="shared" si="28"/>
        <v/>
      </c>
      <c r="P50" s="318" t="str">
        <f t="shared" si="29"/>
        <v/>
      </c>
      <c r="Q50" s="3" t="str">
        <f t="shared" si="30"/>
        <v/>
      </c>
      <c r="R50" s="260" t="str">
        <f t="shared" si="31"/>
        <v/>
      </c>
      <c r="S50" s="3" t="str">
        <f t="shared" si="32"/>
        <v/>
      </c>
      <c r="T50" s="4" t="str">
        <f t="shared" si="33"/>
        <v/>
      </c>
      <c r="U50" s="11" t="str">
        <f t="shared" si="34"/>
        <v/>
      </c>
      <c r="V50" s="263" t="str">
        <f t="shared" si="35"/>
        <v/>
      </c>
    </row>
    <row r="51" spans="2:22" x14ac:dyDescent="0.2">
      <c r="B51" s="41">
        <f t="shared" si="20"/>
        <v>48</v>
      </c>
      <c r="C51" s="228" t="str">
        <f>[3]CRe!J50</f>
        <v/>
      </c>
      <c r="D51" s="228" t="str">
        <f>[3]CRe!L50</f>
        <v/>
      </c>
      <c r="E51" s="3" t="str">
        <f t="shared" si="21"/>
        <v/>
      </c>
      <c r="F51" s="4" t="str">
        <f t="shared" si="22"/>
        <v/>
      </c>
      <c r="G51" s="4" t="str">
        <f t="shared" si="18"/>
        <v/>
      </c>
      <c r="H51" s="256" t="str">
        <f t="shared" si="19"/>
        <v/>
      </c>
      <c r="I51" s="4" t="str">
        <f>IF(G51="","",SLOPE(G$3:G51,B$3:B51))</f>
        <v/>
      </c>
      <c r="J51" s="318" t="str">
        <f t="shared" si="23"/>
        <v/>
      </c>
      <c r="K51" s="3" t="str">
        <f t="shared" si="24"/>
        <v/>
      </c>
      <c r="L51" s="260" t="str">
        <f t="shared" si="25"/>
        <v/>
      </c>
      <c r="M51" s="4" t="str">
        <f t="shared" si="26"/>
        <v/>
      </c>
      <c r="N51" s="3" t="str">
        <f t="shared" si="27"/>
        <v/>
      </c>
      <c r="O51" s="4" t="str">
        <f t="shared" si="28"/>
        <v/>
      </c>
      <c r="P51" s="318" t="str">
        <f t="shared" si="29"/>
        <v/>
      </c>
      <c r="Q51" s="3" t="str">
        <f t="shared" si="30"/>
        <v/>
      </c>
      <c r="R51" s="260" t="str">
        <f t="shared" si="31"/>
        <v/>
      </c>
      <c r="S51" s="3" t="str">
        <f t="shared" si="32"/>
        <v/>
      </c>
      <c r="T51" s="4" t="str">
        <f t="shared" si="33"/>
        <v/>
      </c>
      <c r="U51" s="11" t="str">
        <f t="shared" si="34"/>
        <v/>
      </c>
      <c r="V51" s="263" t="str">
        <f t="shared" si="35"/>
        <v/>
      </c>
    </row>
    <row r="52" spans="2:22" x14ac:dyDescent="0.2">
      <c r="B52" s="41">
        <f t="shared" si="20"/>
        <v>49</v>
      </c>
      <c r="C52" s="228" t="str">
        <f>[3]CRe!J51</f>
        <v/>
      </c>
      <c r="D52" s="228" t="str">
        <f>[3]CRe!L51</f>
        <v/>
      </c>
      <c r="E52" s="3" t="str">
        <f t="shared" si="21"/>
        <v/>
      </c>
      <c r="F52" s="4" t="str">
        <f t="shared" si="22"/>
        <v/>
      </c>
      <c r="G52" s="4" t="str">
        <f t="shared" si="18"/>
        <v/>
      </c>
      <c r="H52" s="256" t="str">
        <f t="shared" si="19"/>
        <v/>
      </c>
      <c r="I52" s="4" t="str">
        <f>IF(G52="","",SLOPE(G$3:G52,B$3:B52))</f>
        <v/>
      </c>
      <c r="J52" s="318" t="str">
        <f t="shared" si="23"/>
        <v/>
      </c>
      <c r="K52" s="3" t="str">
        <f t="shared" si="24"/>
        <v/>
      </c>
      <c r="L52" s="260" t="str">
        <f t="shared" si="25"/>
        <v/>
      </c>
      <c r="M52" s="4" t="str">
        <f t="shared" si="26"/>
        <v/>
      </c>
      <c r="N52" s="3" t="str">
        <f t="shared" si="27"/>
        <v/>
      </c>
      <c r="O52" s="4" t="str">
        <f t="shared" si="28"/>
        <v/>
      </c>
      <c r="P52" s="318" t="str">
        <f t="shared" si="29"/>
        <v/>
      </c>
      <c r="Q52" s="3" t="str">
        <f t="shared" si="30"/>
        <v/>
      </c>
      <c r="R52" s="260" t="str">
        <f t="shared" si="31"/>
        <v/>
      </c>
      <c r="S52" s="3" t="str">
        <f t="shared" si="32"/>
        <v/>
      </c>
      <c r="T52" s="4" t="str">
        <f t="shared" si="33"/>
        <v/>
      </c>
      <c r="U52" s="11" t="str">
        <f t="shared" si="34"/>
        <v/>
      </c>
      <c r="V52" s="263" t="str">
        <f t="shared" si="35"/>
        <v/>
      </c>
    </row>
    <row r="53" spans="2:22" x14ac:dyDescent="0.2">
      <c r="B53" s="41">
        <f t="shared" si="20"/>
        <v>50</v>
      </c>
      <c r="C53" s="228" t="str">
        <f>[3]CRe!J52</f>
        <v/>
      </c>
      <c r="D53" s="228" t="str">
        <f>[3]CRe!L52</f>
        <v/>
      </c>
      <c r="E53" s="3" t="str">
        <f t="shared" si="21"/>
        <v/>
      </c>
      <c r="F53" s="4" t="str">
        <f t="shared" si="22"/>
        <v/>
      </c>
      <c r="G53" s="4" t="str">
        <f t="shared" si="18"/>
        <v/>
      </c>
      <c r="H53" s="256" t="str">
        <f t="shared" si="19"/>
        <v/>
      </c>
      <c r="I53" s="4" t="str">
        <f>IF(G53="","",SLOPE(G$3:G53,B$3:B53))</f>
        <v/>
      </c>
      <c r="J53" s="318" t="str">
        <f t="shared" si="23"/>
        <v/>
      </c>
      <c r="K53" s="3" t="str">
        <f t="shared" si="24"/>
        <v/>
      </c>
      <c r="L53" s="260" t="str">
        <f t="shared" si="25"/>
        <v/>
      </c>
      <c r="M53" s="4" t="str">
        <f t="shared" si="26"/>
        <v/>
      </c>
      <c r="N53" s="3" t="str">
        <f t="shared" si="27"/>
        <v/>
      </c>
      <c r="O53" s="4" t="str">
        <f t="shared" si="28"/>
        <v/>
      </c>
      <c r="P53" s="318" t="str">
        <f t="shared" si="29"/>
        <v/>
      </c>
      <c r="Q53" s="3" t="str">
        <f t="shared" si="30"/>
        <v/>
      </c>
      <c r="R53" s="260" t="str">
        <f t="shared" si="31"/>
        <v/>
      </c>
      <c r="S53" s="3" t="str">
        <f t="shared" si="32"/>
        <v/>
      </c>
      <c r="T53" s="4" t="str">
        <f t="shared" si="33"/>
        <v/>
      </c>
      <c r="U53" s="11" t="str">
        <f t="shared" si="34"/>
        <v/>
      </c>
      <c r="V53" s="263" t="str">
        <f t="shared" si="35"/>
        <v/>
      </c>
    </row>
    <row r="54" spans="2:22" x14ac:dyDescent="0.2">
      <c r="B54" s="41">
        <f t="shared" si="20"/>
        <v>51</v>
      </c>
      <c r="C54" s="228" t="str">
        <f>[3]CRe!J53</f>
        <v/>
      </c>
      <c r="D54" s="228" t="str">
        <f>[3]CRe!L53</f>
        <v/>
      </c>
      <c r="E54" s="3" t="str">
        <f t="shared" si="21"/>
        <v/>
      </c>
      <c r="F54" s="4" t="str">
        <f t="shared" si="22"/>
        <v/>
      </c>
      <c r="G54" s="4" t="str">
        <f t="shared" si="18"/>
        <v/>
      </c>
      <c r="H54" s="256" t="str">
        <f t="shared" si="19"/>
        <v/>
      </c>
      <c r="I54" s="4" t="str">
        <f>IF(G54="","",SLOPE(G$3:G54,B$3:B54))</f>
        <v/>
      </c>
      <c r="J54" s="318" t="str">
        <f t="shared" si="23"/>
        <v/>
      </c>
      <c r="K54" s="3" t="str">
        <f t="shared" si="24"/>
        <v/>
      </c>
      <c r="L54" s="260" t="str">
        <f t="shared" si="25"/>
        <v/>
      </c>
      <c r="M54" s="4" t="str">
        <f t="shared" si="26"/>
        <v/>
      </c>
      <c r="N54" s="3" t="str">
        <f t="shared" si="27"/>
        <v/>
      </c>
      <c r="O54" s="4" t="str">
        <f t="shared" si="28"/>
        <v/>
      </c>
      <c r="P54" s="318" t="str">
        <f t="shared" si="29"/>
        <v/>
      </c>
      <c r="Q54" s="3" t="str">
        <f t="shared" si="30"/>
        <v/>
      </c>
      <c r="R54" s="260" t="str">
        <f t="shared" si="31"/>
        <v/>
      </c>
      <c r="S54" s="3" t="str">
        <f t="shared" si="32"/>
        <v/>
      </c>
      <c r="T54" s="4" t="str">
        <f t="shared" si="33"/>
        <v/>
      </c>
      <c r="U54" s="11" t="str">
        <f t="shared" si="34"/>
        <v/>
      </c>
      <c r="V54" s="263" t="str">
        <f t="shared" si="35"/>
        <v/>
      </c>
    </row>
    <row r="55" spans="2:22" x14ac:dyDescent="0.2">
      <c r="B55" s="41">
        <f t="shared" si="20"/>
        <v>52</v>
      </c>
      <c r="C55" s="228" t="str">
        <f>[3]CRe!J54</f>
        <v/>
      </c>
      <c r="D55" s="228" t="str">
        <f>[3]CRe!L54</f>
        <v/>
      </c>
      <c r="E55" s="3" t="str">
        <f t="shared" si="21"/>
        <v/>
      </c>
      <c r="F55" s="4" t="str">
        <f t="shared" si="22"/>
        <v/>
      </c>
      <c r="G55" s="4" t="str">
        <f t="shared" si="18"/>
        <v/>
      </c>
      <c r="H55" s="256" t="str">
        <f t="shared" si="19"/>
        <v/>
      </c>
      <c r="I55" s="4" t="str">
        <f>IF(G55="","",SLOPE(G$3:G55,B$3:B55))</f>
        <v/>
      </c>
      <c r="J55" s="318" t="str">
        <f t="shared" si="23"/>
        <v/>
      </c>
      <c r="K55" s="3" t="str">
        <f t="shared" si="24"/>
        <v/>
      </c>
      <c r="L55" s="260" t="str">
        <f t="shared" si="25"/>
        <v/>
      </c>
      <c r="M55" s="4" t="str">
        <f t="shared" si="26"/>
        <v/>
      </c>
      <c r="N55" s="3" t="str">
        <f t="shared" si="27"/>
        <v/>
      </c>
      <c r="O55" s="4" t="str">
        <f t="shared" si="28"/>
        <v/>
      </c>
      <c r="P55" s="318" t="str">
        <f t="shared" si="29"/>
        <v/>
      </c>
      <c r="Q55" s="3" t="str">
        <f t="shared" si="30"/>
        <v/>
      </c>
      <c r="R55" s="260" t="str">
        <f t="shared" si="31"/>
        <v/>
      </c>
      <c r="S55" s="3" t="str">
        <f t="shared" si="32"/>
        <v/>
      </c>
      <c r="T55" s="4" t="str">
        <f t="shared" si="33"/>
        <v/>
      </c>
      <c r="U55" s="11" t="str">
        <f t="shared" si="34"/>
        <v/>
      </c>
      <c r="V55" s="263" t="str">
        <f t="shared" si="35"/>
        <v/>
      </c>
    </row>
    <row r="56" spans="2:22" x14ac:dyDescent="0.2">
      <c r="B56" s="41">
        <f t="shared" si="20"/>
        <v>53</v>
      </c>
      <c r="C56" s="228" t="str">
        <f>[3]CRe!J55</f>
        <v/>
      </c>
      <c r="D56" s="228" t="str">
        <f>[3]CRe!L55</f>
        <v/>
      </c>
      <c r="E56" s="3" t="str">
        <f t="shared" si="21"/>
        <v/>
      </c>
      <c r="F56" s="4" t="str">
        <f t="shared" si="22"/>
        <v/>
      </c>
      <c r="G56" s="4" t="str">
        <f t="shared" si="18"/>
        <v/>
      </c>
      <c r="H56" s="256" t="str">
        <f t="shared" si="19"/>
        <v/>
      </c>
      <c r="I56" s="4" t="str">
        <f>IF(G56="","",SLOPE(G$3:G56,B$3:B56))</f>
        <v/>
      </c>
      <c r="J56" s="318" t="str">
        <f t="shared" si="23"/>
        <v/>
      </c>
      <c r="K56" s="3" t="str">
        <f t="shared" si="24"/>
        <v/>
      </c>
      <c r="L56" s="260" t="str">
        <f t="shared" si="25"/>
        <v/>
      </c>
      <c r="M56" s="4" t="str">
        <f t="shared" si="26"/>
        <v/>
      </c>
      <c r="N56" s="3" t="str">
        <f t="shared" si="27"/>
        <v/>
      </c>
      <c r="O56" s="4" t="str">
        <f t="shared" si="28"/>
        <v/>
      </c>
      <c r="P56" s="318" t="str">
        <f t="shared" si="29"/>
        <v/>
      </c>
      <c r="Q56" s="3" t="str">
        <f t="shared" si="30"/>
        <v/>
      </c>
      <c r="R56" s="260" t="str">
        <f t="shared" si="31"/>
        <v/>
      </c>
      <c r="S56" s="3" t="str">
        <f t="shared" si="32"/>
        <v/>
      </c>
      <c r="T56" s="4" t="str">
        <f t="shared" si="33"/>
        <v/>
      </c>
      <c r="U56" s="11" t="str">
        <f t="shared" si="34"/>
        <v/>
      </c>
      <c r="V56" s="263" t="str">
        <f t="shared" si="35"/>
        <v/>
      </c>
    </row>
    <row r="57" spans="2:22" x14ac:dyDescent="0.2">
      <c r="B57" s="41">
        <f t="shared" si="20"/>
        <v>54</v>
      </c>
      <c r="C57" s="228" t="str">
        <f>[3]CRe!J56</f>
        <v/>
      </c>
      <c r="D57" s="228" t="str">
        <f>[3]CRe!L56</f>
        <v/>
      </c>
      <c r="E57" s="3" t="str">
        <f t="shared" si="21"/>
        <v/>
      </c>
      <c r="F57" s="4" t="str">
        <f t="shared" si="22"/>
        <v/>
      </c>
      <c r="G57" s="4" t="str">
        <f t="shared" si="18"/>
        <v/>
      </c>
      <c r="H57" s="256" t="str">
        <f t="shared" si="19"/>
        <v/>
      </c>
      <c r="I57" s="4" t="str">
        <f>IF(G57="","",SLOPE(G$3:G57,B$3:B57))</f>
        <v/>
      </c>
      <c r="J57" s="318" t="str">
        <f t="shared" si="23"/>
        <v/>
      </c>
      <c r="K57" s="3" t="str">
        <f t="shared" si="24"/>
        <v/>
      </c>
      <c r="L57" s="260" t="str">
        <f t="shared" si="25"/>
        <v/>
      </c>
      <c r="M57" s="4" t="str">
        <f t="shared" si="26"/>
        <v/>
      </c>
      <c r="N57" s="3" t="str">
        <f t="shared" si="27"/>
        <v/>
      </c>
      <c r="O57" s="4" t="str">
        <f t="shared" si="28"/>
        <v/>
      </c>
      <c r="P57" s="318" t="str">
        <f t="shared" si="29"/>
        <v/>
      </c>
      <c r="Q57" s="3" t="str">
        <f t="shared" si="30"/>
        <v/>
      </c>
      <c r="R57" s="260" t="str">
        <f t="shared" si="31"/>
        <v/>
      </c>
      <c r="S57" s="3" t="str">
        <f t="shared" si="32"/>
        <v/>
      </c>
      <c r="T57" s="4" t="str">
        <f t="shared" si="33"/>
        <v/>
      </c>
      <c r="U57" s="11" t="str">
        <f t="shared" si="34"/>
        <v/>
      </c>
      <c r="V57" s="263" t="str">
        <f t="shared" si="35"/>
        <v/>
      </c>
    </row>
    <row r="58" spans="2:22" x14ac:dyDescent="0.2">
      <c r="B58" s="41">
        <f t="shared" si="20"/>
        <v>55</v>
      </c>
      <c r="C58" s="228" t="str">
        <f>[3]CRe!J57</f>
        <v/>
      </c>
      <c r="D58" s="228" t="str">
        <f>[3]CRe!L57</f>
        <v/>
      </c>
      <c r="E58" s="3" t="str">
        <f t="shared" si="21"/>
        <v/>
      </c>
      <c r="F58" s="4" t="str">
        <f t="shared" si="22"/>
        <v/>
      </c>
      <c r="G58" s="4" t="str">
        <f t="shared" si="18"/>
        <v/>
      </c>
      <c r="H58" s="256" t="str">
        <f t="shared" si="19"/>
        <v/>
      </c>
      <c r="I58" s="4" t="str">
        <f>IF(G58="","",SLOPE(G$3:G58,B$3:B58))</f>
        <v/>
      </c>
      <c r="J58" s="318" t="str">
        <f t="shared" si="23"/>
        <v/>
      </c>
      <c r="K58" s="3" t="str">
        <f t="shared" si="24"/>
        <v/>
      </c>
      <c r="L58" s="260" t="str">
        <f t="shared" si="25"/>
        <v/>
      </c>
      <c r="M58" s="4" t="str">
        <f t="shared" si="26"/>
        <v/>
      </c>
      <c r="N58" s="3" t="str">
        <f t="shared" si="27"/>
        <v/>
      </c>
      <c r="O58" s="4" t="str">
        <f t="shared" si="28"/>
        <v/>
      </c>
      <c r="P58" s="318" t="str">
        <f t="shared" si="29"/>
        <v/>
      </c>
      <c r="Q58" s="3" t="str">
        <f t="shared" si="30"/>
        <v/>
      </c>
      <c r="R58" s="260" t="str">
        <f t="shared" si="31"/>
        <v/>
      </c>
      <c r="S58" s="3" t="str">
        <f t="shared" si="32"/>
        <v/>
      </c>
      <c r="T58" s="4" t="str">
        <f t="shared" si="33"/>
        <v/>
      </c>
      <c r="U58" s="11" t="str">
        <f t="shared" si="34"/>
        <v/>
      </c>
      <c r="V58" s="263" t="str">
        <f t="shared" si="35"/>
        <v/>
      </c>
    </row>
    <row r="59" spans="2:22" x14ac:dyDescent="0.2">
      <c r="B59" s="41">
        <f t="shared" si="20"/>
        <v>56</v>
      </c>
      <c r="C59" s="228" t="str">
        <f>[3]CRe!J58</f>
        <v/>
      </c>
      <c r="D59" s="228" t="str">
        <f>[3]CRe!L58</f>
        <v/>
      </c>
      <c r="E59" s="3" t="str">
        <f t="shared" si="21"/>
        <v/>
      </c>
      <c r="F59" s="4" t="str">
        <f t="shared" si="22"/>
        <v/>
      </c>
      <c r="G59" s="4" t="str">
        <f t="shared" si="18"/>
        <v/>
      </c>
      <c r="H59" s="256" t="str">
        <f t="shared" si="19"/>
        <v/>
      </c>
      <c r="I59" s="4" t="str">
        <f>IF(G59="","",SLOPE(G$3:G59,B$3:B59))</f>
        <v/>
      </c>
      <c r="J59" s="318" t="str">
        <f t="shared" si="23"/>
        <v/>
      </c>
      <c r="K59" s="3" t="str">
        <f t="shared" si="24"/>
        <v/>
      </c>
      <c r="L59" s="260" t="str">
        <f t="shared" si="25"/>
        <v/>
      </c>
      <c r="M59" s="4" t="str">
        <f t="shared" si="26"/>
        <v/>
      </c>
      <c r="N59" s="3" t="str">
        <f t="shared" si="27"/>
        <v/>
      </c>
      <c r="O59" s="4" t="str">
        <f t="shared" si="28"/>
        <v/>
      </c>
      <c r="P59" s="318" t="str">
        <f t="shared" si="29"/>
        <v/>
      </c>
      <c r="Q59" s="3" t="str">
        <f t="shared" si="30"/>
        <v/>
      </c>
      <c r="R59" s="260" t="str">
        <f t="shared" si="31"/>
        <v/>
      </c>
      <c r="S59" s="3" t="str">
        <f t="shared" si="32"/>
        <v/>
      </c>
      <c r="T59" s="4" t="str">
        <f t="shared" si="33"/>
        <v/>
      </c>
      <c r="U59" s="11" t="str">
        <f t="shared" si="34"/>
        <v/>
      </c>
      <c r="V59" s="263" t="str">
        <f t="shared" si="35"/>
        <v/>
      </c>
    </row>
    <row r="60" spans="2:22" x14ac:dyDescent="0.2">
      <c r="B60" s="41">
        <f t="shared" si="20"/>
        <v>57</v>
      </c>
      <c r="C60" s="228" t="str">
        <f>[3]CRe!J59</f>
        <v/>
      </c>
      <c r="D60" s="228" t="str">
        <f>[3]CRe!L59</f>
        <v/>
      </c>
      <c r="E60" s="3" t="str">
        <f t="shared" si="21"/>
        <v/>
      </c>
      <c r="F60" s="4" t="str">
        <f t="shared" si="22"/>
        <v/>
      </c>
      <c r="G60" s="4" t="str">
        <f t="shared" si="18"/>
        <v/>
      </c>
      <c r="H60" s="256" t="str">
        <f t="shared" si="19"/>
        <v/>
      </c>
      <c r="I60" s="4" t="str">
        <f>IF(G60="","",SLOPE(G$3:G60,B$3:B60))</f>
        <v/>
      </c>
      <c r="J60" s="318" t="str">
        <f t="shared" si="23"/>
        <v/>
      </c>
      <c r="K60" s="3" t="str">
        <f t="shared" si="24"/>
        <v/>
      </c>
      <c r="L60" s="260" t="str">
        <f t="shared" si="25"/>
        <v/>
      </c>
      <c r="M60" s="4" t="str">
        <f t="shared" si="26"/>
        <v/>
      </c>
      <c r="N60" s="3" t="str">
        <f t="shared" si="27"/>
        <v/>
      </c>
      <c r="O60" s="4" t="str">
        <f t="shared" si="28"/>
        <v/>
      </c>
      <c r="P60" s="318" t="str">
        <f t="shared" si="29"/>
        <v/>
      </c>
      <c r="Q60" s="3" t="str">
        <f t="shared" si="30"/>
        <v/>
      </c>
      <c r="R60" s="260" t="str">
        <f t="shared" si="31"/>
        <v/>
      </c>
      <c r="S60" s="3" t="str">
        <f t="shared" si="32"/>
        <v/>
      </c>
      <c r="T60" s="4" t="str">
        <f t="shared" si="33"/>
        <v/>
      </c>
      <c r="U60" s="11" t="str">
        <f t="shared" si="34"/>
        <v/>
      </c>
      <c r="V60" s="263" t="str">
        <f t="shared" si="35"/>
        <v/>
      </c>
    </row>
    <row r="61" spans="2:22" x14ac:dyDescent="0.2">
      <c r="B61" s="41">
        <f t="shared" si="20"/>
        <v>58</v>
      </c>
      <c r="C61" s="228" t="str">
        <f>[3]CRe!J60</f>
        <v/>
      </c>
      <c r="D61" s="228" t="str">
        <f>[3]CRe!L60</f>
        <v/>
      </c>
      <c r="E61" s="3" t="str">
        <f t="shared" si="21"/>
        <v/>
      </c>
      <c r="F61" s="4" t="str">
        <f t="shared" si="22"/>
        <v/>
      </c>
      <c r="G61" s="4" t="str">
        <f t="shared" si="18"/>
        <v/>
      </c>
      <c r="H61" s="256" t="str">
        <f t="shared" si="19"/>
        <v/>
      </c>
      <c r="I61" s="4" t="str">
        <f>IF(G61="","",SLOPE(G$3:G61,B$3:B61))</f>
        <v/>
      </c>
      <c r="J61" s="318" t="str">
        <f t="shared" si="23"/>
        <v/>
      </c>
      <c r="K61" s="3" t="str">
        <f t="shared" si="24"/>
        <v/>
      </c>
      <c r="L61" s="260" t="str">
        <f t="shared" si="25"/>
        <v/>
      </c>
      <c r="M61" s="4" t="str">
        <f t="shared" si="26"/>
        <v/>
      </c>
      <c r="N61" s="3" t="str">
        <f t="shared" si="27"/>
        <v/>
      </c>
      <c r="O61" s="4" t="str">
        <f t="shared" si="28"/>
        <v/>
      </c>
      <c r="P61" s="318" t="str">
        <f t="shared" si="29"/>
        <v/>
      </c>
      <c r="Q61" s="3" t="str">
        <f t="shared" si="30"/>
        <v/>
      </c>
      <c r="R61" s="260" t="str">
        <f t="shared" si="31"/>
        <v/>
      </c>
      <c r="S61" s="3" t="str">
        <f t="shared" si="32"/>
        <v/>
      </c>
      <c r="T61" s="4" t="str">
        <f t="shared" si="33"/>
        <v/>
      </c>
      <c r="U61" s="11" t="str">
        <f t="shared" si="34"/>
        <v/>
      </c>
      <c r="V61" s="263" t="str">
        <f t="shared" si="35"/>
        <v/>
      </c>
    </row>
    <row r="62" spans="2:22" x14ac:dyDescent="0.2">
      <c r="B62" s="41">
        <f t="shared" si="20"/>
        <v>59</v>
      </c>
      <c r="C62" s="228" t="str">
        <f>[3]CRe!J61</f>
        <v/>
      </c>
      <c r="D62" s="228" t="str">
        <f>[3]CRe!L61</f>
        <v/>
      </c>
      <c r="E62" s="3" t="str">
        <f t="shared" si="21"/>
        <v/>
      </c>
      <c r="F62" s="4" t="str">
        <f t="shared" si="22"/>
        <v/>
      </c>
      <c r="G62" s="4" t="str">
        <f t="shared" si="18"/>
        <v/>
      </c>
      <c r="H62" s="256" t="str">
        <f t="shared" si="19"/>
        <v/>
      </c>
      <c r="I62" s="4" t="str">
        <f>IF(G62="","",SLOPE(G$3:G62,B$3:B62))</f>
        <v/>
      </c>
      <c r="J62" s="318" t="str">
        <f t="shared" si="23"/>
        <v/>
      </c>
      <c r="K62" s="3" t="str">
        <f t="shared" si="24"/>
        <v/>
      </c>
      <c r="L62" s="260" t="str">
        <f t="shared" si="25"/>
        <v/>
      </c>
      <c r="M62" s="4" t="str">
        <f t="shared" si="26"/>
        <v/>
      </c>
      <c r="N62" s="3" t="str">
        <f t="shared" si="27"/>
        <v/>
      </c>
      <c r="O62" s="4" t="str">
        <f t="shared" si="28"/>
        <v/>
      </c>
      <c r="P62" s="318" t="str">
        <f t="shared" si="29"/>
        <v/>
      </c>
      <c r="Q62" s="3" t="str">
        <f t="shared" si="30"/>
        <v/>
      </c>
      <c r="R62" s="260" t="str">
        <f t="shared" si="31"/>
        <v/>
      </c>
      <c r="S62" s="3" t="str">
        <f t="shared" si="32"/>
        <v/>
      </c>
      <c r="T62" s="4" t="str">
        <f t="shared" si="33"/>
        <v/>
      </c>
      <c r="U62" s="11" t="str">
        <f t="shared" si="34"/>
        <v/>
      </c>
      <c r="V62" s="263" t="str">
        <f t="shared" si="35"/>
        <v/>
      </c>
    </row>
    <row r="63" spans="2:22" x14ac:dyDescent="0.2">
      <c r="B63" s="41">
        <f t="shared" si="20"/>
        <v>60</v>
      </c>
      <c r="C63" s="228" t="str">
        <f>[3]CRe!J62</f>
        <v/>
      </c>
      <c r="D63" s="228" t="str">
        <f>[3]CRe!L62</f>
        <v/>
      </c>
      <c r="E63" s="3" t="str">
        <f t="shared" si="21"/>
        <v/>
      </c>
      <c r="F63" s="4" t="str">
        <f t="shared" si="22"/>
        <v/>
      </c>
      <c r="G63" s="4" t="str">
        <f t="shared" si="18"/>
        <v/>
      </c>
      <c r="H63" s="256" t="str">
        <f t="shared" si="19"/>
        <v/>
      </c>
      <c r="I63" s="4" t="str">
        <f>IF(G63="","",SLOPE(G$3:G63,B$3:B63))</f>
        <v/>
      </c>
      <c r="J63" s="318" t="str">
        <f t="shared" si="23"/>
        <v/>
      </c>
      <c r="K63" s="3" t="str">
        <f t="shared" si="24"/>
        <v/>
      </c>
      <c r="L63" s="260" t="str">
        <f t="shared" si="25"/>
        <v/>
      </c>
      <c r="M63" s="4" t="str">
        <f t="shared" si="26"/>
        <v/>
      </c>
      <c r="N63" s="3" t="str">
        <f t="shared" si="27"/>
        <v/>
      </c>
      <c r="O63" s="4" t="str">
        <f t="shared" si="28"/>
        <v/>
      </c>
      <c r="P63" s="318" t="str">
        <f t="shared" si="29"/>
        <v/>
      </c>
      <c r="Q63" s="3" t="str">
        <f t="shared" si="30"/>
        <v/>
      </c>
      <c r="R63" s="260" t="str">
        <f t="shared" si="31"/>
        <v/>
      </c>
      <c r="S63" s="3" t="str">
        <f t="shared" si="32"/>
        <v/>
      </c>
      <c r="T63" s="4" t="str">
        <f t="shared" si="33"/>
        <v/>
      </c>
      <c r="U63" s="11" t="str">
        <f t="shared" si="34"/>
        <v/>
      </c>
      <c r="V63" s="263" t="str">
        <f t="shared" si="35"/>
        <v/>
      </c>
    </row>
    <row r="64" spans="2:22" x14ac:dyDescent="0.2">
      <c r="B64" s="41">
        <f t="shared" si="20"/>
        <v>61</v>
      </c>
      <c r="C64" s="228" t="str">
        <f>[3]CRe!J63</f>
        <v/>
      </c>
      <c r="D64" s="228" t="str">
        <f>[3]CRe!L63</f>
        <v/>
      </c>
      <c r="E64" s="3" t="str">
        <f t="shared" si="21"/>
        <v/>
      </c>
      <c r="F64" s="4" t="str">
        <f t="shared" si="22"/>
        <v/>
      </c>
      <c r="G64" s="4" t="str">
        <f t="shared" si="18"/>
        <v/>
      </c>
      <c r="H64" s="256" t="str">
        <f t="shared" si="19"/>
        <v/>
      </c>
      <c r="I64" s="4" t="str">
        <f>IF(G64="","",SLOPE(G$3:G64,B$3:B64))</f>
        <v/>
      </c>
      <c r="J64" s="318" t="str">
        <f t="shared" si="23"/>
        <v/>
      </c>
      <c r="K64" s="3" t="str">
        <f t="shared" si="24"/>
        <v/>
      </c>
      <c r="L64" s="260" t="str">
        <f t="shared" si="25"/>
        <v/>
      </c>
      <c r="M64" s="4" t="str">
        <f t="shared" si="26"/>
        <v/>
      </c>
      <c r="N64" s="3" t="str">
        <f t="shared" si="27"/>
        <v/>
      </c>
      <c r="O64" s="4" t="str">
        <f t="shared" si="28"/>
        <v/>
      </c>
      <c r="P64" s="318" t="str">
        <f t="shared" si="29"/>
        <v/>
      </c>
      <c r="Q64" s="3" t="str">
        <f t="shared" si="30"/>
        <v/>
      </c>
      <c r="R64" s="260" t="str">
        <f t="shared" si="31"/>
        <v/>
      </c>
      <c r="S64" s="3" t="str">
        <f t="shared" si="32"/>
        <v/>
      </c>
      <c r="T64" s="4" t="str">
        <f t="shared" si="33"/>
        <v/>
      </c>
      <c r="U64" s="11" t="str">
        <f t="shared" si="34"/>
        <v/>
      </c>
      <c r="V64" s="263" t="str">
        <f t="shared" si="35"/>
        <v/>
      </c>
    </row>
    <row r="65" spans="2:25" x14ac:dyDescent="0.2">
      <c r="B65" s="41">
        <f t="shared" si="20"/>
        <v>62</v>
      </c>
      <c r="C65" s="228" t="str">
        <f>[3]CRe!J64</f>
        <v/>
      </c>
      <c r="D65" s="228" t="str">
        <f>[3]CRe!L64</f>
        <v/>
      </c>
      <c r="E65" s="3" t="str">
        <f t="shared" si="21"/>
        <v/>
      </c>
      <c r="F65" s="4" t="str">
        <f t="shared" si="22"/>
        <v/>
      </c>
      <c r="G65" s="4" t="str">
        <f t="shared" si="18"/>
        <v/>
      </c>
      <c r="H65" s="256" t="str">
        <f t="shared" si="19"/>
        <v/>
      </c>
      <c r="I65" s="4" t="str">
        <f>IF(G65="","",SLOPE(G$3:G65,B$3:B65))</f>
        <v/>
      </c>
      <c r="J65" s="318" t="str">
        <f t="shared" si="23"/>
        <v/>
      </c>
      <c r="K65" s="3" t="str">
        <f t="shared" si="24"/>
        <v/>
      </c>
      <c r="L65" s="260" t="str">
        <f t="shared" si="25"/>
        <v/>
      </c>
      <c r="M65" s="4" t="str">
        <f t="shared" si="26"/>
        <v/>
      </c>
      <c r="N65" s="3" t="str">
        <f t="shared" si="27"/>
        <v/>
      </c>
      <c r="O65" s="4" t="str">
        <f t="shared" si="28"/>
        <v/>
      </c>
      <c r="P65" s="318" t="str">
        <f t="shared" si="29"/>
        <v/>
      </c>
      <c r="Q65" s="3" t="str">
        <f t="shared" si="30"/>
        <v/>
      </c>
      <c r="R65" s="260" t="str">
        <f t="shared" si="31"/>
        <v/>
      </c>
      <c r="S65" s="3" t="str">
        <f t="shared" si="32"/>
        <v/>
      </c>
      <c r="T65" s="4" t="str">
        <f t="shared" si="33"/>
        <v/>
      </c>
      <c r="U65" s="11" t="str">
        <f t="shared" si="34"/>
        <v/>
      </c>
      <c r="V65" s="263" t="str">
        <f t="shared" si="35"/>
        <v/>
      </c>
    </row>
    <row r="66" spans="2:25" x14ac:dyDescent="0.2">
      <c r="B66" s="41">
        <f t="shared" si="20"/>
        <v>63</v>
      </c>
      <c r="C66" s="228" t="str">
        <f>[3]CRe!J65</f>
        <v/>
      </c>
      <c r="D66" s="228" t="str">
        <f>[3]CRe!L65</f>
        <v/>
      </c>
      <c r="E66" s="3" t="str">
        <f t="shared" si="21"/>
        <v/>
      </c>
      <c r="F66" s="4" t="str">
        <f t="shared" si="22"/>
        <v/>
      </c>
      <c r="G66" s="4" t="str">
        <f t="shared" si="18"/>
        <v/>
      </c>
      <c r="H66" s="256" t="str">
        <f t="shared" si="19"/>
        <v/>
      </c>
      <c r="I66" s="4" t="str">
        <f>IF(G66="","",SLOPE(G$3:G66,B$3:B66))</f>
        <v/>
      </c>
      <c r="J66" s="318" t="str">
        <f t="shared" si="23"/>
        <v/>
      </c>
      <c r="K66" s="3" t="str">
        <f t="shared" si="24"/>
        <v/>
      </c>
      <c r="L66" s="260" t="str">
        <f t="shared" si="25"/>
        <v/>
      </c>
      <c r="M66" s="4" t="str">
        <f t="shared" si="26"/>
        <v/>
      </c>
      <c r="N66" s="3" t="str">
        <f t="shared" si="27"/>
        <v/>
      </c>
      <c r="O66" s="4" t="str">
        <f t="shared" si="28"/>
        <v/>
      </c>
      <c r="P66" s="318" t="str">
        <f t="shared" si="29"/>
        <v/>
      </c>
      <c r="Q66" s="3" t="str">
        <f t="shared" si="30"/>
        <v/>
      </c>
      <c r="R66" s="260" t="str">
        <f t="shared" si="31"/>
        <v/>
      </c>
      <c r="S66" s="3" t="str">
        <f t="shared" si="32"/>
        <v/>
      </c>
      <c r="T66" s="4" t="str">
        <f t="shared" si="33"/>
        <v/>
      </c>
      <c r="U66" s="11" t="str">
        <f t="shared" si="34"/>
        <v/>
      </c>
      <c r="V66" s="263" t="str">
        <f t="shared" si="35"/>
        <v/>
      </c>
    </row>
    <row r="67" spans="2:25" x14ac:dyDescent="0.2">
      <c r="B67" s="41">
        <f t="shared" si="20"/>
        <v>64</v>
      </c>
      <c r="C67" s="228" t="str">
        <f>[3]CRe!J66</f>
        <v/>
      </c>
      <c r="D67" s="228" t="str">
        <f>[3]CRe!L66</f>
        <v/>
      </c>
      <c r="E67" s="3" t="str">
        <f t="shared" si="21"/>
        <v/>
      </c>
      <c r="F67" s="4" t="str">
        <f t="shared" si="22"/>
        <v/>
      </c>
      <c r="G67" s="4" t="str">
        <f t="shared" ref="G67:G98" si="36">IF(F67="","",Z$40+F67)</f>
        <v/>
      </c>
      <c r="H67" s="256" t="str">
        <f t="shared" ref="H67:H98" si="37">IF(G67="","",(G67+Z$44)/Z$45)</f>
        <v/>
      </c>
      <c r="I67" s="4" t="str">
        <f>IF(G67="","",SLOPE(G$3:G67,B$3:B67))</f>
        <v/>
      </c>
      <c r="J67" s="318" t="str">
        <f t="shared" si="23"/>
        <v/>
      </c>
      <c r="K67" s="3" t="str">
        <f t="shared" si="24"/>
        <v/>
      </c>
      <c r="L67" s="260" t="str">
        <f t="shared" si="25"/>
        <v/>
      </c>
      <c r="M67" s="4" t="str">
        <f t="shared" si="26"/>
        <v/>
      </c>
      <c r="N67" s="3" t="str">
        <f t="shared" si="27"/>
        <v/>
      </c>
      <c r="O67" s="4" t="str">
        <f t="shared" si="28"/>
        <v/>
      </c>
      <c r="P67" s="318" t="str">
        <f t="shared" si="29"/>
        <v/>
      </c>
      <c r="Q67" s="3" t="str">
        <f t="shared" si="30"/>
        <v/>
      </c>
      <c r="R67" s="260" t="str">
        <f t="shared" si="31"/>
        <v/>
      </c>
      <c r="S67" s="3" t="str">
        <f t="shared" si="32"/>
        <v/>
      </c>
      <c r="T67" s="4" t="str">
        <f t="shared" si="33"/>
        <v/>
      </c>
      <c r="U67" s="11" t="str">
        <f t="shared" si="34"/>
        <v/>
      </c>
      <c r="V67" s="263" t="str">
        <f t="shared" si="35"/>
        <v/>
      </c>
    </row>
    <row r="68" spans="2:25" x14ac:dyDescent="0.2">
      <c r="B68" s="41">
        <f t="shared" ref="B68:B103" si="38">B67+1</f>
        <v>65</v>
      </c>
      <c r="C68" s="228" t="str">
        <f>[3]CRe!J67</f>
        <v/>
      </c>
      <c r="D68" s="228" t="str">
        <f>[3]CRe!L67</f>
        <v/>
      </c>
      <c r="E68" s="3" t="str">
        <f t="shared" ref="E68:E103" si="39">IF(C68="","",E67+1)</f>
        <v/>
      </c>
      <c r="F68" s="4" t="str">
        <f t="shared" ref="F68:F103" si="40">IF(C68="","",F67+C68)</f>
        <v/>
      </c>
      <c r="G68" s="4" t="str">
        <f t="shared" si="36"/>
        <v/>
      </c>
      <c r="H68" s="256" t="str">
        <f t="shared" si="37"/>
        <v/>
      </c>
      <c r="I68" s="4" t="str">
        <f>IF(G68="","",SLOPE(G$3:G68,B$3:B68))</f>
        <v/>
      </c>
      <c r="J68" s="318" t="str">
        <f t="shared" ref="J68:J103" si="41">IF(D68="","",IF(D68&gt;0,J67*(1+D68/100),J67))</f>
        <v/>
      </c>
      <c r="K68" s="3" t="str">
        <f t="shared" ref="K68:K103" si="42">E68</f>
        <v/>
      </c>
      <c r="L68" s="260" t="str">
        <f t="shared" ref="L68:L103" si="43">IF(C68="","",IF(C68&gt;0,L67+1,L67))</f>
        <v/>
      </c>
      <c r="M68" s="4" t="str">
        <f t="shared" ref="M68:M99" si="44">IF(J68="","",IF(L68=0,"",100*(J68^(1/L68)-1)))</f>
        <v/>
      </c>
      <c r="N68" s="3" t="str">
        <f t="shared" ref="N68:N103" si="45">E68</f>
        <v/>
      </c>
      <c r="O68" s="4" t="str">
        <f t="shared" ref="O68:O103" si="46">IF(C68="","",IF(L68=0,"",100*L68/B68))</f>
        <v/>
      </c>
      <c r="P68" s="318" t="str">
        <f t="shared" ref="P68:P103" si="47">IF(D68="","",IF(D68&lt;0,P67*(1+D68/100),P67))</f>
        <v/>
      </c>
      <c r="Q68" s="3" t="str">
        <f t="shared" ref="Q68:Q103" si="48">E68</f>
        <v/>
      </c>
      <c r="R68" s="260" t="str">
        <f t="shared" ref="R68:R103" si="49">IF(C68="","",IF(C68&lt;0,R67+1,R67))</f>
        <v/>
      </c>
      <c r="S68" s="3" t="str">
        <f t="shared" ref="S68:S103" si="50">E68</f>
        <v/>
      </c>
      <c r="T68" s="4" t="str">
        <f t="shared" ref="T68:T103" si="51">IF(P68="","",IF(R68=0,"",100*(P68^(1/R68)-1)))</f>
        <v/>
      </c>
      <c r="U68" s="11" t="str">
        <f t="shared" ref="U68:U103" si="52">E68</f>
        <v/>
      </c>
      <c r="V68" s="263" t="str">
        <f t="shared" ref="V68:V103" si="53">IF(M68="","",IF(T68="","",-M68/T68))</f>
        <v/>
      </c>
    </row>
    <row r="69" spans="2:25" x14ac:dyDescent="0.2">
      <c r="B69" s="41">
        <f t="shared" si="38"/>
        <v>66</v>
      </c>
      <c r="C69" s="228" t="str">
        <f>[3]CRe!J68</f>
        <v/>
      </c>
      <c r="D69" s="228" t="str">
        <f>[3]CRe!L68</f>
        <v/>
      </c>
      <c r="E69" s="3" t="str">
        <f t="shared" si="39"/>
        <v/>
      </c>
      <c r="F69" s="4" t="str">
        <f t="shared" si="40"/>
        <v/>
      </c>
      <c r="G69" s="4" t="str">
        <f t="shared" si="36"/>
        <v/>
      </c>
      <c r="H69" s="256" t="str">
        <f t="shared" si="37"/>
        <v/>
      </c>
      <c r="I69" s="4" t="str">
        <f>IF(G69="","",SLOPE(G$3:G69,B$3:B69))</f>
        <v/>
      </c>
      <c r="J69" s="318" t="str">
        <f t="shared" si="41"/>
        <v/>
      </c>
      <c r="K69" s="3" t="str">
        <f t="shared" si="42"/>
        <v/>
      </c>
      <c r="L69" s="260" t="str">
        <f t="shared" si="43"/>
        <v/>
      </c>
      <c r="M69" s="4" t="str">
        <f t="shared" si="44"/>
        <v/>
      </c>
      <c r="N69" s="3" t="str">
        <f t="shared" si="45"/>
        <v/>
      </c>
      <c r="O69" s="4" t="str">
        <f t="shared" si="46"/>
        <v/>
      </c>
      <c r="P69" s="318" t="str">
        <f t="shared" si="47"/>
        <v/>
      </c>
      <c r="Q69" s="3" t="str">
        <f t="shared" si="48"/>
        <v/>
      </c>
      <c r="R69" s="260" t="str">
        <f t="shared" si="49"/>
        <v/>
      </c>
      <c r="S69" s="3" t="str">
        <f t="shared" si="50"/>
        <v/>
      </c>
      <c r="T69" s="4" t="str">
        <f t="shared" si="51"/>
        <v/>
      </c>
      <c r="U69" s="11" t="str">
        <f t="shared" si="52"/>
        <v/>
      </c>
      <c r="V69" s="263" t="str">
        <f t="shared" si="53"/>
        <v/>
      </c>
      <c r="Y69"/>
    </row>
    <row r="70" spans="2:25" x14ac:dyDescent="0.2">
      <c r="B70" s="41">
        <f t="shared" si="38"/>
        <v>67</v>
      </c>
      <c r="C70" s="228" t="str">
        <f>[3]CRe!J69</f>
        <v/>
      </c>
      <c r="D70" s="228" t="str">
        <f>[3]CRe!L69</f>
        <v/>
      </c>
      <c r="E70" s="3" t="str">
        <f t="shared" si="39"/>
        <v/>
      </c>
      <c r="F70" s="4" t="str">
        <f t="shared" si="40"/>
        <v/>
      </c>
      <c r="G70" s="4" t="str">
        <f t="shared" si="36"/>
        <v/>
      </c>
      <c r="H70" s="256" t="str">
        <f t="shared" si="37"/>
        <v/>
      </c>
      <c r="I70" s="4" t="str">
        <f>IF(G70="","",SLOPE(G$3:G70,B$3:B70))</f>
        <v/>
      </c>
      <c r="J70" s="318" t="str">
        <f t="shared" si="41"/>
        <v/>
      </c>
      <c r="K70" s="3" t="str">
        <f t="shared" si="42"/>
        <v/>
      </c>
      <c r="L70" s="260" t="str">
        <f t="shared" si="43"/>
        <v/>
      </c>
      <c r="M70" s="4" t="str">
        <f t="shared" si="44"/>
        <v/>
      </c>
      <c r="N70" s="3" t="str">
        <f t="shared" si="45"/>
        <v/>
      </c>
      <c r="O70" s="4" t="str">
        <f t="shared" si="46"/>
        <v/>
      </c>
      <c r="P70" s="318" t="str">
        <f t="shared" si="47"/>
        <v/>
      </c>
      <c r="Q70" s="3" t="str">
        <f t="shared" si="48"/>
        <v/>
      </c>
      <c r="R70" s="260" t="str">
        <f t="shared" si="49"/>
        <v/>
      </c>
      <c r="S70" s="3" t="str">
        <f t="shared" si="50"/>
        <v/>
      </c>
      <c r="T70" s="4" t="str">
        <f t="shared" si="51"/>
        <v/>
      </c>
      <c r="U70" s="11" t="str">
        <f t="shared" si="52"/>
        <v/>
      </c>
      <c r="V70" s="263" t="str">
        <f t="shared" si="53"/>
        <v/>
      </c>
      <c r="Y70"/>
    </row>
    <row r="71" spans="2:25" x14ac:dyDescent="0.2">
      <c r="B71" s="41">
        <f t="shared" si="38"/>
        <v>68</v>
      </c>
      <c r="C71" s="228" t="str">
        <f>[3]CRe!J70</f>
        <v/>
      </c>
      <c r="D71" s="228" t="str">
        <f>[3]CRe!L70</f>
        <v/>
      </c>
      <c r="E71" s="3" t="str">
        <f t="shared" si="39"/>
        <v/>
      </c>
      <c r="F71" s="4" t="str">
        <f t="shared" si="40"/>
        <v/>
      </c>
      <c r="G71" s="4" t="str">
        <f t="shared" si="36"/>
        <v/>
      </c>
      <c r="H71" s="256" t="str">
        <f t="shared" si="37"/>
        <v/>
      </c>
      <c r="I71" s="4" t="str">
        <f>IF(G71="","",SLOPE(G$3:G71,B$3:B71))</f>
        <v/>
      </c>
      <c r="J71" s="318" t="str">
        <f t="shared" si="41"/>
        <v/>
      </c>
      <c r="K71" s="3" t="str">
        <f t="shared" si="42"/>
        <v/>
      </c>
      <c r="L71" s="260" t="str">
        <f t="shared" si="43"/>
        <v/>
      </c>
      <c r="M71" s="4" t="str">
        <f t="shared" si="44"/>
        <v/>
      </c>
      <c r="N71" s="3" t="str">
        <f t="shared" si="45"/>
        <v/>
      </c>
      <c r="O71" s="4" t="str">
        <f t="shared" si="46"/>
        <v/>
      </c>
      <c r="P71" s="318" t="str">
        <f t="shared" si="47"/>
        <v/>
      </c>
      <c r="Q71" s="3" t="str">
        <f t="shared" si="48"/>
        <v/>
      </c>
      <c r="R71" s="260" t="str">
        <f t="shared" si="49"/>
        <v/>
      </c>
      <c r="S71" s="3" t="str">
        <f t="shared" si="50"/>
        <v/>
      </c>
      <c r="T71" s="4" t="str">
        <f t="shared" si="51"/>
        <v/>
      </c>
      <c r="U71" s="11" t="str">
        <f t="shared" si="52"/>
        <v/>
      </c>
      <c r="V71" s="263" t="str">
        <f t="shared" si="53"/>
        <v/>
      </c>
      <c r="Y71"/>
    </row>
    <row r="72" spans="2:25" x14ac:dyDescent="0.2">
      <c r="B72" s="41">
        <f t="shared" si="38"/>
        <v>69</v>
      </c>
      <c r="C72" s="228" t="str">
        <f>[3]CRe!J71</f>
        <v/>
      </c>
      <c r="D72" s="228" t="str">
        <f>[3]CRe!L71</f>
        <v/>
      </c>
      <c r="E72" s="3" t="str">
        <f t="shared" si="39"/>
        <v/>
      </c>
      <c r="F72" s="4" t="str">
        <f t="shared" si="40"/>
        <v/>
      </c>
      <c r="G72" s="4" t="str">
        <f t="shared" si="36"/>
        <v/>
      </c>
      <c r="H72" s="256" t="str">
        <f t="shared" si="37"/>
        <v/>
      </c>
      <c r="I72" s="4" t="str">
        <f>IF(G72="","",SLOPE(G$3:G72,B$3:B72))</f>
        <v/>
      </c>
      <c r="J72" s="318" t="str">
        <f t="shared" si="41"/>
        <v/>
      </c>
      <c r="K72" s="3" t="str">
        <f t="shared" si="42"/>
        <v/>
      </c>
      <c r="L72" s="260" t="str">
        <f t="shared" si="43"/>
        <v/>
      </c>
      <c r="M72" s="4" t="str">
        <f t="shared" si="44"/>
        <v/>
      </c>
      <c r="N72" s="3" t="str">
        <f t="shared" si="45"/>
        <v/>
      </c>
      <c r="O72" s="4" t="str">
        <f t="shared" si="46"/>
        <v/>
      </c>
      <c r="P72" s="318" t="str">
        <f t="shared" si="47"/>
        <v/>
      </c>
      <c r="Q72" s="3" t="str">
        <f t="shared" si="48"/>
        <v/>
      </c>
      <c r="R72" s="260" t="str">
        <f t="shared" si="49"/>
        <v/>
      </c>
      <c r="S72" s="3" t="str">
        <f t="shared" si="50"/>
        <v/>
      </c>
      <c r="T72" s="4" t="str">
        <f t="shared" si="51"/>
        <v/>
      </c>
      <c r="U72" s="11" t="str">
        <f t="shared" si="52"/>
        <v/>
      </c>
      <c r="V72" s="263" t="str">
        <f t="shared" si="53"/>
        <v/>
      </c>
      <c r="Y72"/>
    </row>
    <row r="73" spans="2:25" x14ac:dyDescent="0.2">
      <c r="B73" s="41">
        <f t="shared" si="38"/>
        <v>70</v>
      </c>
      <c r="C73" s="228" t="str">
        <f>[3]CRe!J72</f>
        <v/>
      </c>
      <c r="D73" s="228" t="str">
        <f>[3]CRe!L72</f>
        <v/>
      </c>
      <c r="E73" s="3" t="str">
        <f t="shared" si="39"/>
        <v/>
      </c>
      <c r="F73" s="4" t="str">
        <f t="shared" si="40"/>
        <v/>
      </c>
      <c r="G73" s="4" t="str">
        <f t="shared" si="36"/>
        <v/>
      </c>
      <c r="H73" s="256" t="str">
        <f t="shared" si="37"/>
        <v/>
      </c>
      <c r="I73" s="4" t="str">
        <f>IF(G73="","",SLOPE(G$3:G73,B$3:B73))</f>
        <v/>
      </c>
      <c r="J73" s="318" t="str">
        <f t="shared" si="41"/>
        <v/>
      </c>
      <c r="K73" s="3" t="str">
        <f t="shared" si="42"/>
        <v/>
      </c>
      <c r="L73" s="260" t="str">
        <f t="shared" si="43"/>
        <v/>
      </c>
      <c r="M73" s="4" t="str">
        <f t="shared" si="44"/>
        <v/>
      </c>
      <c r="N73" s="3" t="str">
        <f t="shared" si="45"/>
        <v/>
      </c>
      <c r="O73" s="4" t="str">
        <f t="shared" si="46"/>
        <v/>
      </c>
      <c r="P73" s="318" t="str">
        <f t="shared" si="47"/>
        <v/>
      </c>
      <c r="Q73" s="3" t="str">
        <f t="shared" si="48"/>
        <v/>
      </c>
      <c r="R73" s="260" t="str">
        <f t="shared" si="49"/>
        <v/>
      </c>
      <c r="S73" s="3" t="str">
        <f t="shared" si="50"/>
        <v/>
      </c>
      <c r="T73" s="4" t="str">
        <f t="shared" si="51"/>
        <v/>
      </c>
      <c r="U73" s="11" t="str">
        <f t="shared" si="52"/>
        <v/>
      </c>
      <c r="V73" s="263" t="str">
        <f t="shared" si="53"/>
        <v/>
      </c>
      <c r="Y73"/>
    </row>
    <row r="74" spans="2:25" x14ac:dyDescent="0.2">
      <c r="B74" s="41">
        <f t="shared" si="38"/>
        <v>71</v>
      </c>
      <c r="C74" s="228" t="str">
        <f>[3]CRe!J73</f>
        <v/>
      </c>
      <c r="D74" s="228" t="str">
        <f>[3]CRe!L73</f>
        <v/>
      </c>
      <c r="E74" s="3" t="str">
        <f t="shared" si="39"/>
        <v/>
      </c>
      <c r="F74" s="4" t="str">
        <f t="shared" si="40"/>
        <v/>
      </c>
      <c r="G74" s="4" t="str">
        <f t="shared" si="36"/>
        <v/>
      </c>
      <c r="H74" s="256" t="str">
        <f t="shared" si="37"/>
        <v/>
      </c>
      <c r="I74" s="4" t="str">
        <f>IF(G74="","",SLOPE(G$3:G74,B$3:B74))</f>
        <v/>
      </c>
      <c r="J74" s="318" t="str">
        <f t="shared" si="41"/>
        <v/>
      </c>
      <c r="K74" s="3" t="str">
        <f t="shared" si="42"/>
        <v/>
      </c>
      <c r="L74" s="260" t="str">
        <f t="shared" si="43"/>
        <v/>
      </c>
      <c r="M74" s="4" t="str">
        <f t="shared" si="44"/>
        <v/>
      </c>
      <c r="N74" s="3" t="str">
        <f t="shared" si="45"/>
        <v/>
      </c>
      <c r="O74" s="4" t="str">
        <f t="shared" si="46"/>
        <v/>
      </c>
      <c r="P74" s="318" t="str">
        <f t="shared" si="47"/>
        <v/>
      </c>
      <c r="Q74" s="3" t="str">
        <f t="shared" si="48"/>
        <v/>
      </c>
      <c r="R74" s="260" t="str">
        <f t="shared" si="49"/>
        <v/>
      </c>
      <c r="S74" s="3" t="str">
        <f t="shared" si="50"/>
        <v/>
      </c>
      <c r="T74" s="4" t="str">
        <f t="shared" si="51"/>
        <v/>
      </c>
      <c r="U74" s="11" t="str">
        <f t="shared" si="52"/>
        <v/>
      </c>
      <c r="V74" s="263" t="str">
        <f t="shared" si="53"/>
        <v/>
      </c>
      <c r="Y74"/>
    </row>
    <row r="75" spans="2:25" x14ac:dyDescent="0.2">
      <c r="B75" s="41">
        <f t="shared" si="38"/>
        <v>72</v>
      </c>
      <c r="C75" s="228" t="str">
        <f>[3]CRe!J74</f>
        <v/>
      </c>
      <c r="D75" s="228" t="str">
        <f>[3]CRe!L74</f>
        <v/>
      </c>
      <c r="E75" s="3" t="str">
        <f t="shared" si="39"/>
        <v/>
      </c>
      <c r="F75" s="4" t="str">
        <f t="shared" si="40"/>
        <v/>
      </c>
      <c r="G75" s="4" t="str">
        <f t="shared" si="36"/>
        <v/>
      </c>
      <c r="H75" s="256" t="str">
        <f t="shared" si="37"/>
        <v/>
      </c>
      <c r="I75" s="4" t="str">
        <f>IF(G75="","",SLOPE(G$3:G75,B$3:B75))</f>
        <v/>
      </c>
      <c r="J75" s="318" t="str">
        <f t="shared" si="41"/>
        <v/>
      </c>
      <c r="K75" s="3" t="str">
        <f t="shared" si="42"/>
        <v/>
      </c>
      <c r="L75" s="260" t="str">
        <f t="shared" si="43"/>
        <v/>
      </c>
      <c r="M75" s="4" t="str">
        <f t="shared" si="44"/>
        <v/>
      </c>
      <c r="N75" s="3" t="str">
        <f t="shared" si="45"/>
        <v/>
      </c>
      <c r="O75" s="4" t="str">
        <f t="shared" si="46"/>
        <v/>
      </c>
      <c r="P75" s="318" t="str">
        <f t="shared" si="47"/>
        <v/>
      </c>
      <c r="Q75" s="3" t="str">
        <f t="shared" si="48"/>
        <v/>
      </c>
      <c r="R75" s="260" t="str">
        <f t="shared" si="49"/>
        <v/>
      </c>
      <c r="S75" s="3" t="str">
        <f t="shared" si="50"/>
        <v/>
      </c>
      <c r="T75" s="4" t="str">
        <f t="shared" si="51"/>
        <v/>
      </c>
      <c r="U75" s="11" t="str">
        <f t="shared" si="52"/>
        <v/>
      </c>
      <c r="V75" s="263" t="str">
        <f t="shared" si="53"/>
        <v/>
      </c>
      <c r="Y75"/>
    </row>
    <row r="76" spans="2:25" x14ac:dyDescent="0.2">
      <c r="B76" s="41">
        <f t="shared" si="38"/>
        <v>73</v>
      </c>
      <c r="C76" s="228" t="str">
        <f>[3]CRe!J75</f>
        <v/>
      </c>
      <c r="D76" s="228" t="str">
        <f>[3]CRe!L75</f>
        <v/>
      </c>
      <c r="E76" s="3" t="str">
        <f t="shared" si="39"/>
        <v/>
      </c>
      <c r="F76" s="4" t="str">
        <f t="shared" si="40"/>
        <v/>
      </c>
      <c r="G76" s="4" t="str">
        <f t="shared" si="36"/>
        <v/>
      </c>
      <c r="H76" s="256" t="str">
        <f t="shared" si="37"/>
        <v/>
      </c>
      <c r="I76" s="4" t="str">
        <f>IF(G76="","",SLOPE(G$3:G76,B$3:B76))</f>
        <v/>
      </c>
      <c r="J76" s="318" t="str">
        <f t="shared" si="41"/>
        <v/>
      </c>
      <c r="K76" s="3" t="str">
        <f t="shared" si="42"/>
        <v/>
      </c>
      <c r="L76" s="260" t="str">
        <f t="shared" si="43"/>
        <v/>
      </c>
      <c r="M76" s="4" t="str">
        <f t="shared" si="44"/>
        <v/>
      </c>
      <c r="N76" s="3" t="str">
        <f t="shared" si="45"/>
        <v/>
      </c>
      <c r="O76" s="4" t="str">
        <f t="shared" si="46"/>
        <v/>
      </c>
      <c r="P76" s="318" t="str">
        <f t="shared" si="47"/>
        <v/>
      </c>
      <c r="Q76" s="3" t="str">
        <f t="shared" si="48"/>
        <v/>
      </c>
      <c r="R76" s="260" t="str">
        <f t="shared" si="49"/>
        <v/>
      </c>
      <c r="S76" s="3" t="str">
        <f t="shared" si="50"/>
        <v/>
      </c>
      <c r="T76" s="4" t="str">
        <f t="shared" si="51"/>
        <v/>
      </c>
      <c r="U76" s="11" t="str">
        <f t="shared" si="52"/>
        <v/>
      </c>
      <c r="V76" s="263" t="str">
        <f t="shared" si="53"/>
        <v/>
      </c>
      <c r="Y76"/>
    </row>
    <row r="77" spans="2:25" x14ac:dyDescent="0.2">
      <c r="B77" s="41">
        <f t="shared" si="38"/>
        <v>74</v>
      </c>
      <c r="C77" s="228" t="str">
        <f>[3]CRe!J76</f>
        <v/>
      </c>
      <c r="D77" s="228" t="str">
        <f>[3]CRe!L76</f>
        <v/>
      </c>
      <c r="E77" s="3" t="str">
        <f t="shared" si="39"/>
        <v/>
      </c>
      <c r="F77" s="4" t="str">
        <f t="shared" si="40"/>
        <v/>
      </c>
      <c r="G77" s="4" t="str">
        <f t="shared" si="36"/>
        <v/>
      </c>
      <c r="H77" s="256" t="str">
        <f t="shared" si="37"/>
        <v/>
      </c>
      <c r="I77" s="4" t="str">
        <f>IF(G77="","",SLOPE(G$3:G77,B$3:B77))</f>
        <v/>
      </c>
      <c r="J77" s="318" t="str">
        <f t="shared" si="41"/>
        <v/>
      </c>
      <c r="K77" s="3" t="str">
        <f t="shared" si="42"/>
        <v/>
      </c>
      <c r="L77" s="260" t="str">
        <f t="shared" si="43"/>
        <v/>
      </c>
      <c r="M77" s="4" t="str">
        <f t="shared" si="44"/>
        <v/>
      </c>
      <c r="N77" s="3" t="str">
        <f t="shared" si="45"/>
        <v/>
      </c>
      <c r="O77" s="4" t="str">
        <f t="shared" si="46"/>
        <v/>
      </c>
      <c r="P77" s="318" t="str">
        <f t="shared" si="47"/>
        <v/>
      </c>
      <c r="Q77" s="3" t="str">
        <f t="shared" si="48"/>
        <v/>
      </c>
      <c r="R77" s="260" t="str">
        <f t="shared" si="49"/>
        <v/>
      </c>
      <c r="S77" s="3" t="str">
        <f t="shared" si="50"/>
        <v/>
      </c>
      <c r="T77" s="4" t="str">
        <f t="shared" si="51"/>
        <v/>
      </c>
      <c r="U77" s="11" t="str">
        <f t="shared" si="52"/>
        <v/>
      </c>
      <c r="V77" s="263" t="str">
        <f t="shared" si="53"/>
        <v/>
      </c>
      <c r="Y77"/>
    </row>
    <row r="78" spans="2:25" x14ac:dyDescent="0.2">
      <c r="B78" s="41">
        <f t="shared" si="38"/>
        <v>75</v>
      </c>
      <c r="C78" s="228" t="str">
        <f>[3]CRe!J77</f>
        <v/>
      </c>
      <c r="D78" s="228" t="str">
        <f>[3]CRe!L77</f>
        <v/>
      </c>
      <c r="E78" s="3" t="str">
        <f t="shared" si="39"/>
        <v/>
      </c>
      <c r="F78" s="4" t="str">
        <f t="shared" si="40"/>
        <v/>
      </c>
      <c r="G78" s="4" t="str">
        <f t="shared" si="36"/>
        <v/>
      </c>
      <c r="H78" s="256" t="str">
        <f t="shared" si="37"/>
        <v/>
      </c>
      <c r="I78" s="4" t="str">
        <f>IF(G78="","",SLOPE(G$3:G78,B$3:B78))</f>
        <v/>
      </c>
      <c r="J78" s="318" t="str">
        <f t="shared" si="41"/>
        <v/>
      </c>
      <c r="K78" s="3" t="str">
        <f t="shared" si="42"/>
        <v/>
      </c>
      <c r="L78" s="260" t="str">
        <f t="shared" si="43"/>
        <v/>
      </c>
      <c r="M78" s="4" t="str">
        <f t="shared" si="44"/>
        <v/>
      </c>
      <c r="N78" s="3" t="str">
        <f t="shared" si="45"/>
        <v/>
      </c>
      <c r="O78" s="4" t="str">
        <f t="shared" si="46"/>
        <v/>
      </c>
      <c r="P78" s="318" t="str">
        <f t="shared" si="47"/>
        <v/>
      </c>
      <c r="Q78" s="3" t="str">
        <f t="shared" si="48"/>
        <v/>
      </c>
      <c r="R78" s="260" t="str">
        <f t="shared" si="49"/>
        <v/>
      </c>
      <c r="S78" s="3" t="str">
        <f t="shared" si="50"/>
        <v/>
      </c>
      <c r="T78" s="4" t="str">
        <f t="shared" si="51"/>
        <v/>
      </c>
      <c r="U78" s="11" t="str">
        <f t="shared" si="52"/>
        <v/>
      </c>
      <c r="V78" s="263" t="str">
        <f t="shared" si="53"/>
        <v/>
      </c>
      <c r="Y78"/>
    </row>
    <row r="79" spans="2:25" x14ac:dyDescent="0.2">
      <c r="B79" s="41">
        <f t="shared" si="38"/>
        <v>76</v>
      </c>
      <c r="C79" s="228" t="str">
        <f>[3]CRe!J78</f>
        <v/>
      </c>
      <c r="D79" s="228" t="str">
        <f>[3]CRe!L78</f>
        <v/>
      </c>
      <c r="E79" s="3" t="str">
        <f t="shared" si="39"/>
        <v/>
      </c>
      <c r="F79" s="4" t="str">
        <f t="shared" si="40"/>
        <v/>
      </c>
      <c r="G79" s="4" t="str">
        <f t="shared" si="36"/>
        <v/>
      </c>
      <c r="H79" s="256" t="str">
        <f t="shared" si="37"/>
        <v/>
      </c>
      <c r="I79" s="4" t="str">
        <f>IF(G79="","",SLOPE(G$3:G79,B$3:B79))</f>
        <v/>
      </c>
      <c r="J79" s="318" t="str">
        <f t="shared" si="41"/>
        <v/>
      </c>
      <c r="K79" s="3" t="str">
        <f t="shared" si="42"/>
        <v/>
      </c>
      <c r="L79" s="260" t="str">
        <f t="shared" si="43"/>
        <v/>
      </c>
      <c r="M79" s="4" t="str">
        <f t="shared" si="44"/>
        <v/>
      </c>
      <c r="N79" s="3" t="str">
        <f t="shared" si="45"/>
        <v/>
      </c>
      <c r="O79" s="4" t="str">
        <f t="shared" si="46"/>
        <v/>
      </c>
      <c r="P79" s="318" t="str">
        <f t="shared" si="47"/>
        <v/>
      </c>
      <c r="Q79" s="3" t="str">
        <f t="shared" si="48"/>
        <v/>
      </c>
      <c r="R79" s="260" t="str">
        <f t="shared" si="49"/>
        <v/>
      </c>
      <c r="S79" s="3" t="str">
        <f t="shared" si="50"/>
        <v/>
      </c>
      <c r="T79" s="4" t="str">
        <f t="shared" si="51"/>
        <v/>
      </c>
      <c r="U79" s="11" t="str">
        <f t="shared" si="52"/>
        <v/>
      </c>
      <c r="V79" s="263" t="str">
        <f t="shared" si="53"/>
        <v/>
      </c>
      <c r="Y79"/>
    </row>
    <row r="80" spans="2:25" x14ac:dyDescent="0.2">
      <c r="B80" s="41">
        <f t="shared" si="38"/>
        <v>77</v>
      </c>
      <c r="C80" s="228" t="str">
        <f>[3]CRe!J79</f>
        <v/>
      </c>
      <c r="D80" s="228" t="str">
        <f>[3]CRe!L79</f>
        <v/>
      </c>
      <c r="E80" s="3" t="str">
        <f t="shared" si="39"/>
        <v/>
      </c>
      <c r="F80" s="4" t="str">
        <f t="shared" si="40"/>
        <v/>
      </c>
      <c r="G80" s="4" t="str">
        <f t="shared" si="36"/>
        <v/>
      </c>
      <c r="H80" s="256" t="str">
        <f t="shared" si="37"/>
        <v/>
      </c>
      <c r="I80" s="4" t="str">
        <f>IF(G80="","",SLOPE(G$3:G80,B$3:B80))</f>
        <v/>
      </c>
      <c r="J80" s="318" t="str">
        <f t="shared" si="41"/>
        <v/>
      </c>
      <c r="K80" s="3" t="str">
        <f t="shared" si="42"/>
        <v/>
      </c>
      <c r="L80" s="260" t="str">
        <f t="shared" si="43"/>
        <v/>
      </c>
      <c r="M80" s="4" t="str">
        <f t="shared" si="44"/>
        <v/>
      </c>
      <c r="N80" s="3" t="str">
        <f t="shared" si="45"/>
        <v/>
      </c>
      <c r="O80" s="4" t="str">
        <f t="shared" si="46"/>
        <v/>
      </c>
      <c r="P80" s="318" t="str">
        <f t="shared" si="47"/>
        <v/>
      </c>
      <c r="Q80" s="3" t="str">
        <f t="shared" si="48"/>
        <v/>
      </c>
      <c r="R80" s="260" t="str">
        <f t="shared" si="49"/>
        <v/>
      </c>
      <c r="S80" s="3" t="str">
        <f t="shared" si="50"/>
        <v/>
      </c>
      <c r="T80" s="4" t="str">
        <f t="shared" si="51"/>
        <v/>
      </c>
      <c r="U80" s="11" t="str">
        <f t="shared" si="52"/>
        <v/>
      </c>
      <c r="V80" s="263" t="str">
        <f t="shared" si="53"/>
        <v/>
      </c>
      <c r="Y80"/>
    </row>
    <row r="81" spans="2:25" x14ac:dyDescent="0.2">
      <c r="B81" s="41">
        <f t="shared" si="38"/>
        <v>78</v>
      </c>
      <c r="C81" s="228" t="str">
        <f>[3]CRe!J80</f>
        <v/>
      </c>
      <c r="D81" s="228" t="str">
        <f>[3]CRe!L80</f>
        <v/>
      </c>
      <c r="E81" s="3" t="str">
        <f t="shared" si="39"/>
        <v/>
      </c>
      <c r="F81" s="4" t="str">
        <f t="shared" si="40"/>
        <v/>
      </c>
      <c r="G81" s="4" t="str">
        <f t="shared" si="36"/>
        <v/>
      </c>
      <c r="H81" s="256" t="str">
        <f t="shared" si="37"/>
        <v/>
      </c>
      <c r="I81" s="4" t="str">
        <f>IF(G81="","",SLOPE(G$3:G81,B$3:B81))</f>
        <v/>
      </c>
      <c r="J81" s="318" t="str">
        <f t="shared" si="41"/>
        <v/>
      </c>
      <c r="K81" s="3" t="str">
        <f t="shared" si="42"/>
        <v/>
      </c>
      <c r="L81" s="260" t="str">
        <f t="shared" si="43"/>
        <v/>
      </c>
      <c r="M81" s="4" t="str">
        <f t="shared" si="44"/>
        <v/>
      </c>
      <c r="N81" s="3" t="str">
        <f t="shared" si="45"/>
        <v/>
      </c>
      <c r="O81" s="4" t="str">
        <f t="shared" si="46"/>
        <v/>
      </c>
      <c r="P81" s="318" t="str">
        <f t="shared" si="47"/>
        <v/>
      </c>
      <c r="Q81" s="3" t="str">
        <f t="shared" si="48"/>
        <v/>
      </c>
      <c r="R81" s="260" t="str">
        <f t="shared" si="49"/>
        <v/>
      </c>
      <c r="S81" s="3" t="str">
        <f t="shared" si="50"/>
        <v/>
      </c>
      <c r="T81" s="4" t="str">
        <f t="shared" si="51"/>
        <v/>
      </c>
      <c r="U81" s="11" t="str">
        <f t="shared" si="52"/>
        <v/>
      </c>
      <c r="V81" s="263" t="str">
        <f t="shared" si="53"/>
        <v/>
      </c>
      <c r="Y81"/>
    </row>
    <row r="82" spans="2:25" x14ac:dyDescent="0.2">
      <c r="B82" s="41">
        <f t="shared" si="38"/>
        <v>79</v>
      </c>
      <c r="C82" s="228" t="str">
        <f>[3]CRe!J81</f>
        <v/>
      </c>
      <c r="D82" s="228" t="str">
        <f>[3]CRe!L81</f>
        <v/>
      </c>
      <c r="E82" s="3" t="str">
        <f t="shared" si="39"/>
        <v/>
      </c>
      <c r="F82" s="4" t="str">
        <f t="shared" si="40"/>
        <v/>
      </c>
      <c r="G82" s="4" t="str">
        <f t="shared" si="36"/>
        <v/>
      </c>
      <c r="H82" s="256" t="str">
        <f t="shared" si="37"/>
        <v/>
      </c>
      <c r="I82" s="4" t="str">
        <f>IF(G82="","",SLOPE(G$3:G82,B$3:B82))</f>
        <v/>
      </c>
      <c r="J82" s="318" t="str">
        <f t="shared" si="41"/>
        <v/>
      </c>
      <c r="K82" s="3" t="str">
        <f t="shared" si="42"/>
        <v/>
      </c>
      <c r="L82" s="260" t="str">
        <f t="shared" si="43"/>
        <v/>
      </c>
      <c r="M82" s="4" t="str">
        <f t="shared" si="44"/>
        <v/>
      </c>
      <c r="N82" s="3" t="str">
        <f t="shared" si="45"/>
        <v/>
      </c>
      <c r="O82" s="4" t="str">
        <f t="shared" si="46"/>
        <v/>
      </c>
      <c r="P82" s="318" t="str">
        <f t="shared" si="47"/>
        <v/>
      </c>
      <c r="Q82" s="3" t="str">
        <f t="shared" si="48"/>
        <v/>
      </c>
      <c r="R82" s="260" t="str">
        <f t="shared" si="49"/>
        <v/>
      </c>
      <c r="S82" s="3" t="str">
        <f t="shared" si="50"/>
        <v/>
      </c>
      <c r="T82" s="4" t="str">
        <f t="shared" si="51"/>
        <v/>
      </c>
      <c r="U82" s="11" t="str">
        <f t="shared" si="52"/>
        <v/>
      </c>
      <c r="V82" s="263" t="str">
        <f t="shared" si="53"/>
        <v/>
      </c>
      <c r="Y82"/>
    </row>
    <row r="83" spans="2:25" x14ac:dyDescent="0.2">
      <c r="B83" s="41">
        <f t="shared" si="38"/>
        <v>80</v>
      </c>
      <c r="C83" s="228" t="str">
        <f>[3]CRe!J82</f>
        <v/>
      </c>
      <c r="D83" s="228" t="str">
        <f>[3]CRe!L82</f>
        <v/>
      </c>
      <c r="E83" s="3" t="str">
        <f t="shared" si="39"/>
        <v/>
      </c>
      <c r="F83" s="4" t="str">
        <f t="shared" si="40"/>
        <v/>
      </c>
      <c r="G83" s="4" t="str">
        <f t="shared" si="36"/>
        <v/>
      </c>
      <c r="H83" s="256" t="str">
        <f t="shared" si="37"/>
        <v/>
      </c>
      <c r="I83" s="4" t="str">
        <f>IF(G83="","",SLOPE(G$3:G83,B$3:B83))</f>
        <v/>
      </c>
      <c r="J83" s="318" t="str">
        <f t="shared" si="41"/>
        <v/>
      </c>
      <c r="K83" s="3" t="str">
        <f t="shared" si="42"/>
        <v/>
      </c>
      <c r="L83" s="260" t="str">
        <f t="shared" si="43"/>
        <v/>
      </c>
      <c r="M83" s="4" t="str">
        <f t="shared" si="44"/>
        <v/>
      </c>
      <c r="N83" s="3" t="str">
        <f t="shared" si="45"/>
        <v/>
      </c>
      <c r="O83" s="4" t="str">
        <f t="shared" si="46"/>
        <v/>
      </c>
      <c r="P83" s="318" t="str">
        <f t="shared" si="47"/>
        <v/>
      </c>
      <c r="Q83" s="3" t="str">
        <f t="shared" si="48"/>
        <v/>
      </c>
      <c r="R83" s="260" t="str">
        <f t="shared" si="49"/>
        <v/>
      </c>
      <c r="S83" s="3" t="str">
        <f t="shared" si="50"/>
        <v/>
      </c>
      <c r="T83" s="4" t="str">
        <f t="shared" si="51"/>
        <v/>
      </c>
      <c r="U83" s="11" t="str">
        <f t="shared" si="52"/>
        <v/>
      </c>
      <c r="V83" s="263" t="str">
        <f t="shared" si="53"/>
        <v/>
      </c>
      <c r="Y83"/>
    </row>
    <row r="84" spans="2:25" x14ac:dyDescent="0.2">
      <c r="B84" s="41">
        <f t="shared" si="38"/>
        <v>81</v>
      </c>
      <c r="C84" s="228" t="str">
        <f>[3]CRe!J83</f>
        <v/>
      </c>
      <c r="D84" s="228" t="str">
        <f>[3]CRe!L83</f>
        <v/>
      </c>
      <c r="E84" s="3" t="str">
        <f t="shared" si="39"/>
        <v/>
      </c>
      <c r="F84" s="4" t="str">
        <f t="shared" si="40"/>
        <v/>
      </c>
      <c r="G84" s="4" t="str">
        <f t="shared" si="36"/>
        <v/>
      </c>
      <c r="H84" s="256" t="str">
        <f t="shared" si="37"/>
        <v/>
      </c>
      <c r="I84" s="4" t="str">
        <f>IF(G84="","",SLOPE(G$3:G84,B$3:B84))</f>
        <v/>
      </c>
      <c r="J84" s="318" t="str">
        <f t="shared" si="41"/>
        <v/>
      </c>
      <c r="K84" s="3" t="str">
        <f t="shared" si="42"/>
        <v/>
      </c>
      <c r="L84" s="260" t="str">
        <f t="shared" si="43"/>
        <v/>
      </c>
      <c r="M84" s="4" t="str">
        <f t="shared" si="44"/>
        <v/>
      </c>
      <c r="N84" s="3" t="str">
        <f t="shared" si="45"/>
        <v/>
      </c>
      <c r="O84" s="4" t="str">
        <f t="shared" si="46"/>
        <v/>
      </c>
      <c r="P84" s="318" t="str">
        <f t="shared" si="47"/>
        <v/>
      </c>
      <c r="Q84" s="3" t="str">
        <f t="shared" si="48"/>
        <v/>
      </c>
      <c r="R84" s="260" t="str">
        <f t="shared" si="49"/>
        <v/>
      </c>
      <c r="S84" s="3" t="str">
        <f t="shared" si="50"/>
        <v/>
      </c>
      <c r="T84" s="4" t="str">
        <f t="shared" si="51"/>
        <v/>
      </c>
      <c r="U84" s="11" t="str">
        <f t="shared" si="52"/>
        <v/>
      </c>
      <c r="V84" s="263" t="str">
        <f t="shared" si="53"/>
        <v/>
      </c>
      <c r="Y84"/>
    </row>
    <row r="85" spans="2:25" x14ac:dyDescent="0.2">
      <c r="B85" s="41">
        <f t="shared" si="38"/>
        <v>82</v>
      </c>
      <c r="C85" s="228" t="str">
        <f>[3]CRe!J84</f>
        <v/>
      </c>
      <c r="D85" s="228" t="str">
        <f>[3]CRe!L84</f>
        <v/>
      </c>
      <c r="E85" s="3" t="str">
        <f t="shared" si="39"/>
        <v/>
      </c>
      <c r="F85" s="4" t="str">
        <f t="shared" si="40"/>
        <v/>
      </c>
      <c r="G85" s="4" t="str">
        <f t="shared" si="36"/>
        <v/>
      </c>
      <c r="H85" s="256" t="str">
        <f t="shared" si="37"/>
        <v/>
      </c>
      <c r="I85" s="4" t="str">
        <f>IF(G85="","",SLOPE(G$3:G85,B$3:B85))</f>
        <v/>
      </c>
      <c r="J85" s="318" t="str">
        <f t="shared" si="41"/>
        <v/>
      </c>
      <c r="K85" s="3" t="str">
        <f t="shared" si="42"/>
        <v/>
      </c>
      <c r="L85" s="260" t="str">
        <f t="shared" si="43"/>
        <v/>
      </c>
      <c r="M85" s="4" t="str">
        <f t="shared" si="44"/>
        <v/>
      </c>
      <c r="N85" s="3" t="str">
        <f t="shared" si="45"/>
        <v/>
      </c>
      <c r="O85" s="4" t="str">
        <f t="shared" si="46"/>
        <v/>
      </c>
      <c r="P85" s="318" t="str">
        <f t="shared" si="47"/>
        <v/>
      </c>
      <c r="Q85" s="3" t="str">
        <f t="shared" si="48"/>
        <v/>
      </c>
      <c r="R85" s="260" t="str">
        <f t="shared" si="49"/>
        <v/>
      </c>
      <c r="S85" s="3" t="str">
        <f t="shared" si="50"/>
        <v/>
      </c>
      <c r="T85" s="4" t="str">
        <f t="shared" si="51"/>
        <v/>
      </c>
      <c r="U85" s="11" t="str">
        <f t="shared" si="52"/>
        <v/>
      </c>
      <c r="V85" s="263" t="str">
        <f t="shared" si="53"/>
        <v/>
      </c>
      <c r="Y85"/>
    </row>
    <row r="86" spans="2:25" x14ac:dyDescent="0.2">
      <c r="B86" s="41">
        <f t="shared" si="38"/>
        <v>83</v>
      </c>
      <c r="C86" s="228" t="str">
        <f>[3]CRe!J85</f>
        <v/>
      </c>
      <c r="D86" s="228" t="str">
        <f>[3]CRe!L85</f>
        <v/>
      </c>
      <c r="E86" s="3" t="str">
        <f t="shared" si="39"/>
        <v/>
      </c>
      <c r="F86" s="4" t="str">
        <f t="shared" si="40"/>
        <v/>
      </c>
      <c r="G86" s="4" t="str">
        <f t="shared" si="36"/>
        <v/>
      </c>
      <c r="H86" s="256" t="str">
        <f t="shared" si="37"/>
        <v/>
      </c>
      <c r="I86" s="4" t="str">
        <f>IF(G86="","",SLOPE(G$3:G86,B$3:B86))</f>
        <v/>
      </c>
      <c r="J86" s="318" t="str">
        <f t="shared" si="41"/>
        <v/>
      </c>
      <c r="K86" s="3" t="str">
        <f t="shared" si="42"/>
        <v/>
      </c>
      <c r="L86" s="260" t="str">
        <f t="shared" si="43"/>
        <v/>
      </c>
      <c r="M86" s="4" t="str">
        <f t="shared" si="44"/>
        <v/>
      </c>
      <c r="N86" s="3" t="str">
        <f t="shared" si="45"/>
        <v/>
      </c>
      <c r="O86" s="4" t="str">
        <f t="shared" si="46"/>
        <v/>
      </c>
      <c r="P86" s="318" t="str">
        <f t="shared" si="47"/>
        <v/>
      </c>
      <c r="Q86" s="3" t="str">
        <f t="shared" si="48"/>
        <v/>
      </c>
      <c r="R86" s="260" t="str">
        <f t="shared" si="49"/>
        <v/>
      </c>
      <c r="S86" s="3" t="str">
        <f t="shared" si="50"/>
        <v/>
      </c>
      <c r="T86" s="4" t="str">
        <f t="shared" si="51"/>
        <v/>
      </c>
      <c r="U86" s="11" t="str">
        <f t="shared" si="52"/>
        <v/>
      </c>
      <c r="V86" s="263" t="str">
        <f t="shared" si="53"/>
        <v/>
      </c>
      <c r="Y86"/>
    </row>
    <row r="87" spans="2:25" x14ac:dyDescent="0.2">
      <c r="B87" s="41">
        <f t="shared" si="38"/>
        <v>84</v>
      </c>
      <c r="C87" s="228" t="str">
        <f>[3]CRe!J86</f>
        <v/>
      </c>
      <c r="D87" s="228" t="str">
        <f>[3]CRe!L86</f>
        <v/>
      </c>
      <c r="E87" s="3" t="str">
        <f t="shared" si="39"/>
        <v/>
      </c>
      <c r="F87" s="4" t="str">
        <f t="shared" si="40"/>
        <v/>
      </c>
      <c r="G87" s="4" t="str">
        <f t="shared" si="36"/>
        <v/>
      </c>
      <c r="H87" s="256" t="str">
        <f t="shared" si="37"/>
        <v/>
      </c>
      <c r="I87" s="4" t="str">
        <f>IF(G87="","",SLOPE(G$3:G87,B$3:B87))</f>
        <v/>
      </c>
      <c r="J87" s="318" t="str">
        <f t="shared" si="41"/>
        <v/>
      </c>
      <c r="K87" s="3" t="str">
        <f t="shared" si="42"/>
        <v/>
      </c>
      <c r="L87" s="260" t="str">
        <f t="shared" si="43"/>
        <v/>
      </c>
      <c r="M87" s="4" t="str">
        <f t="shared" si="44"/>
        <v/>
      </c>
      <c r="N87" s="3" t="str">
        <f t="shared" si="45"/>
        <v/>
      </c>
      <c r="O87" s="4" t="str">
        <f t="shared" si="46"/>
        <v/>
      </c>
      <c r="P87" s="318" t="str">
        <f t="shared" si="47"/>
        <v/>
      </c>
      <c r="Q87" s="3" t="str">
        <f t="shared" si="48"/>
        <v/>
      </c>
      <c r="R87" s="260" t="str">
        <f t="shared" si="49"/>
        <v/>
      </c>
      <c r="S87" s="3" t="str">
        <f t="shared" si="50"/>
        <v/>
      </c>
      <c r="T87" s="4" t="str">
        <f t="shared" si="51"/>
        <v/>
      </c>
      <c r="U87" s="11" t="str">
        <f t="shared" si="52"/>
        <v/>
      </c>
      <c r="V87" s="263" t="str">
        <f t="shared" si="53"/>
        <v/>
      </c>
      <c r="Y87"/>
    </row>
    <row r="88" spans="2:25" x14ac:dyDescent="0.2">
      <c r="B88" s="41">
        <f t="shared" si="38"/>
        <v>85</v>
      </c>
      <c r="C88" s="228" t="str">
        <f>[3]CRe!J87</f>
        <v/>
      </c>
      <c r="D88" s="228" t="str">
        <f>[3]CRe!L87</f>
        <v/>
      </c>
      <c r="E88" s="3" t="str">
        <f t="shared" si="39"/>
        <v/>
      </c>
      <c r="F88" s="4" t="str">
        <f t="shared" si="40"/>
        <v/>
      </c>
      <c r="G88" s="4" t="str">
        <f t="shared" si="36"/>
        <v/>
      </c>
      <c r="H88" s="256" t="str">
        <f t="shared" si="37"/>
        <v/>
      </c>
      <c r="I88" s="4" t="str">
        <f>IF(G88="","",SLOPE(G$3:G88,B$3:B88))</f>
        <v/>
      </c>
      <c r="J88" s="318" t="str">
        <f t="shared" si="41"/>
        <v/>
      </c>
      <c r="K88" s="3" t="str">
        <f t="shared" si="42"/>
        <v/>
      </c>
      <c r="L88" s="260" t="str">
        <f t="shared" si="43"/>
        <v/>
      </c>
      <c r="M88" s="4" t="str">
        <f t="shared" si="44"/>
        <v/>
      </c>
      <c r="N88" s="3" t="str">
        <f t="shared" si="45"/>
        <v/>
      </c>
      <c r="O88" s="4" t="str">
        <f t="shared" si="46"/>
        <v/>
      </c>
      <c r="P88" s="318" t="str">
        <f t="shared" si="47"/>
        <v/>
      </c>
      <c r="Q88" s="3" t="str">
        <f t="shared" si="48"/>
        <v/>
      </c>
      <c r="R88" s="260" t="str">
        <f t="shared" si="49"/>
        <v/>
      </c>
      <c r="S88" s="3" t="str">
        <f t="shared" si="50"/>
        <v/>
      </c>
      <c r="T88" s="4" t="str">
        <f t="shared" si="51"/>
        <v/>
      </c>
      <c r="U88" s="11" t="str">
        <f t="shared" si="52"/>
        <v/>
      </c>
      <c r="V88" s="263" t="str">
        <f t="shared" si="53"/>
        <v/>
      </c>
      <c r="Y88"/>
    </row>
    <row r="89" spans="2:25" x14ac:dyDescent="0.2">
      <c r="B89" s="41">
        <f t="shared" si="38"/>
        <v>86</v>
      </c>
      <c r="C89" s="228" t="str">
        <f>[3]CRe!J88</f>
        <v/>
      </c>
      <c r="D89" s="228" t="str">
        <f>[3]CRe!L88</f>
        <v/>
      </c>
      <c r="E89" s="3" t="str">
        <f t="shared" si="39"/>
        <v/>
      </c>
      <c r="F89" s="4" t="str">
        <f t="shared" si="40"/>
        <v/>
      </c>
      <c r="G89" s="4" t="str">
        <f t="shared" si="36"/>
        <v/>
      </c>
      <c r="H89" s="256" t="str">
        <f t="shared" si="37"/>
        <v/>
      </c>
      <c r="I89" s="4" t="str">
        <f>IF(G89="","",SLOPE(G$3:G89,B$3:B89))</f>
        <v/>
      </c>
      <c r="J89" s="318" t="str">
        <f t="shared" si="41"/>
        <v/>
      </c>
      <c r="K89" s="3" t="str">
        <f t="shared" si="42"/>
        <v/>
      </c>
      <c r="L89" s="260" t="str">
        <f t="shared" si="43"/>
        <v/>
      </c>
      <c r="M89" s="4" t="str">
        <f t="shared" si="44"/>
        <v/>
      </c>
      <c r="N89" s="3" t="str">
        <f t="shared" si="45"/>
        <v/>
      </c>
      <c r="O89" s="4" t="str">
        <f t="shared" si="46"/>
        <v/>
      </c>
      <c r="P89" s="318" t="str">
        <f t="shared" si="47"/>
        <v/>
      </c>
      <c r="Q89" s="3" t="str">
        <f t="shared" si="48"/>
        <v/>
      </c>
      <c r="R89" s="260" t="str">
        <f t="shared" si="49"/>
        <v/>
      </c>
      <c r="S89" s="3" t="str">
        <f t="shared" si="50"/>
        <v/>
      </c>
      <c r="T89" s="4" t="str">
        <f t="shared" si="51"/>
        <v/>
      </c>
      <c r="U89" s="11" t="str">
        <f t="shared" si="52"/>
        <v/>
      </c>
      <c r="V89" s="263" t="str">
        <f t="shared" si="53"/>
        <v/>
      </c>
      <c r="Y89"/>
    </row>
    <row r="90" spans="2:25" x14ac:dyDescent="0.2">
      <c r="B90" s="41">
        <f t="shared" si="38"/>
        <v>87</v>
      </c>
      <c r="C90" s="228" t="str">
        <f>[3]CRe!J89</f>
        <v/>
      </c>
      <c r="D90" s="228" t="str">
        <f>[3]CRe!L89</f>
        <v/>
      </c>
      <c r="E90" s="3" t="str">
        <f t="shared" si="39"/>
        <v/>
      </c>
      <c r="F90" s="4" t="str">
        <f t="shared" si="40"/>
        <v/>
      </c>
      <c r="G90" s="4" t="str">
        <f t="shared" si="36"/>
        <v/>
      </c>
      <c r="H90" s="256" t="str">
        <f t="shared" si="37"/>
        <v/>
      </c>
      <c r="I90" s="4" t="str">
        <f>IF(G90="","",SLOPE(G$3:G90,B$3:B90))</f>
        <v/>
      </c>
      <c r="J90" s="318" t="str">
        <f t="shared" si="41"/>
        <v/>
      </c>
      <c r="K90" s="3" t="str">
        <f t="shared" si="42"/>
        <v/>
      </c>
      <c r="L90" s="260" t="str">
        <f t="shared" si="43"/>
        <v/>
      </c>
      <c r="M90" s="4" t="str">
        <f t="shared" si="44"/>
        <v/>
      </c>
      <c r="N90" s="3" t="str">
        <f t="shared" si="45"/>
        <v/>
      </c>
      <c r="O90" s="4" t="str">
        <f t="shared" si="46"/>
        <v/>
      </c>
      <c r="P90" s="318" t="str">
        <f t="shared" si="47"/>
        <v/>
      </c>
      <c r="Q90" s="3" t="str">
        <f t="shared" si="48"/>
        <v/>
      </c>
      <c r="R90" s="260" t="str">
        <f t="shared" si="49"/>
        <v/>
      </c>
      <c r="S90" s="3" t="str">
        <f t="shared" si="50"/>
        <v/>
      </c>
      <c r="T90" s="4" t="str">
        <f t="shared" si="51"/>
        <v/>
      </c>
      <c r="U90" s="11" t="str">
        <f t="shared" si="52"/>
        <v/>
      </c>
      <c r="V90" s="263" t="str">
        <f t="shared" si="53"/>
        <v/>
      </c>
      <c r="Y90"/>
    </row>
    <row r="91" spans="2:25" x14ac:dyDescent="0.2">
      <c r="B91" s="41">
        <f t="shared" si="38"/>
        <v>88</v>
      </c>
      <c r="C91" s="228" t="str">
        <f>[3]CRe!J90</f>
        <v/>
      </c>
      <c r="D91" s="228" t="str">
        <f>[3]CRe!L90</f>
        <v/>
      </c>
      <c r="E91" s="3" t="str">
        <f t="shared" si="39"/>
        <v/>
      </c>
      <c r="F91" s="4" t="str">
        <f t="shared" si="40"/>
        <v/>
      </c>
      <c r="G91" s="4" t="str">
        <f t="shared" si="36"/>
        <v/>
      </c>
      <c r="H91" s="256" t="str">
        <f t="shared" si="37"/>
        <v/>
      </c>
      <c r="I91" s="4" t="str">
        <f>IF(G91="","",SLOPE(G$3:G91,B$3:B91))</f>
        <v/>
      </c>
      <c r="J91" s="318" t="str">
        <f t="shared" si="41"/>
        <v/>
      </c>
      <c r="K91" s="3" t="str">
        <f t="shared" si="42"/>
        <v/>
      </c>
      <c r="L91" s="260" t="str">
        <f t="shared" si="43"/>
        <v/>
      </c>
      <c r="M91" s="4" t="str">
        <f t="shared" si="44"/>
        <v/>
      </c>
      <c r="N91" s="3" t="str">
        <f t="shared" si="45"/>
        <v/>
      </c>
      <c r="O91" s="4" t="str">
        <f t="shared" si="46"/>
        <v/>
      </c>
      <c r="P91" s="318" t="str">
        <f t="shared" si="47"/>
        <v/>
      </c>
      <c r="Q91" s="3" t="str">
        <f t="shared" si="48"/>
        <v/>
      </c>
      <c r="R91" s="260" t="str">
        <f t="shared" si="49"/>
        <v/>
      </c>
      <c r="S91" s="3" t="str">
        <f t="shared" si="50"/>
        <v/>
      </c>
      <c r="T91" s="4" t="str">
        <f t="shared" si="51"/>
        <v/>
      </c>
      <c r="U91" s="11" t="str">
        <f t="shared" si="52"/>
        <v/>
      </c>
      <c r="V91" s="263" t="str">
        <f t="shared" si="53"/>
        <v/>
      </c>
      <c r="Y91"/>
    </row>
    <row r="92" spans="2:25" x14ac:dyDescent="0.2">
      <c r="B92" s="41">
        <f t="shared" si="38"/>
        <v>89</v>
      </c>
      <c r="C92" s="228" t="str">
        <f>[3]CRe!J91</f>
        <v/>
      </c>
      <c r="D92" s="228" t="str">
        <f>[3]CRe!L91</f>
        <v/>
      </c>
      <c r="E92" s="3" t="str">
        <f t="shared" si="39"/>
        <v/>
      </c>
      <c r="F92" s="4" t="str">
        <f t="shared" si="40"/>
        <v/>
      </c>
      <c r="G92" s="4" t="str">
        <f t="shared" si="36"/>
        <v/>
      </c>
      <c r="H92" s="256" t="str">
        <f t="shared" si="37"/>
        <v/>
      </c>
      <c r="I92" s="4" t="str">
        <f>IF(G92="","",SLOPE(G$3:G92,B$3:B92))</f>
        <v/>
      </c>
      <c r="J92" s="318" t="str">
        <f t="shared" si="41"/>
        <v/>
      </c>
      <c r="K92" s="3" t="str">
        <f t="shared" si="42"/>
        <v/>
      </c>
      <c r="L92" s="260" t="str">
        <f t="shared" si="43"/>
        <v/>
      </c>
      <c r="M92" s="4" t="str">
        <f t="shared" si="44"/>
        <v/>
      </c>
      <c r="N92" s="3" t="str">
        <f t="shared" si="45"/>
        <v/>
      </c>
      <c r="O92" s="4" t="str">
        <f t="shared" si="46"/>
        <v/>
      </c>
      <c r="P92" s="318" t="str">
        <f t="shared" si="47"/>
        <v/>
      </c>
      <c r="Q92" s="3" t="str">
        <f t="shared" si="48"/>
        <v/>
      </c>
      <c r="R92" s="260" t="str">
        <f t="shared" si="49"/>
        <v/>
      </c>
      <c r="S92" s="3" t="str">
        <f t="shared" si="50"/>
        <v/>
      </c>
      <c r="T92" s="4" t="str">
        <f t="shared" si="51"/>
        <v/>
      </c>
      <c r="U92" s="11" t="str">
        <f t="shared" si="52"/>
        <v/>
      </c>
      <c r="V92" s="263" t="str">
        <f t="shared" si="53"/>
        <v/>
      </c>
      <c r="Y92"/>
    </row>
    <row r="93" spans="2:25" x14ac:dyDescent="0.2">
      <c r="B93" s="41">
        <f t="shared" si="38"/>
        <v>90</v>
      </c>
      <c r="C93" s="228" t="str">
        <f>[3]CRe!J92</f>
        <v/>
      </c>
      <c r="D93" s="228" t="str">
        <f>[3]CRe!L92</f>
        <v/>
      </c>
      <c r="E93" s="3" t="str">
        <f t="shared" si="39"/>
        <v/>
      </c>
      <c r="F93" s="4" t="str">
        <f t="shared" si="40"/>
        <v/>
      </c>
      <c r="G93" s="4" t="str">
        <f t="shared" si="36"/>
        <v/>
      </c>
      <c r="H93" s="256" t="str">
        <f t="shared" si="37"/>
        <v/>
      </c>
      <c r="I93" s="4" t="str">
        <f>IF(G93="","",SLOPE(G$3:G93,B$3:B93))</f>
        <v/>
      </c>
      <c r="J93" s="318" t="str">
        <f t="shared" si="41"/>
        <v/>
      </c>
      <c r="K93" s="3" t="str">
        <f t="shared" si="42"/>
        <v/>
      </c>
      <c r="L93" s="260" t="str">
        <f t="shared" si="43"/>
        <v/>
      </c>
      <c r="M93" s="4" t="str">
        <f t="shared" si="44"/>
        <v/>
      </c>
      <c r="N93" s="3" t="str">
        <f t="shared" si="45"/>
        <v/>
      </c>
      <c r="O93" s="4" t="str">
        <f t="shared" si="46"/>
        <v/>
      </c>
      <c r="P93" s="318" t="str">
        <f t="shared" si="47"/>
        <v/>
      </c>
      <c r="Q93" s="3" t="str">
        <f t="shared" si="48"/>
        <v/>
      </c>
      <c r="R93" s="260" t="str">
        <f t="shared" si="49"/>
        <v/>
      </c>
      <c r="S93" s="3" t="str">
        <f t="shared" si="50"/>
        <v/>
      </c>
      <c r="T93" s="4" t="str">
        <f t="shared" si="51"/>
        <v/>
      </c>
      <c r="U93" s="11" t="str">
        <f t="shared" si="52"/>
        <v/>
      </c>
      <c r="V93" s="263" t="str">
        <f t="shared" si="53"/>
        <v/>
      </c>
      <c r="Y93"/>
    </row>
    <row r="94" spans="2:25" x14ac:dyDescent="0.2">
      <c r="B94" s="41">
        <f t="shared" si="38"/>
        <v>91</v>
      </c>
      <c r="C94" s="228" t="str">
        <f>[3]CRe!J93</f>
        <v/>
      </c>
      <c r="D94" s="228" t="str">
        <f>[3]CRe!L93</f>
        <v/>
      </c>
      <c r="E94" s="3" t="str">
        <f t="shared" si="39"/>
        <v/>
      </c>
      <c r="F94" s="4" t="str">
        <f t="shared" si="40"/>
        <v/>
      </c>
      <c r="G94" s="4" t="str">
        <f t="shared" si="36"/>
        <v/>
      </c>
      <c r="H94" s="256" t="str">
        <f t="shared" si="37"/>
        <v/>
      </c>
      <c r="I94" s="4" t="str">
        <f>IF(G94="","",SLOPE(G$3:G94,B$3:B94))</f>
        <v/>
      </c>
      <c r="J94" s="318" t="str">
        <f t="shared" si="41"/>
        <v/>
      </c>
      <c r="K94" s="3" t="str">
        <f t="shared" si="42"/>
        <v/>
      </c>
      <c r="L94" s="260" t="str">
        <f t="shared" si="43"/>
        <v/>
      </c>
      <c r="M94" s="4" t="str">
        <f t="shared" si="44"/>
        <v/>
      </c>
      <c r="N94" s="3" t="str">
        <f t="shared" si="45"/>
        <v/>
      </c>
      <c r="O94" s="4" t="str">
        <f t="shared" si="46"/>
        <v/>
      </c>
      <c r="P94" s="318" t="str">
        <f t="shared" si="47"/>
        <v/>
      </c>
      <c r="Q94" s="3" t="str">
        <f t="shared" si="48"/>
        <v/>
      </c>
      <c r="R94" s="260" t="str">
        <f t="shared" si="49"/>
        <v/>
      </c>
      <c r="S94" s="3" t="str">
        <f t="shared" si="50"/>
        <v/>
      </c>
      <c r="T94" s="4" t="str">
        <f t="shared" si="51"/>
        <v/>
      </c>
      <c r="U94" s="11" t="str">
        <f t="shared" si="52"/>
        <v/>
      </c>
      <c r="V94" s="263" t="str">
        <f t="shared" si="53"/>
        <v/>
      </c>
      <c r="Y94"/>
    </row>
    <row r="95" spans="2:25" x14ac:dyDescent="0.2">
      <c r="B95" s="41">
        <f t="shared" si="38"/>
        <v>92</v>
      </c>
      <c r="C95" s="228" t="str">
        <f>[3]CRe!J94</f>
        <v/>
      </c>
      <c r="D95" s="228" t="str">
        <f>[3]CRe!L94</f>
        <v/>
      </c>
      <c r="E95" s="3" t="str">
        <f t="shared" si="39"/>
        <v/>
      </c>
      <c r="F95" s="4" t="str">
        <f t="shared" si="40"/>
        <v/>
      </c>
      <c r="G95" s="4" t="str">
        <f t="shared" si="36"/>
        <v/>
      </c>
      <c r="H95" s="256" t="str">
        <f t="shared" si="37"/>
        <v/>
      </c>
      <c r="I95" s="4" t="str">
        <f>IF(G95="","",SLOPE(G$3:G95,B$3:B95))</f>
        <v/>
      </c>
      <c r="J95" s="318" t="str">
        <f t="shared" si="41"/>
        <v/>
      </c>
      <c r="K95" s="3" t="str">
        <f t="shared" si="42"/>
        <v/>
      </c>
      <c r="L95" s="260" t="str">
        <f t="shared" si="43"/>
        <v/>
      </c>
      <c r="M95" s="4" t="str">
        <f t="shared" si="44"/>
        <v/>
      </c>
      <c r="N95" s="3" t="str">
        <f t="shared" si="45"/>
        <v/>
      </c>
      <c r="O95" s="4" t="str">
        <f t="shared" si="46"/>
        <v/>
      </c>
      <c r="P95" s="318" t="str">
        <f t="shared" si="47"/>
        <v/>
      </c>
      <c r="Q95" s="3" t="str">
        <f t="shared" si="48"/>
        <v/>
      </c>
      <c r="R95" s="260" t="str">
        <f t="shared" si="49"/>
        <v/>
      </c>
      <c r="S95" s="3" t="str">
        <f t="shared" si="50"/>
        <v/>
      </c>
      <c r="T95" s="4" t="str">
        <f t="shared" si="51"/>
        <v/>
      </c>
      <c r="U95" s="11" t="str">
        <f t="shared" si="52"/>
        <v/>
      </c>
      <c r="V95" s="263" t="str">
        <f t="shared" si="53"/>
        <v/>
      </c>
      <c r="Y95"/>
    </row>
    <row r="96" spans="2:25" x14ac:dyDescent="0.2">
      <c r="B96" s="41">
        <f t="shared" si="38"/>
        <v>93</v>
      </c>
      <c r="C96" s="228" t="str">
        <f>[3]CRe!J95</f>
        <v/>
      </c>
      <c r="D96" s="228" t="str">
        <f>[3]CRe!L95</f>
        <v/>
      </c>
      <c r="E96" s="3" t="str">
        <f t="shared" si="39"/>
        <v/>
      </c>
      <c r="F96" s="4" t="str">
        <f t="shared" si="40"/>
        <v/>
      </c>
      <c r="G96" s="4" t="str">
        <f t="shared" si="36"/>
        <v/>
      </c>
      <c r="H96" s="256" t="str">
        <f t="shared" si="37"/>
        <v/>
      </c>
      <c r="I96" s="4" t="str">
        <f>IF(G96="","",SLOPE(G$3:G96,B$3:B96))</f>
        <v/>
      </c>
      <c r="J96" s="318" t="str">
        <f t="shared" si="41"/>
        <v/>
      </c>
      <c r="K96" s="3" t="str">
        <f t="shared" si="42"/>
        <v/>
      </c>
      <c r="L96" s="260" t="str">
        <f t="shared" si="43"/>
        <v/>
      </c>
      <c r="M96" s="4" t="str">
        <f t="shared" si="44"/>
        <v/>
      </c>
      <c r="N96" s="3" t="str">
        <f t="shared" si="45"/>
        <v/>
      </c>
      <c r="O96" s="4" t="str">
        <f t="shared" si="46"/>
        <v/>
      </c>
      <c r="P96" s="318" t="str">
        <f t="shared" si="47"/>
        <v/>
      </c>
      <c r="Q96" s="3" t="str">
        <f t="shared" si="48"/>
        <v/>
      </c>
      <c r="R96" s="260" t="str">
        <f t="shared" si="49"/>
        <v/>
      </c>
      <c r="S96" s="3" t="str">
        <f t="shared" si="50"/>
        <v/>
      </c>
      <c r="T96" s="4" t="str">
        <f t="shared" si="51"/>
        <v/>
      </c>
      <c r="U96" s="11" t="str">
        <f t="shared" si="52"/>
        <v/>
      </c>
      <c r="V96" s="263" t="str">
        <f t="shared" si="53"/>
        <v/>
      </c>
      <c r="Y96"/>
    </row>
    <row r="97" spans="2:25" x14ac:dyDescent="0.2">
      <c r="B97" s="41">
        <f t="shared" si="38"/>
        <v>94</v>
      </c>
      <c r="C97" s="228" t="str">
        <f>[3]CRe!J96</f>
        <v/>
      </c>
      <c r="D97" s="228" t="str">
        <f>[3]CRe!L96</f>
        <v/>
      </c>
      <c r="E97" s="3" t="str">
        <f t="shared" si="39"/>
        <v/>
      </c>
      <c r="F97" s="4" t="str">
        <f t="shared" si="40"/>
        <v/>
      </c>
      <c r="G97" s="4" t="str">
        <f t="shared" si="36"/>
        <v/>
      </c>
      <c r="H97" s="256" t="str">
        <f t="shared" si="37"/>
        <v/>
      </c>
      <c r="I97" s="4" t="str">
        <f>IF(G97="","",SLOPE(G$3:G97,B$3:B97))</f>
        <v/>
      </c>
      <c r="J97" s="318" t="str">
        <f t="shared" si="41"/>
        <v/>
      </c>
      <c r="K97" s="3" t="str">
        <f t="shared" si="42"/>
        <v/>
      </c>
      <c r="L97" s="260" t="str">
        <f t="shared" si="43"/>
        <v/>
      </c>
      <c r="M97" s="4" t="str">
        <f t="shared" si="44"/>
        <v/>
      </c>
      <c r="N97" s="3" t="str">
        <f t="shared" si="45"/>
        <v/>
      </c>
      <c r="O97" s="4" t="str">
        <f t="shared" si="46"/>
        <v/>
      </c>
      <c r="P97" s="318" t="str">
        <f t="shared" si="47"/>
        <v/>
      </c>
      <c r="Q97" s="3" t="str">
        <f t="shared" si="48"/>
        <v/>
      </c>
      <c r="R97" s="260" t="str">
        <f t="shared" si="49"/>
        <v/>
      </c>
      <c r="S97" s="3" t="str">
        <f t="shared" si="50"/>
        <v/>
      </c>
      <c r="T97" s="4" t="str">
        <f t="shared" si="51"/>
        <v/>
      </c>
      <c r="U97" s="11" t="str">
        <f t="shared" si="52"/>
        <v/>
      </c>
      <c r="V97" s="263" t="str">
        <f t="shared" si="53"/>
        <v/>
      </c>
      <c r="Y97"/>
    </row>
    <row r="98" spans="2:25" x14ac:dyDescent="0.2">
      <c r="B98" s="41">
        <f t="shared" si="38"/>
        <v>95</v>
      </c>
      <c r="C98" s="228" t="str">
        <f>[3]CRe!J97</f>
        <v/>
      </c>
      <c r="D98" s="228" t="str">
        <f>[3]CRe!L97</f>
        <v/>
      </c>
      <c r="E98" s="3" t="str">
        <f t="shared" si="39"/>
        <v/>
      </c>
      <c r="F98" s="4" t="str">
        <f t="shared" si="40"/>
        <v/>
      </c>
      <c r="G98" s="4" t="str">
        <f t="shared" si="36"/>
        <v/>
      </c>
      <c r="H98" s="256" t="str">
        <f t="shared" si="37"/>
        <v/>
      </c>
      <c r="I98" s="4" t="str">
        <f>IF(G98="","",SLOPE(G$3:G98,B$3:B98))</f>
        <v/>
      </c>
      <c r="J98" s="318" t="str">
        <f t="shared" si="41"/>
        <v/>
      </c>
      <c r="K98" s="3" t="str">
        <f t="shared" si="42"/>
        <v/>
      </c>
      <c r="L98" s="260" t="str">
        <f t="shared" si="43"/>
        <v/>
      </c>
      <c r="M98" s="4" t="str">
        <f t="shared" si="44"/>
        <v/>
      </c>
      <c r="N98" s="3" t="str">
        <f t="shared" si="45"/>
        <v/>
      </c>
      <c r="O98" s="4" t="str">
        <f t="shared" si="46"/>
        <v/>
      </c>
      <c r="P98" s="318" t="str">
        <f t="shared" si="47"/>
        <v/>
      </c>
      <c r="Q98" s="3" t="str">
        <f t="shared" si="48"/>
        <v/>
      </c>
      <c r="R98" s="260" t="str">
        <f t="shared" si="49"/>
        <v/>
      </c>
      <c r="S98" s="3" t="str">
        <f t="shared" si="50"/>
        <v/>
      </c>
      <c r="T98" s="4" t="str">
        <f t="shared" si="51"/>
        <v/>
      </c>
      <c r="U98" s="11" t="str">
        <f t="shared" si="52"/>
        <v/>
      </c>
      <c r="V98" s="263" t="str">
        <f t="shared" si="53"/>
        <v/>
      </c>
      <c r="Y98"/>
    </row>
    <row r="99" spans="2:25" x14ac:dyDescent="0.2">
      <c r="B99" s="41">
        <f t="shared" si="38"/>
        <v>96</v>
      </c>
      <c r="C99" s="228" t="str">
        <f>[3]CRe!J98</f>
        <v/>
      </c>
      <c r="D99" s="228" t="str">
        <f>[3]CRe!L98</f>
        <v/>
      </c>
      <c r="E99" s="3" t="str">
        <f t="shared" si="39"/>
        <v/>
      </c>
      <c r="F99" s="4" t="str">
        <f t="shared" si="40"/>
        <v/>
      </c>
      <c r="G99" s="4" t="str">
        <f t="shared" ref="G99:G130" si="54">IF(F99="","",Z$40+F99)</f>
        <v/>
      </c>
      <c r="H99" s="256" t="str">
        <f t="shared" ref="H99:H130" si="55">IF(G99="","",(G99+Z$44)/Z$45)</f>
        <v/>
      </c>
      <c r="I99" s="4" t="str">
        <f>IF(G99="","",SLOPE(G$3:G99,B$3:B99))</f>
        <v/>
      </c>
      <c r="J99" s="318" t="str">
        <f t="shared" si="41"/>
        <v/>
      </c>
      <c r="K99" s="3" t="str">
        <f t="shared" si="42"/>
        <v/>
      </c>
      <c r="L99" s="260" t="str">
        <f t="shared" si="43"/>
        <v/>
      </c>
      <c r="M99" s="4" t="str">
        <f t="shared" si="44"/>
        <v/>
      </c>
      <c r="N99" s="3" t="str">
        <f t="shared" si="45"/>
        <v/>
      </c>
      <c r="O99" s="4" t="str">
        <f t="shared" si="46"/>
        <v/>
      </c>
      <c r="P99" s="318" t="str">
        <f t="shared" si="47"/>
        <v/>
      </c>
      <c r="Q99" s="3" t="str">
        <f t="shared" si="48"/>
        <v/>
      </c>
      <c r="R99" s="260" t="str">
        <f t="shared" si="49"/>
        <v/>
      </c>
      <c r="S99" s="3" t="str">
        <f t="shared" si="50"/>
        <v/>
      </c>
      <c r="T99" s="4" t="str">
        <f t="shared" si="51"/>
        <v/>
      </c>
      <c r="U99" s="11" t="str">
        <f t="shared" si="52"/>
        <v/>
      </c>
      <c r="V99" s="263" t="str">
        <f t="shared" si="53"/>
        <v/>
      </c>
      <c r="Y99"/>
    </row>
    <row r="100" spans="2:25" x14ac:dyDescent="0.2">
      <c r="B100" s="41">
        <f t="shared" si="38"/>
        <v>97</v>
      </c>
      <c r="C100" s="228" t="str">
        <f>[3]CRe!J99</f>
        <v/>
      </c>
      <c r="D100" s="228" t="str">
        <f>[3]CRe!L99</f>
        <v/>
      </c>
      <c r="E100" s="3" t="str">
        <f t="shared" si="39"/>
        <v/>
      </c>
      <c r="F100" s="4" t="str">
        <f t="shared" si="40"/>
        <v/>
      </c>
      <c r="G100" s="4" t="str">
        <f t="shared" si="54"/>
        <v/>
      </c>
      <c r="H100" s="256" t="str">
        <f t="shared" si="55"/>
        <v/>
      </c>
      <c r="I100" s="4" t="str">
        <f>IF(G100="","",SLOPE(G$3:G100,B$3:B100))</f>
        <v/>
      </c>
      <c r="J100" s="318" t="str">
        <f t="shared" si="41"/>
        <v/>
      </c>
      <c r="K100" s="3" t="str">
        <f t="shared" si="42"/>
        <v/>
      </c>
      <c r="L100" s="260" t="str">
        <f t="shared" si="43"/>
        <v/>
      </c>
      <c r="M100" s="4" t="str">
        <f t="shared" ref="M100:M103" si="56">IF(J100="","",IF(L100=0,"",100*(J100^(1/L100)-1)))</f>
        <v/>
      </c>
      <c r="N100" s="3" t="str">
        <f t="shared" si="45"/>
        <v/>
      </c>
      <c r="O100" s="4" t="str">
        <f t="shared" si="46"/>
        <v/>
      </c>
      <c r="P100" s="318" t="str">
        <f t="shared" si="47"/>
        <v/>
      </c>
      <c r="Q100" s="3" t="str">
        <f t="shared" si="48"/>
        <v/>
      </c>
      <c r="R100" s="260" t="str">
        <f t="shared" si="49"/>
        <v/>
      </c>
      <c r="S100" s="3" t="str">
        <f t="shared" si="50"/>
        <v/>
      </c>
      <c r="T100" s="4" t="str">
        <f t="shared" si="51"/>
        <v/>
      </c>
      <c r="U100" s="11" t="str">
        <f t="shared" si="52"/>
        <v/>
      </c>
      <c r="V100" s="263" t="str">
        <f t="shared" si="53"/>
        <v/>
      </c>
      <c r="Y100"/>
    </row>
    <row r="101" spans="2:25" x14ac:dyDescent="0.2">
      <c r="B101" s="41">
        <f t="shared" si="38"/>
        <v>98</v>
      </c>
      <c r="C101" s="228" t="str">
        <f>[3]CRe!J100</f>
        <v/>
      </c>
      <c r="D101" s="228" t="str">
        <f>[3]CRe!L100</f>
        <v/>
      </c>
      <c r="E101" s="3" t="str">
        <f t="shared" si="39"/>
        <v/>
      </c>
      <c r="F101" s="4" t="str">
        <f t="shared" si="40"/>
        <v/>
      </c>
      <c r="G101" s="4" t="str">
        <f t="shared" si="54"/>
        <v/>
      </c>
      <c r="H101" s="256" t="str">
        <f t="shared" si="55"/>
        <v/>
      </c>
      <c r="I101" s="4" t="str">
        <f>IF(G101="","",SLOPE(G$3:G101,B$3:B101))</f>
        <v/>
      </c>
      <c r="J101" s="318" t="str">
        <f t="shared" si="41"/>
        <v/>
      </c>
      <c r="K101" s="3" t="str">
        <f t="shared" si="42"/>
        <v/>
      </c>
      <c r="L101" s="260" t="str">
        <f t="shared" si="43"/>
        <v/>
      </c>
      <c r="M101" s="4" t="str">
        <f t="shared" si="56"/>
        <v/>
      </c>
      <c r="N101" s="3" t="str">
        <f t="shared" si="45"/>
        <v/>
      </c>
      <c r="O101" s="4" t="str">
        <f t="shared" si="46"/>
        <v/>
      </c>
      <c r="P101" s="318" t="str">
        <f t="shared" si="47"/>
        <v/>
      </c>
      <c r="Q101" s="3" t="str">
        <f t="shared" si="48"/>
        <v/>
      </c>
      <c r="R101" s="260" t="str">
        <f t="shared" si="49"/>
        <v/>
      </c>
      <c r="S101" s="3" t="str">
        <f t="shared" si="50"/>
        <v/>
      </c>
      <c r="T101" s="4" t="str">
        <f t="shared" si="51"/>
        <v/>
      </c>
      <c r="U101" s="11" t="str">
        <f t="shared" si="52"/>
        <v/>
      </c>
      <c r="V101" s="263" t="str">
        <f t="shared" si="53"/>
        <v/>
      </c>
      <c r="Y101"/>
    </row>
    <row r="102" spans="2:25" x14ac:dyDescent="0.2">
      <c r="B102" s="41">
        <f t="shared" si="38"/>
        <v>99</v>
      </c>
      <c r="C102" s="228" t="str">
        <f>[3]CRe!J101</f>
        <v/>
      </c>
      <c r="D102" s="228" t="str">
        <f>[3]CRe!L101</f>
        <v/>
      </c>
      <c r="E102" s="3" t="str">
        <f t="shared" si="39"/>
        <v/>
      </c>
      <c r="F102" s="4" t="str">
        <f t="shared" si="40"/>
        <v/>
      </c>
      <c r="G102" s="4" t="str">
        <f t="shared" si="54"/>
        <v/>
      </c>
      <c r="H102" s="256" t="str">
        <f t="shared" si="55"/>
        <v/>
      </c>
      <c r="I102" s="4" t="str">
        <f>IF(G102="","",SLOPE(G$3:G102,B$3:B102))</f>
        <v/>
      </c>
      <c r="J102" s="318" t="str">
        <f t="shared" si="41"/>
        <v/>
      </c>
      <c r="K102" s="3" t="str">
        <f t="shared" si="42"/>
        <v/>
      </c>
      <c r="L102" s="260" t="str">
        <f t="shared" si="43"/>
        <v/>
      </c>
      <c r="M102" s="4" t="str">
        <f t="shared" si="56"/>
        <v/>
      </c>
      <c r="N102" s="3" t="str">
        <f t="shared" si="45"/>
        <v/>
      </c>
      <c r="O102" s="4" t="str">
        <f t="shared" si="46"/>
        <v/>
      </c>
      <c r="P102" s="318" t="str">
        <f t="shared" si="47"/>
        <v/>
      </c>
      <c r="Q102" s="3" t="str">
        <f t="shared" si="48"/>
        <v/>
      </c>
      <c r="R102" s="260" t="str">
        <f t="shared" si="49"/>
        <v/>
      </c>
      <c r="S102" s="3" t="str">
        <f t="shared" si="50"/>
        <v/>
      </c>
      <c r="T102" s="4" t="str">
        <f t="shared" si="51"/>
        <v/>
      </c>
      <c r="U102" s="11" t="str">
        <f t="shared" si="52"/>
        <v/>
      </c>
      <c r="V102" s="263" t="str">
        <f t="shared" si="53"/>
        <v/>
      </c>
      <c r="Y102"/>
    </row>
    <row r="103" spans="2:25" ht="13.5" thickBot="1" x14ac:dyDescent="0.25">
      <c r="B103" s="42">
        <f t="shared" si="38"/>
        <v>100</v>
      </c>
      <c r="C103" s="229" t="str">
        <f>[3]CRe!J102</f>
        <v/>
      </c>
      <c r="D103" s="229" t="str">
        <f>[3]CRe!L102</f>
        <v/>
      </c>
      <c r="E103" s="5" t="str">
        <f t="shared" si="39"/>
        <v/>
      </c>
      <c r="F103" s="19" t="str">
        <f t="shared" si="40"/>
        <v/>
      </c>
      <c r="G103" s="19" t="str">
        <f t="shared" si="54"/>
        <v/>
      </c>
      <c r="H103" s="258" t="str">
        <f t="shared" si="55"/>
        <v/>
      </c>
      <c r="I103" s="19" t="str">
        <f>IF(G103="","",SLOPE(G$3:G103,B$3:B103))</f>
        <v/>
      </c>
      <c r="J103" s="319" t="str">
        <f t="shared" si="41"/>
        <v/>
      </c>
      <c r="K103" s="5" t="str">
        <f t="shared" si="42"/>
        <v/>
      </c>
      <c r="L103" s="261" t="str">
        <f t="shared" si="43"/>
        <v/>
      </c>
      <c r="M103" s="19" t="str">
        <f t="shared" si="56"/>
        <v/>
      </c>
      <c r="N103" s="5" t="str">
        <f t="shared" si="45"/>
        <v/>
      </c>
      <c r="O103" s="19" t="str">
        <f t="shared" si="46"/>
        <v/>
      </c>
      <c r="P103" s="319" t="str">
        <f t="shared" si="47"/>
        <v/>
      </c>
      <c r="Q103" s="5" t="str">
        <f t="shared" si="48"/>
        <v/>
      </c>
      <c r="R103" s="261" t="str">
        <f t="shared" si="49"/>
        <v/>
      </c>
      <c r="S103" s="5" t="str">
        <f t="shared" si="50"/>
        <v/>
      </c>
      <c r="T103" s="19" t="str">
        <f t="shared" si="51"/>
        <v/>
      </c>
      <c r="U103" s="12" t="str">
        <f t="shared" si="52"/>
        <v/>
      </c>
      <c r="V103" s="264" t="str">
        <f t="shared" si="53"/>
        <v/>
      </c>
      <c r="Y103"/>
    </row>
    <row r="104" spans="2:25" x14ac:dyDescent="0.2">
      <c r="V104" s="2"/>
      <c r="Y104"/>
    </row>
    <row r="105" spans="2:25" x14ac:dyDescent="0.2">
      <c r="D105" s="1"/>
      <c r="E105" s="1"/>
      <c r="K105" s="1"/>
      <c r="L105" s="1"/>
      <c r="V105" s="2"/>
      <c r="Y105"/>
    </row>
    <row r="106" spans="2:25" x14ac:dyDescent="0.2">
      <c r="D106" s="1"/>
      <c r="E106" s="1"/>
      <c r="K106" s="1"/>
      <c r="L106" s="1"/>
      <c r="V106" s="2"/>
      <c r="Y106"/>
    </row>
    <row r="107" spans="2:25" x14ac:dyDescent="0.2">
      <c r="D107" s="1"/>
      <c r="E107" s="1"/>
      <c r="K107" s="1"/>
      <c r="L107" s="1"/>
      <c r="V107" s="2"/>
      <c r="Y107"/>
    </row>
    <row r="108" spans="2:25" x14ac:dyDescent="0.2">
      <c r="V108" s="2"/>
      <c r="Y108"/>
    </row>
  </sheetData>
  <mergeCells count="25">
    <mergeCell ref="B1:B2"/>
    <mergeCell ref="N1:N2"/>
    <mergeCell ref="O1:O2"/>
    <mergeCell ref="K1:K2"/>
    <mergeCell ref="L1:L2"/>
    <mergeCell ref="P1:P2"/>
    <mergeCell ref="M1:M2"/>
    <mergeCell ref="C1:C2"/>
    <mergeCell ref="J1:J2"/>
    <mergeCell ref="D1:D2"/>
    <mergeCell ref="E1:E2"/>
    <mergeCell ref="F1:F2"/>
    <mergeCell ref="G1:G2"/>
    <mergeCell ref="H1:H2"/>
    <mergeCell ref="I1:I2"/>
    <mergeCell ref="T1:T2"/>
    <mergeCell ref="R1:R2"/>
    <mergeCell ref="Q1:Q2"/>
    <mergeCell ref="AB44:AB45"/>
    <mergeCell ref="U1:U2"/>
    <mergeCell ref="AB39:AC39"/>
    <mergeCell ref="V1:V2"/>
    <mergeCell ref="Y39:Z39"/>
    <mergeCell ref="S1:S2"/>
    <mergeCell ref="Y43:Z43"/>
  </mergeCells>
  <phoneticPr fontId="0" type="noConversion"/>
  <pageMargins left="0.78740157499999996" right="0.78740157499999996" top="0.984251969" bottom="0.984251969" header="0.49212598499999999" footer="0.49212598499999999"/>
  <pageSetup orientation="portrait" r:id="rId1"/>
  <headerFooter alignWithMargins="0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03"/>
  <sheetViews>
    <sheetView workbookViewId="0">
      <selection activeCell="C12" sqref="C12"/>
    </sheetView>
  </sheetViews>
  <sheetFormatPr defaultRowHeight="12.75" x14ac:dyDescent="0.2"/>
  <cols>
    <col min="1" max="1" width="2.140625" customWidth="1"/>
    <col min="2" max="2" width="15.140625" bestFit="1" customWidth="1"/>
    <col min="3" max="3" width="11" customWidth="1"/>
    <col min="4" max="4" width="2.140625" customWidth="1"/>
    <col min="5" max="5" width="15.140625" bestFit="1" customWidth="1"/>
    <col min="6" max="6" width="9.5703125" bestFit="1" customWidth="1"/>
    <col min="7" max="7" width="2.42578125" customWidth="1"/>
    <col min="8" max="8" width="9.5703125" bestFit="1" customWidth="1"/>
    <col min="9" max="9" width="10.140625" bestFit="1" customWidth="1"/>
    <col min="10" max="10" width="2.42578125" customWidth="1"/>
    <col min="11" max="11" width="9.140625" customWidth="1"/>
    <col min="12" max="12" width="9.5703125" bestFit="1" customWidth="1"/>
    <col min="13" max="13" width="2.140625" customWidth="1"/>
    <col min="18" max="18" width="2.140625" customWidth="1"/>
  </cols>
  <sheetData>
    <row r="1" spans="2:17" ht="13.5" thickBot="1" x14ac:dyDescent="0.25"/>
    <row r="2" spans="2:17" ht="13.5" thickBot="1" x14ac:dyDescent="0.25">
      <c r="B2" s="439" t="s">
        <v>66</v>
      </c>
      <c r="C2" s="447"/>
      <c r="N2" s="419" t="s">
        <v>16</v>
      </c>
      <c r="O2" s="438"/>
      <c r="P2" s="438"/>
      <c r="Q2" s="423"/>
    </row>
    <row r="3" spans="2:17" ht="13.5" thickBot="1" x14ac:dyDescent="0.25">
      <c r="B3" s="10" t="s">
        <v>62</v>
      </c>
      <c r="C3" s="248">
        <f>CLog!$Z$40</f>
        <v>3260.84</v>
      </c>
      <c r="N3" s="26" t="s">
        <v>15</v>
      </c>
      <c r="O3" s="27" t="s">
        <v>6</v>
      </c>
      <c r="P3" s="27" t="s">
        <v>5</v>
      </c>
      <c r="Q3" s="28" t="s">
        <v>14</v>
      </c>
    </row>
    <row r="4" spans="2:17" x14ac:dyDescent="0.2">
      <c r="B4" s="7" t="s">
        <v>12</v>
      </c>
      <c r="C4" s="249">
        <f>CLog!Z41</f>
        <v>0.32999999999992724</v>
      </c>
      <c r="N4" s="25">
        <v>1</v>
      </c>
      <c r="O4" s="51">
        <f t="shared" ref="O4:O35" si="0">IF(C$27="","",1+C$27*N4/100)</f>
        <v>1.012005896429587</v>
      </c>
      <c r="P4" s="18">
        <f t="shared" ref="P4:P35" si="1">IF(O4="","",1-N4/100)</f>
        <v>0.99</v>
      </c>
      <c r="Q4" s="66">
        <f t="shared" ref="Q4:Q35" si="2">IF(O4="","",100*(O4^(C$28/100)*P4^((100-C$28)/100)-1))</f>
        <v>-1.720988577202931E-5</v>
      </c>
    </row>
    <row r="5" spans="2:17" x14ac:dyDescent="0.2">
      <c r="B5" s="54" t="s">
        <v>50</v>
      </c>
      <c r="C5" s="249">
        <f>CLog!Z42</f>
        <v>3261.17</v>
      </c>
      <c r="N5" s="21">
        <f t="shared" ref="N5:N36" si="3">N4+1</f>
        <v>2</v>
      </c>
      <c r="O5" s="52">
        <f t="shared" si="0"/>
        <v>1.0240117928591739</v>
      </c>
      <c r="P5" s="4">
        <f t="shared" si="1"/>
        <v>0.98</v>
      </c>
      <c r="Q5" s="67">
        <f t="shared" si="2"/>
        <v>-1.2007138491831881E-2</v>
      </c>
    </row>
    <row r="6" spans="2:17" x14ac:dyDescent="0.2">
      <c r="B6" s="7" t="str">
        <f>CLog!AB40</f>
        <v>Ganhos</v>
      </c>
      <c r="C6" s="250">
        <f>CLog!AC40</f>
        <v>16</v>
      </c>
      <c r="N6" s="21">
        <f t="shared" si="3"/>
        <v>3</v>
      </c>
      <c r="O6" s="52">
        <f t="shared" si="0"/>
        <v>1.0360176892887609</v>
      </c>
      <c r="P6" s="4">
        <f t="shared" si="1"/>
        <v>0.97</v>
      </c>
      <c r="Q6" s="67">
        <f t="shared" si="2"/>
        <v>-3.592911393682785E-2</v>
      </c>
    </row>
    <row r="7" spans="2:17" x14ac:dyDescent="0.2">
      <c r="B7" s="7" t="str">
        <f>CLog!AB41</f>
        <v>Perdas</v>
      </c>
      <c r="C7" s="250">
        <f>CLog!AC41</f>
        <v>19</v>
      </c>
      <c r="N7" s="21">
        <f t="shared" si="3"/>
        <v>4</v>
      </c>
      <c r="O7" s="52">
        <f t="shared" si="0"/>
        <v>1.0480235857183477</v>
      </c>
      <c r="P7" s="4">
        <f t="shared" si="1"/>
        <v>0.96</v>
      </c>
      <c r="Q7" s="67">
        <f t="shared" si="2"/>
        <v>-7.1746930292815314E-2</v>
      </c>
    </row>
    <row r="8" spans="2:17" x14ac:dyDescent="0.2">
      <c r="B8" s="7" t="str">
        <f>CLog!AB42</f>
        <v>Ciclos</v>
      </c>
      <c r="C8" s="250">
        <f>CLog!AC42</f>
        <v>35</v>
      </c>
      <c r="N8" s="21">
        <f t="shared" si="3"/>
        <v>5</v>
      </c>
      <c r="O8" s="52">
        <f t="shared" si="0"/>
        <v>1.0600294821479348</v>
      </c>
      <c r="P8" s="4">
        <f t="shared" si="1"/>
        <v>0.95</v>
      </c>
      <c r="Q8" s="67">
        <f t="shared" si="2"/>
        <v>-0.11942878703375959</v>
      </c>
    </row>
    <row r="9" spans="2:17" x14ac:dyDescent="0.2">
      <c r="B9" s="7" t="str">
        <f>CLog!AB43</f>
        <v>WinP</v>
      </c>
      <c r="C9" s="217">
        <f>CLog!AC43</f>
        <v>0.45714285714285713</v>
      </c>
      <c r="N9" s="21">
        <f t="shared" si="3"/>
        <v>6</v>
      </c>
      <c r="O9" s="52">
        <f t="shared" si="0"/>
        <v>1.0720353785775218</v>
      </c>
      <c r="P9" s="4">
        <f t="shared" si="1"/>
        <v>0.94</v>
      </c>
      <c r="Q9" s="67">
        <f t="shared" si="2"/>
        <v>-0.17894723676230573</v>
      </c>
    </row>
    <row r="10" spans="2:17" x14ac:dyDescent="0.2">
      <c r="B10" s="417" t="str">
        <f>CLog!AB44</f>
        <v>CAR</v>
      </c>
      <c r="C10" s="249">
        <f>CLog!AC44</f>
        <v>30.855416222106907</v>
      </c>
      <c r="N10" s="21">
        <f t="shared" si="3"/>
        <v>7</v>
      </c>
      <c r="O10" s="52">
        <f t="shared" si="0"/>
        <v>1.0840412750071087</v>
      </c>
      <c r="P10" s="4">
        <f t="shared" si="1"/>
        <v>0.92999999999999994</v>
      </c>
      <c r="Q10" s="67">
        <f t="shared" si="2"/>
        <v>-0.25027914100574922</v>
      </c>
    </row>
    <row r="11" spans="2:17" x14ac:dyDescent="0.2">
      <c r="B11" s="418"/>
      <c r="C11" s="217">
        <f>CLog!AC45</f>
        <v>9.4614559259734721E-3</v>
      </c>
      <c r="N11" s="21">
        <f t="shared" si="3"/>
        <v>8</v>
      </c>
      <c r="O11" s="52">
        <f t="shared" si="0"/>
        <v>1.0960471714366957</v>
      </c>
      <c r="P11" s="4">
        <f t="shared" si="1"/>
        <v>0.92</v>
      </c>
      <c r="Q11" s="67">
        <f t="shared" si="2"/>
        <v>-0.33340563390560352</v>
      </c>
    </row>
    <row r="12" spans="2:17" x14ac:dyDescent="0.2">
      <c r="B12" s="7" t="str">
        <f>CLog!AB46</f>
        <v>FL</v>
      </c>
      <c r="C12" s="218">
        <f>CLog!AC46</f>
        <v>1.2005896429586962</v>
      </c>
      <c r="N12" s="21">
        <f t="shared" si="3"/>
        <v>9</v>
      </c>
      <c r="O12" s="52">
        <f t="shared" si="0"/>
        <v>1.1080530678662828</v>
      </c>
      <c r="P12" s="4">
        <f t="shared" si="1"/>
        <v>0.91</v>
      </c>
      <c r="Q12" s="67">
        <f t="shared" si="2"/>
        <v>-0.4283120936613205</v>
      </c>
    </row>
    <row r="13" spans="2:17" ht="13.5" thickBot="1" x14ac:dyDescent="0.25">
      <c r="B13" s="23" t="s">
        <v>18</v>
      </c>
      <c r="C13" s="75">
        <f>IF(C9="","",IF(C12="","",IF(C9-(1-C9)/C12&lt;0,0,100*(C9-(1-C9)/C12))))</f>
        <v>0.49840816270676491</v>
      </c>
      <c r="N13" s="21">
        <f t="shared" si="3"/>
        <v>10</v>
      </c>
      <c r="O13" s="52">
        <f t="shared" si="0"/>
        <v>1.1200589642958696</v>
      </c>
      <c r="P13" s="4">
        <f t="shared" si="1"/>
        <v>0.9</v>
      </c>
      <c r="Q13" s="67">
        <f t="shared" si="2"/>
        <v>-0.53498812161939524</v>
      </c>
    </row>
    <row r="14" spans="2:17" ht="13.5" thickBot="1" x14ac:dyDescent="0.25">
      <c r="B14" s="439" t="s">
        <v>59</v>
      </c>
      <c r="C14" s="440"/>
      <c r="N14" s="21">
        <f t="shared" si="3"/>
        <v>11</v>
      </c>
      <c r="O14" s="52">
        <f t="shared" si="0"/>
        <v>1.1320648607254566</v>
      </c>
      <c r="P14" s="4">
        <f t="shared" si="1"/>
        <v>0.89</v>
      </c>
      <c r="Q14" s="67">
        <f t="shared" si="2"/>
        <v>-0.6534275289334035</v>
      </c>
    </row>
    <row r="15" spans="2:17" ht="12.75" customHeight="1" x14ac:dyDescent="0.2">
      <c r="B15" s="80" t="s">
        <v>60</v>
      </c>
      <c r="C15" s="76"/>
      <c r="N15" s="21">
        <f t="shared" si="3"/>
        <v>12</v>
      </c>
      <c r="O15" s="52">
        <f t="shared" si="0"/>
        <v>1.1440707571550435</v>
      </c>
      <c r="P15" s="4">
        <f t="shared" si="1"/>
        <v>0.88</v>
      </c>
      <c r="Q15" s="67">
        <f t="shared" si="2"/>
        <v>-0.78362833075041882</v>
      </c>
    </row>
    <row r="16" spans="2:17" x14ac:dyDescent="0.2">
      <c r="B16" s="81" t="s">
        <v>61</v>
      </c>
      <c r="C16" s="77"/>
      <c r="D16" s="13"/>
      <c r="N16" s="21">
        <f t="shared" si="3"/>
        <v>13</v>
      </c>
      <c r="O16" s="52">
        <f t="shared" si="0"/>
        <v>1.1560766535846305</v>
      </c>
      <c r="P16" s="4">
        <f t="shared" si="1"/>
        <v>0.87</v>
      </c>
      <c r="Q16" s="67">
        <f t="shared" si="2"/>
        <v>-0.92559274791175206</v>
      </c>
    </row>
    <row r="17" spans="2:17" x14ac:dyDescent="0.2">
      <c r="B17" s="81" t="s">
        <v>17</v>
      </c>
      <c r="C17" s="78"/>
      <c r="D17" s="13"/>
      <c r="N17" s="21">
        <f t="shared" si="3"/>
        <v>14</v>
      </c>
      <c r="O17" s="52">
        <f t="shared" si="0"/>
        <v>1.1680825500142173</v>
      </c>
      <c r="P17" s="4">
        <f t="shared" si="1"/>
        <v>0.86</v>
      </c>
      <c r="Q17" s="67">
        <f t="shared" si="2"/>
        <v>-1.0793272161872203</v>
      </c>
    </row>
    <row r="18" spans="2:17" x14ac:dyDescent="0.2">
      <c r="B18" s="81" t="s">
        <v>25</v>
      </c>
      <c r="C18" s="79" t="str">
        <f>IF(C15="","",IF(C16="","",IF(C17="","",C15/C16)))</f>
        <v/>
      </c>
      <c r="N18" s="21">
        <f t="shared" si="3"/>
        <v>15</v>
      </c>
      <c r="O18" s="52">
        <f t="shared" si="0"/>
        <v>1.1800884464438044</v>
      </c>
      <c r="P18" s="4">
        <f t="shared" si="1"/>
        <v>0.85</v>
      </c>
      <c r="Q18" s="67">
        <f t="shared" si="2"/>
        <v>-1.2448424030931715</v>
      </c>
    </row>
    <row r="19" spans="2:17" ht="13.5" thickBot="1" x14ac:dyDescent="0.25">
      <c r="B19" s="23" t="s">
        <v>18</v>
      </c>
      <c r="C19" s="134" t="str">
        <f>IF(C17="","",IF(C18="","",IF(100*((C17/100)-(1-C17/100)/C18)&lt;0,0,100*((C17/100)-(1-C17/100)/C18))))</f>
        <v/>
      </c>
      <c r="I19" s="13"/>
      <c r="N19" s="21">
        <f t="shared" si="3"/>
        <v>16</v>
      </c>
      <c r="O19" s="52">
        <f t="shared" si="0"/>
        <v>1.1920943428733914</v>
      </c>
      <c r="P19" s="4">
        <f t="shared" si="1"/>
        <v>0.84</v>
      </c>
      <c r="Q19" s="67">
        <f t="shared" si="2"/>
        <v>-1.4221532323769326</v>
      </c>
    </row>
    <row r="20" spans="2:17" ht="13.5" thickBot="1" x14ac:dyDescent="0.25">
      <c r="B20" s="445" t="s">
        <v>63</v>
      </c>
      <c r="C20" s="446"/>
      <c r="D20" s="13"/>
      <c r="N20" s="21">
        <f t="shared" si="3"/>
        <v>17</v>
      </c>
      <c r="O20" s="52">
        <f t="shared" si="0"/>
        <v>1.2041002393029783</v>
      </c>
      <c r="P20" s="4">
        <f t="shared" si="1"/>
        <v>0.83</v>
      </c>
      <c r="Q20" s="67">
        <f t="shared" si="2"/>
        <v>-1.6112789162832764</v>
      </c>
    </row>
    <row r="21" spans="2:17" x14ac:dyDescent="0.2">
      <c r="B21" s="443" t="s">
        <v>13</v>
      </c>
      <c r="C21" s="200">
        <f>IF(C27="","",IF(C28="","",IF(C27&lt;0,0,IF(C28/100-(1-C28/100)/C27&lt;0,0,C28/100-(1-C28/100)/C27))))</f>
        <v>4.9840816270676491E-3</v>
      </c>
      <c r="N21" s="21">
        <f t="shared" si="3"/>
        <v>18</v>
      </c>
      <c r="O21" s="52">
        <f t="shared" si="0"/>
        <v>1.2161061357325653</v>
      </c>
      <c r="P21" s="4">
        <f t="shared" si="1"/>
        <v>0.82000000000000006</v>
      </c>
      <c r="Q21" s="67">
        <f t="shared" si="2"/>
        <v>-1.8122429957512898</v>
      </c>
    </row>
    <row r="22" spans="2:17" x14ac:dyDescent="0.2">
      <c r="B22" s="444"/>
      <c r="C22" s="74">
        <f>IF(C21="","",IF(C5="",IF(C3="","",C3*C21),C5*C21))</f>
        <v>16.253937479744206</v>
      </c>
      <c r="N22" s="21">
        <f t="shared" si="3"/>
        <v>19</v>
      </c>
      <c r="O22" s="52">
        <f t="shared" si="0"/>
        <v>1.2281120321621524</v>
      </c>
      <c r="P22" s="4">
        <f t="shared" si="1"/>
        <v>0.81</v>
      </c>
      <c r="Q22" s="67">
        <f t="shared" si="2"/>
        <v>-2.0250733887261396</v>
      </c>
    </row>
    <row r="23" spans="2:17" x14ac:dyDescent="0.2">
      <c r="B23" s="441" t="s">
        <v>11</v>
      </c>
      <c r="C23" s="201">
        <f>IF(C27="","",IF(MAX(Q4:Q103)&lt;0,0,MAX(Q4:Q103)/100))</f>
        <v>0</v>
      </c>
      <c r="N23" s="21">
        <f t="shared" si="3"/>
        <v>20</v>
      </c>
      <c r="O23" s="52">
        <f t="shared" si="0"/>
        <v>1.2401179285917392</v>
      </c>
      <c r="P23" s="4">
        <f t="shared" si="1"/>
        <v>0.8</v>
      </c>
      <c r="Q23" s="67">
        <f t="shared" si="2"/>
        <v>-2.2498024468050826</v>
      </c>
    </row>
    <row r="24" spans="2:17" ht="13.5" thickBot="1" x14ac:dyDescent="0.25">
      <c r="B24" s="442"/>
      <c r="C24" s="202">
        <f>IF(C23="","",IF(C5="",IF(C3="","",C3*C23),C5*C23))</f>
        <v>0</v>
      </c>
      <c r="N24" s="21">
        <f t="shared" si="3"/>
        <v>21</v>
      </c>
      <c r="O24" s="52">
        <f t="shared" si="0"/>
        <v>1.2521238250213262</v>
      </c>
      <c r="P24" s="4">
        <f t="shared" si="1"/>
        <v>0.79</v>
      </c>
      <c r="Q24" s="67">
        <f t="shared" si="2"/>
        <v>-2.4864670204762795</v>
      </c>
    </row>
    <row r="25" spans="2:17" ht="13.5" thickBot="1" x14ac:dyDescent="0.25">
      <c r="B25" s="430" t="s">
        <v>57</v>
      </c>
      <c r="C25" s="431"/>
      <c r="N25" s="21">
        <f t="shared" si="3"/>
        <v>22</v>
      </c>
      <c r="O25" s="52">
        <f t="shared" si="0"/>
        <v>1.2641297214509133</v>
      </c>
      <c r="P25" s="4">
        <f t="shared" si="1"/>
        <v>0.78</v>
      </c>
      <c r="Q25" s="67">
        <f t="shared" si="2"/>
        <v>-2.7351085332490865</v>
      </c>
    </row>
    <row r="26" spans="2:17" ht="13.5" thickBot="1" x14ac:dyDescent="0.25">
      <c r="B26" s="24" t="s">
        <v>58</v>
      </c>
      <c r="C26" s="120" t="s">
        <v>122</v>
      </c>
      <c r="N26" s="21">
        <f t="shared" si="3"/>
        <v>23</v>
      </c>
      <c r="O26" s="52">
        <f t="shared" si="0"/>
        <v>1.2761356178805001</v>
      </c>
      <c r="P26" s="4">
        <f t="shared" si="1"/>
        <v>0.77</v>
      </c>
      <c r="Q26" s="67">
        <f t="shared" si="2"/>
        <v>-2.9957730650161718</v>
      </c>
    </row>
    <row r="27" spans="2:17" x14ac:dyDescent="0.2">
      <c r="B27" s="24" t="s">
        <v>25</v>
      </c>
      <c r="C27" s="69">
        <f>IF(C26="CLog",C12,IF(C26="Sim",C18,""))</f>
        <v>1.2005896429586962</v>
      </c>
      <c r="E27" s="432" t="str">
        <f>IF(C26="CLog","CLog Risk Profile",IF(C26="Sim","Sim Risk Profile","Risk Profile Chart"))</f>
        <v>CLog Risk Profile</v>
      </c>
      <c r="F27" s="433" t="e">
        <f>IF(#REF!="x",IF(#REF!="",#REF!,""),IF(#REF!="x",IF(#REF!="",#REF!,""),""))</f>
        <v>#REF!</v>
      </c>
      <c r="G27" s="433" t="e">
        <f>IF(#REF!="x",IF(#REF!="",#REF!,""),IF(#REF!="x",IF(#REF!="",#REF!,""),""))</f>
        <v>#REF!</v>
      </c>
      <c r="H27" s="433" t="e">
        <f>IF(#REF!="x",IF(H23="",#REF!,""),IF(H23="x",IF(#REF!="",#REF!,""),""))</f>
        <v>#REF!</v>
      </c>
      <c r="I27" s="433" t="e">
        <f>IF(#REF!="x",IF(I23="",#REF!,""),IF(I23="x",IF(#REF!="",#REF!,""),""))</f>
        <v>#REF!</v>
      </c>
      <c r="J27" s="433"/>
      <c r="K27" s="433" t="e">
        <f>IF(#REF!="x",IF(K23="",#REF!,""),IF(K23="x",IF(#REF!="",#REF!,""),""))</f>
        <v>#REF!</v>
      </c>
      <c r="L27" s="434" t="e">
        <f>IF(#REF!="x",IF(L23="",#REF!,""),IF(L23="x",IF(#REF!="",#REF!,""),""))</f>
        <v>#REF!</v>
      </c>
      <c r="N27" s="21">
        <f t="shared" si="3"/>
        <v>24</v>
      </c>
      <c r="O27" s="52">
        <f t="shared" si="0"/>
        <v>1.2881415143100872</v>
      </c>
      <c r="P27" s="4">
        <f t="shared" si="1"/>
        <v>0.76</v>
      </c>
      <c r="Q27" s="67">
        <f t="shared" si="2"/>
        <v>-3.2685114450347053</v>
      </c>
    </row>
    <row r="28" spans="2:17" ht="13.5" thickBot="1" x14ac:dyDescent="0.25">
      <c r="B28" s="23" t="s">
        <v>8</v>
      </c>
      <c r="C28" s="70">
        <f>IF(C26="CLog",100*C9,IF(C26="Sim",C17,""))</f>
        <v>45.714285714285715</v>
      </c>
      <c r="E28" s="435"/>
      <c r="F28" s="436"/>
      <c r="G28" s="436"/>
      <c r="H28" s="436"/>
      <c r="I28" s="436"/>
      <c r="J28" s="436"/>
      <c r="K28" s="436"/>
      <c r="L28" s="437"/>
      <c r="N28" s="21">
        <f t="shared" si="3"/>
        <v>25</v>
      </c>
      <c r="O28" s="52">
        <f t="shared" si="0"/>
        <v>1.300147410739674</v>
      </c>
      <c r="P28" s="4">
        <f t="shared" si="1"/>
        <v>0.75</v>
      </c>
      <c r="Q28" s="67">
        <f t="shared" si="2"/>
        <v>-3.5533793549615611</v>
      </c>
    </row>
    <row r="29" spans="2:17" x14ac:dyDescent="0.2">
      <c r="L29" s="83"/>
      <c r="N29" s="21">
        <f t="shared" si="3"/>
        <v>26</v>
      </c>
      <c r="O29" s="52">
        <f t="shared" si="0"/>
        <v>1.312153307169261</v>
      </c>
      <c r="P29" s="4">
        <f t="shared" si="1"/>
        <v>0.74</v>
      </c>
      <c r="Q29" s="67">
        <f t="shared" si="2"/>
        <v>-3.8504374424302434</v>
      </c>
    </row>
    <row r="30" spans="2:17" x14ac:dyDescent="0.2">
      <c r="N30" s="21">
        <f t="shared" si="3"/>
        <v>27</v>
      </c>
      <c r="O30" s="52">
        <f t="shared" si="0"/>
        <v>1.3241592035988479</v>
      </c>
      <c r="P30" s="4">
        <f t="shared" si="1"/>
        <v>0.73</v>
      </c>
      <c r="Q30" s="67">
        <f t="shared" si="2"/>
        <v>-4.1597514457142326</v>
      </c>
    </row>
    <row r="31" spans="2:17" x14ac:dyDescent="0.2">
      <c r="H31" s="13"/>
      <c r="I31" s="13"/>
      <c r="N31" s="21">
        <f t="shared" si="3"/>
        <v>28</v>
      </c>
      <c r="O31" s="52">
        <f t="shared" si="0"/>
        <v>1.3361651000284349</v>
      </c>
      <c r="P31" s="4">
        <f t="shared" si="1"/>
        <v>0.72</v>
      </c>
      <c r="Q31" s="67">
        <f t="shared" si="2"/>
        <v>-4.4813923300823788</v>
      </c>
    </row>
    <row r="32" spans="2:17" x14ac:dyDescent="0.2">
      <c r="H32" s="13"/>
      <c r="I32" s="13"/>
      <c r="N32" s="21">
        <f t="shared" si="3"/>
        <v>29</v>
      </c>
      <c r="O32" s="52">
        <f t="shared" si="0"/>
        <v>1.348170996458022</v>
      </c>
      <c r="P32" s="4">
        <f t="shared" si="1"/>
        <v>0.71</v>
      </c>
      <c r="Q32" s="67">
        <f t="shared" si="2"/>
        <v>-4.8154364365193159</v>
      </c>
    </row>
    <row r="33" spans="8:17" x14ac:dyDescent="0.2">
      <c r="H33" s="13"/>
      <c r="I33" s="13"/>
      <c r="N33" s="21">
        <f t="shared" si="3"/>
        <v>30</v>
      </c>
      <c r="O33" s="52">
        <f t="shared" si="0"/>
        <v>1.3601768928876088</v>
      </c>
      <c r="P33" s="4">
        <f t="shared" si="1"/>
        <v>0.7</v>
      </c>
      <c r="Q33" s="67">
        <f t="shared" si="2"/>
        <v>-5.1619656435567212</v>
      </c>
    </row>
    <row r="34" spans="8:17" x14ac:dyDescent="0.2">
      <c r="H34" s="13"/>
      <c r="I34" s="13"/>
      <c r="N34" s="21">
        <f t="shared" si="3"/>
        <v>31</v>
      </c>
      <c r="O34" s="52">
        <f t="shared" si="0"/>
        <v>1.3721827893171958</v>
      </c>
      <c r="P34" s="4">
        <f t="shared" si="1"/>
        <v>0.69</v>
      </c>
      <c r="Q34" s="67">
        <f t="shared" si="2"/>
        <v>-5.5210675430412248</v>
      </c>
    </row>
    <row r="35" spans="8:17" x14ac:dyDescent="0.2">
      <c r="N35" s="21">
        <f t="shared" si="3"/>
        <v>32</v>
      </c>
      <c r="O35" s="52">
        <f t="shared" si="0"/>
        <v>1.3841886857467829</v>
      </c>
      <c r="P35" s="4">
        <f t="shared" si="1"/>
        <v>0.67999999999999994</v>
      </c>
      <c r="Q35" s="67">
        <f t="shared" si="2"/>
        <v>-5.8928356307528347</v>
      </c>
    </row>
    <row r="36" spans="8:17" x14ac:dyDescent="0.2">
      <c r="N36" s="21">
        <f t="shared" si="3"/>
        <v>33</v>
      </c>
      <c r="O36" s="52">
        <f t="shared" ref="O36:O67" si="4">IF(C$27="","",1+C$27*N36/100)</f>
        <v>1.3961945821763697</v>
      </c>
      <c r="P36" s="4">
        <f t="shared" ref="P36:P67" si="5">IF(O36="","",1-N36/100)</f>
        <v>0.66999999999999993</v>
      </c>
      <c r="Q36" s="67">
        <f t="shared" ref="Q36:Q67" si="6">IF(O36="","",100*(O36^(C$28/100)*P36^((100-C$28)/100)-1))</f>
        <v>-6.2773695128844009</v>
      </c>
    </row>
    <row r="37" spans="8:17" x14ac:dyDescent="0.2">
      <c r="N37" s="21">
        <f t="shared" ref="N37:N68" si="7">N36+1</f>
        <v>34</v>
      </c>
      <c r="O37" s="52">
        <f t="shared" si="4"/>
        <v>1.4082004786059568</v>
      </c>
      <c r="P37" s="4">
        <f t="shared" si="5"/>
        <v>0.65999999999999992</v>
      </c>
      <c r="Q37" s="67">
        <f t="shared" si="6"/>
        <v>-6.6747751294994773</v>
      </c>
    </row>
    <row r="38" spans="8:17" x14ac:dyDescent="0.2">
      <c r="N38" s="21">
        <f t="shared" si="7"/>
        <v>35</v>
      </c>
      <c r="O38" s="52">
        <f t="shared" si="4"/>
        <v>1.4202063750355438</v>
      </c>
      <c r="P38" s="4">
        <f t="shared" si="5"/>
        <v>0.65</v>
      </c>
      <c r="Q38" s="67">
        <f t="shared" si="6"/>
        <v>-7.0851649962044627</v>
      </c>
    </row>
    <row r="39" spans="8:17" x14ac:dyDescent="0.2">
      <c r="N39" s="21">
        <f t="shared" si="7"/>
        <v>36</v>
      </c>
      <c r="O39" s="52">
        <f t="shared" si="4"/>
        <v>1.4322122714651306</v>
      </c>
      <c r="P39" s="4">
        <f t="shared" si="5"/>
        <v>0.64</v>
      </c>
      <c r="Q39" s="67">
        <f t="shared" si="6"/>
        <v>-7.5086584654018518</v>
      </c>
    </row>
    <row r="40" spans="8:17" x14ac:dyDescent="0.2">
      <c r="N40" s="21">
        <f t="shared" si="7"/>
        <v>37</v>
      </c>
      <c r="O40" s="52">
        <f t="shared" si="4"/>
        <v>1.4442181678947177</v>
      </c>
      <c r="P40" s="4">
        <f t="shared" si="5"/>
        <v>0.63</v>
      </c>
      <c r="Q40" s="67">
        <f t="shared" si="6"/>
        <v>-7.9453820086374254</v>
      </c>
    </row>
    <row r="41" spans="8:17" x14ac:dyDescent="0.2">
      <c r="N41" s="21">
        <f t="shared" si="7"/>
        <v>38</v>
      </c>
      <c r="O41" s="52">
        <f t="shared" si="4"/>
        <v>1.4562240643243045</v>
      </c>
      <c r="P41" s="4">
        <f t="shared" si="5"/>
        <v>0.62</v>
      </c>
      <c r="Q41" s="67">
        <f t="shared" si="6"/>
        <v>-8.3954695217175903</v>
      </c>
    </row>
    <row r="42" spans="8:17" x14ac:dyDescent="0.2">
      <c r="N42" s="21">
        <f t="shared" si="7"/>
        <v>39</v>
      </c>
      <c r="O42" s="52">
        <f t="shared" si="4"/>
        <v>1.4682299607538916</v>
      </c>
      <c r="P42" s="4">
        <f t="shared" si="5"/>
        <v>0.61</v>
      </c>
      <c r="Q42" s="67">
        <f t="shared" si="6"/>
        <v>-8.8590626544532984</v>
      </c>
    </row>
    <row r="43" spans="8:17" x14ac:dyDescent="0.2">
      <c r="N43" s="21">
        <f t="shared" si="7"/>
        <v>40</v>
      </c>
      <c r="O43" s="52">
        <f t="shared" si="4"/>
        <v>1.4802358571834784</v>
      </c>
      <c r="P43" s="4">
        <f t="shared" si="5"/>
        <v>0.6</v>
      </c>
      <c r="Q43" s="67">
        <f t="shared" si="6"/>
        <v>-9.3363111670923473</v>
      </c>
    </row>
    <row r="44" spans="8:17" x14ac:dyDescent="0.2">
      <c r="N44" s="21">
        <f t="shared" si="7"/>
        <v>41</v>
      </c>
      <c r="O44" s="52">
        <f t="shared" si="4"/>
        <v>1.4922417536130654</v>
      </c>
      <c r="P44" s="4">
        <f t="shared" si="5"/>
        <v>0.59000000000000008</v>
      </c>
      <c r="Q44" s="67">
        <f t="shared" si="6"/>
        <v>-9.8273733157283605</v>
      </c>
    </row>
    <row r="45" spans="8:17" x14ac:dyDescent="0.2">
      <c r="N45" s="21">
        <f t="shared" si="7"/>
        <v>42</v>
      </c>
      <c r="O45" s="52">
        <f t="shared" si="4"/>
        <v>1.5042476500426525</v>
      </c>
      <c r="P45" s="4">
        <f t="shared" si="5"/>
        <v>0.58000000000000007</v>
      </c>
      <c r="Q45" s="67">
        <f t="shared" si="6"/>
        <v>-10.332416269232747</v>
      </c>
    </row>
    <row r="46" spans="8:17" x14ac:dyDescent="0.2">
      <c r="N46" s="21">
        <f t="shared" si="7"/>
        <v>43</v>
      </c>
      <c r="O46" s="52">
        <f t="shared" si="4"/>
        <v>1.5162535464722393</v>
      </c>
      <c r="P46" s="4">
        <f t="shared" si="5"/>
        <v>0.57000000000000006</v>
      </c>
      <c r="Q46" s="67">
        <f t="shared" si="6"/>
        <v>-10.851616560544519</v>
      </c>
    </row>
    <row r="47" spans="8:17" x14ac:dyDescent="0.2">
      <c r="N47" s="21">
        <f t="shared" si="7"/>
        <v>44</v>
      </c>
      <c r="O47" s="52">
        <f t="shared" si="4"/>
        <v>1.5282594429018264</v>
      </c>
      <c r="P47" s="4">
        <f t="shared" si="5"/>
        <v>0.56000000000000005</v>
      </c>
      <c r="Q47" s="67">
        <f t="shared" si="6"/>
        <v>-11.385160575479357</v>
      </c>
    </row>
    <row r="48" spans="8:17" x14ac:dyDescent="0.2">
      <c r="N48" s="21">
        <f t="shared" si="7"/>
        <v>45</v>
      </c>
      <c r="O48" s="52">
        <f t="shared" si="4"/>
        <v>1.5402653393314134</v>
      </c>
      <c r="P48" s="4">
        <f t="shared" si="5"/>
        <v>0.55000000000000004</v>
      </c>
      <c r="Q48" s="67">
        <f t="shared" si="6"/>
        <v>-11.933245082590439</v>
      </c>
    </row>
    <row r="49" spans="14:17" x14ac:dyDescent="0.2">
      <c r="N49" s="21">
        <f t="shared" si="7"/>
        <v>46</v>
      </c>
      <c r="O49" s="52">
        <f t="shared" si="4"/>
        <v>1.5522712357610002</v>
      </c>
      <c r="P49" s="4">
        <f t="shared" si="5"/>
        <v>0.54</v>
      </c>
      <c r="Q49" s="67">
        <f t="shared" si="6"/>
        <v>-12.496077808031082</v>
      </c>
    </row>
    <row r="50" spans="14:17" x14ac:dyDescent="0.2">
      <c r="N50" s="21">
        <f t="shared" si="7"/>
        <v>47</v>
      </c>
      <c r="O50" s="52">
        <f t="shared" si="4"/>
        <v>1.5642771321905873</v>
      </c>
      <c r="P50" s="4">
        <f t="shared" si="5"/>
        <v>0.53</v>
      </c>
      <c r="Q50" s="67">
        <f t="shared" si="6"/>
        <v>-13.07387805984871</v>
      </c>
    </row>
    <row r="51" spans="14:17" x14ac:dyDescent="0.2">
      <c r="N51" s="21">
        <f t="shared" si="7"/>
        <v>48</v>
      </c>
      <c r="O51" s="52">
        <f t="shared" si="4"/>
        <v>1.5762830286201743</v>
      </c>
      <c r="P51" s="4">
        <f t="shared" si="5"/>
        <v>0.52</v>
      </c>
      <c r="Q51" s="67">
        <f t="shared" si="6"/>
        <v>-13.666877406682175</v>
      </c>
    </row>
    <row r="52" spans="14:17" x14ac:dyDescent="0.2">
      <c r="N52" s="21">
        <f t="shared" si="7"/>
        <v>49</v>
      </c>
      <c r="O52" s="52">
        <f t="shared" si="4"/>
        <v>1.5882889250497612</v>
      </c>
      <c r="P52" s="4">
        <f t="shared" si="5"/>
        <v>0.51</v>
      </c>
      <c r="Q52" s="67">
        <f t="shared" si="6"/>
        <v>-14.275320416457337</v>
      </c>
    </row>
    <row r="53" spans="14:17" x14ac:dyDescent="0.2">
      <c r="N53" s="21">
        <f t="shared" si="7"/>
        <v>50</v>
      </c>
      <c r="O53" s="52">
        <f t="shared" si="4"/>
        <v>1.600294821479348</v>
      </c>
      <c r="P53" s="4">
        <f t="shared" si="5"/>
        <v>0.5</v>
      </c>
      <c r="Q53" s="67">
        <f t="shared" si="6"/>
        <v>-14.899465461387662</v>
      </c>
    </row>
    <row r="54" spans="14:17" x14ac:dyDescent="0.2">
      <c r="N54" s="21">
        <f t="shared" si="7"/>
        <v>51</v>
      </c>
      <c r="O54" s="52">
        <f t="shared" si="4"/>
        <v>1.612300717908935</v>
      </c>
      <c r="P54" s="4">
        <f t="shared" si="5"/>
        <v>0.49</v>
      </c>
      <c r="Q54" s="67">
        <f t="shared" si="6"/>
        <v>-15.539585596406225</v>
      </c>
    </row>
    <row r="55" spans="14:17" x14ac:dyDescent="0.2">
      <c r="N55" s="21">
        <f t="shared" si="7"/>
        <v>52</v>
      </c>
      <c r="O55" s="52">
        <f t="shared" si="4"/>
        <v>1.6243066143385221</v>
      </c>
      <c r="P55" s="4">
        <f t="shared" si="5"/>
        <v>0.48</v>
      </c>
      <c r="Q55" s="67">
        <f t="shared" si="6"/>
        <v>-16.195969519097364</v>
      </c>
    </row>
    <row r="56" spans="14:17" x14ac:dyDescent="0.2">
      <c r="N56" s="21">
        <f t="shared" si="7"/>
        <v>53</v>
      </c>
      <c r="O56" s="52">
        <f t="shared" si="4"/>
        <v>1.6363125107681089</v>
      </c>
      <c r="P56" s="4">
        <f t="shared" si="5"/>
        <v>0.47</v>
      </c>
      <c r="Q56" s="67">
        <f t="shared" si="6"/>
        <v>-16.868922620287464</v>
      </c>
    </row>
    <row r="57" spans="14:17" x14ac:dyDescent="0.2">
      <c r="N57" s="21">
        <f t="shared" si="7"/>
        <v>54</v>
      </c>
      <c r="O57" s="52">
        <f t="shared" si="4"/>
        <v>1.6483184071976957</v>
      </c>
      <c r="P57" s="4">
        <f t="shared" si="5"/>
        <v>0.45999999999999996</v>
      </c>
      <c r="Q57" s="67">
        <f t="shared" si="6"/>
        <v>-17.55876813571501</v>
      </c>
    </row>
    <row r="58" spans="14:17" x14ac:dyDescent="0.2">
      <c r="N58" s="21">
        <f t="shared" si="7"/>
        <v>55</v>
      </c>
      <c r="O58" s="52">
        <f t="shared" si="4"/>
        <v>1.660324303627283</v>
      </c>
      <c r="P58" s="4">
        <f t="shared" si="5"/>
        <v>0.44999999999999996</v>
      </c>
      <c r="Q58" s="67">
        <f t="shared" si="6"/>
        <v>-18.265848410668983</v>
      </c>
    </row>
    <row r="59" spans="14:17" x14ac:dyDescent="0.2">
      <c r="N59" s="21">
        <f t="shared" si="7"/>
        <v>56</v>
      </c>
      <c r="O59" s="52">
        <f t="shared" si="4"/>
        <v>1.6723302000568698</v>
      </c>
      <c r="P59" s="4">
        <f t="shared" si="5"/>
        <v>0.43999999999999995</v>
      </c>
      <c r="Q59" s="67">
        <f t="shared" si="6"/>
        <v>-18.990526291194065</v>
      </c>
    </row>
    <row r="60" spans="14:17" x14ac:dyDescent="0.2">
      <c r="N60" s="21">
        <f t="shared" si="7"/>
        <v>57</v>
      </c>
      <c r="O60" s="52">
        <f t="shared" si="4"/>
        <v>1.6843360964864569</v>
      </c>
      <c r="P60" s="4">
        <f t="shared" si="5"/>
        <v>0.43000000000000005</v>
      </c>
      <c r="Q60" s="67">
        <f t="shared" si="6"/>
        <v>-19.733186657462241</v>
      </c>
    </row>
    <row r="61" spans="14:17" x14ac:dyDescent="0.2">
      <c r="N61" s="21">
        <f t="shared" si="7"/>
        <v>58</v>
      </c>
      <c r="O61" s="52">
        <f t="shared" si="4"/>
        <v>1.6963419929160437</v>
      </c>
      <c r="P61" s="4">
        <f t="shared" si="5"/>
        <v>0.42000000000000004</v>
      </c>
      <c r="Q61" s="67">
        <f t="shared" si="6"/>
        <v>-20.49423811725941</v>
      </c>
    </row>
    <row r="62" spans="14:17" x14ac:dyDescent="0.2">
      <c r="N62" s="21">
        <f t="shared" si="7"/>
        <v>59</v>
      </c>
      <c r="O62" s="52">
        <f t="shared" si="4"/>
        <v>1.7083478893456308</v>
      </c>
      <c r="P62" s="4">
        <f t="shared" si="5"/>
        <v>0.41000000000000003</v>
      </c>
      <c r="Q62" s="67">
        <f t="shared" si="6"/>
        <v>-21.274114880300488</v>
      </c>
    </row>
    <row r="63" spans="14:17" x14ac:dyDescent="0.2">
      <c r="N63" s="21">
        <f t="shared" si="7"/>
        <v>60</v>
      </c>
      <c r="O63" s="52">
        <f t="shared" si="4"/>
        <v>1.7203537857752176</v>
      </c>
      <c r="P63" s="4">
        <f t="shared" si="5"/>
        <v>0.4</v>
      </c>
      <c r="Q63" s="67">
        <f t="shared" si="6"/>
        <v>-22.073278837358256</v>
      </c>
    </row>
    <row r="64" spans="14:17" x14ac:dyDescent="0.2">
      <c r="N64" s="21">
        <f t="shared" si="7"/>
        <v>61</v>
      </c>
      <c r="O64" s="52">
        <f t="shared" si="4"/>
        <v>1.7323596822048049</v>
      </c>
      <c r="P64" s="4">
        <f t="shared" si="5"/>
        <v>0.39</v>
      </c>
      <c r="Q64" s="67">
        <f t="shared" si="6"/>
        <v>-22.892221872071794</v>
      </c>
    </row>
    <row r="65" spans="14:17" x14ac:dyDescent="0.2">
      <c r="N65" s="21">
        <f t="shared" si="7"/>
        <v>62</v>
      </c>
      <c r="O65" s="52">
        <f t="shared" si="4"/>
        <v>1.7443655786343917</v>
      </c>
      <c r="P65" s="4">
        <f t="shared" si="5"/>
        <v>0.38</v>
      </c>
      <c r="Q65" s="67">
        <f t="shared" si="6"/>
        <v>-23.731468437926861</v>
      </c>
    </row>
    <row r="66" spans="14:17" x14ac:dyDescent="0.2">
      <c r="N66" s="21">
        <f t="shared" si="7"/>
        <v>63</v>
      </c>
      <c r="O66" s="52">
        <f t="shared" si="4"/>
        <v>1.7563714750639785</v>
      </c>
      <c r="P66" s="4">
        <f t="shared" si="5"/>
        <v>0.37</v>
      </c>
      <c r="Q66" s="67">
        <f t="shared" si="6"/>
        <v>-24.591578438437001</v>
      </c>
    </row>
    <row r="67" spans="14:17" x14ac:dyDescent="0.2">
      <c r="N67" s="21">
        <f t="shared" si="7"/>
        <v>64</v>
      </c>
      <c r="O67" s="52">
        <f t="shared" si="4"/>
        <v>1.7683773714935656</v>
      </c>
      <c r="P67" s="4">
        <f t="shared" si="5"/>
        <v>0.36</v>
      </c>
      <c r="Q67" s="67">
        <f t="shared" si="6"/>
        <v>-25.473150455210803</v>
      </c>
    </row>
    <row r="68" spans="14:17" x14ac:dyDescent="0.2">
      <c r="N68" s="21">
        <f t="shared" si="7"/>
        <v>65</v>
      </c>
      <c r="O68" s="52">
        <f t="shared" ref="O68:O99" si="8">IF(C$27="","",1+C$27*N68/100)</f>
        <v>1.7803832679231526</v>
      </c>
      <c r="P68" s="4">
        <f t="shared" ref="P68:P99" si="9">IF(O68="","",1-N68/100)</f>
        <v>0.35</v>
      </c>
      <c r="Q68" s="67">
        <f t="shared" ref="Q68:Q99" si="10">IF(O68="","",100*(O68^(C$28/100)*P68^((100-C$28)/100)-1))</f>
        <v>-26.376825376630954</v>
      </c>
    </row>
    <row r="69" spans="14:17" x14ac:dyDescent="0.2">
      <c r="N69" s="21">
        <f t="shared" ref="N69:N103" si="11">N68+1</f>
        <v>66</v>
      </c>
      <c r="O69" s="52">
        <f t="shared" si="8"/>
        <v>1.7923891643527394</v>
      </c>
      <c r="P69" s="4">
        <f t="shared" si="9"/>
        <v>0.33999999999999997</v>
      </c>
      <c r="Q69" s="67">
        <f t="shared" si="10"/>
        <v>-27.303290489631994</v>
      </c>
    </row>
    <row r="70" spans="14:17" x14ac:dyDescent="0.2">
      <c r="N70" s="21">
        <f t="shared" si="11"/>
        <v>67</v>
      </c>
      <c r="O70" s="52">
        <f t="shared" si="8"/>
        <v>1.8043950607823263</v>
      </c>
      <c r="P70" s="4">
        <f t="shared" si="9"/>
        <v>0.32999999999999996</v>
      </c>
      <c r="Q70" s="67">
        <f t="shared" si="10"/>
        <v>-28.253284108973997</v>
      </c>
    </row>
    <row r="71" spans="14:17" x14ac:dyDescent="0.2">
      <c r="N71" s="21">
        <f t="shared" si="11"/>
        <v>68</v>
      </c>
      <c r="O71" s="52">
        <f t="shared" si="8"/>
        <v>1.8164009572119135</v>
      </c>
      <c r="P71" s="4">
        <f t="shared" si="9"/>
        <v>0.31999999999999995</v>
      </c>
      <c r="Q71" s="67">
        <f t="shared" si="10"/>
        <v>-29.227600833025846</v>
      </c>
    </row>
    <row r="72" spans="14:17" x14ac:dyDescent="0.2">
      <c r="N72" s="21">
        <f t="shared" si="11"/>
        <v>69</v>
      </c>
      <c r="O72" s="52">
        <f t="shared" si="8"/>
        <v>1.8284068536415004</v>
      </c>
      <c r="P72" s="4">
        <f t="shared" si="9"/>
        <v>0.31000000000000005</v>
      </c>
      <c r="Q72" s="67">
        <f t="shared" si="10"/>
        <v>-30.227097533110094</v>
      </c>
    </row>
    <row r="73" spans="14:17" x14ac:dyDescent="0.2">
      <c r="N73" s="21">
        <f t="shared" si="11"/>
        <v>70</v>
      </c>
      <c r="O73" s="52">
        <f t="shared" si="8"/>
        <v>1.8404127500710874</v>
      </c>
      <c r="P73" s="4">
        <f t="shared" si="9"/>
        <v>0.30000000000000004</v>
      </c>
      <c r="Q73" s="67">
        <f t="shared" si="10"/>
        <v>-31.252700205864436</v>
      </c>
    </row>
    <row r="74" spans="14:17" x14ac:dyDescent="0.2">
      <c r="N74" s="21">
        <f t="shared" si="11"/>
        <v>71</v>
      </c>
      <c r="O74" s="52">
        <f t="shared" si="8"/>
        <v>1.8524186465006742</v>
      </c>
      <c r="P74" s="4">
        <f t="shared" si="9"/>
        <v>0.29000000000000004</v>
      </c>
      <c r="Q74" s="67">
        <f t="shared" si="10"/>
        <v>-32.305411846078783</v>
      </c>
    </row>
    <row r="75" spans="14:17" x14ac:dyDescent="0.2">
      <c r="N75" s="21">
        <f t="shared" si="11"/>
        <v>72</v>
      </c>
      <c r="O75" s="52">
        <f t="shared" si="8"/>
        <v>1.8644245429302613</v>
      </c>
      <c r="P75" s="4">
        <f t="shared" si="9"/>
        <v>0.28000000000000003</v>
      </c>
      <c r="Q75" s="67">
        <f t="shared" si="10"/>
        <v>-33.386321532717709</v>
      </c>
    </row>
    <row r="76" spans="14:17" x14ac:dyDescent="0.2">
      <c r="N76" s="21">
        <f t="shared" si="11"/>
        <v>73</v>
      </c>
      <c r="O76" s="52">
        <f t="shared" si="8"/>
        <v>1.8764304393598481</v>
      </c>
      <c r="P76" s="4">
        <f t="shared" si="9"/>
        <v>0.27</v>
      </c>
      <c r="Q76" s="67">
        <f t="shared" si="10"/>
        <v>-34.496614965540942</v>
      </c>
    </row>
    <row r="77" spans="14:17" x14ac:dyDescent="0.2">
      <c r="N77" s="21">
        <f t="shared" si="11"/>
        <v>74</v>
      </c>
      <c r="O77" s="52">
        <f t="shared" si="8"/>
        <v>1.8884363357894354</v>
      </c>
      <c r="P77" s="4">
        <f t="shared" si="9"/>
        <v>0.26</v>
      </c>
      <c r="Q77" s="67">
        <f t="shared" si="10"/>
        <v>-35.637586746873417</v>
      </c>
    </row>
    <row r="78" spans="14:17" x14ac:dyDescent="0.2">
      <c r="N78" s="21">
        <f t="shared" si="11"/>
        <v>75</v>
      </c>
      <c r="O78" s="52">
        <f t="shared" si="8"/>
        <v>1.9004422322190222</v>
      </c>
      <c r="P78" s="4">
        <f t="shared" si="9"/>
        <v>0.25</v>
      </c>
      <c r="Q78" s="67">
        <f t="shared" si="10"/>
        <v>-36.810654776731255</v>
      </c>
    </row>
    <row r="79" spans="14:17" x14ac:dyDescent="0.2">
      <c r="N79" s="21">
        <f t="shared" si="11"/>
        <v>76</v>
      </c>
      <c r="O79" s="52">
        <f t="shared" si="8"/>
        <v>1.912448128648609</v>
      </c>
      <c r="P79" s="4">
        <f t="shared" si="9"/>
        <v>0.24</v>
      </c>
      <c r="Q79" s="67">
        <f t="shared" si="10"/>
        <v>-38.01737722531611</v>
      </c>
    </row>
    <row r="80" spans="14:17" x14ac:dyDescent="0.2">
      <c r="N80" s="21">
        <f t="shared" si="11"/>
        <v>77</v>
      </c>
      <c r="O80" s="52">
        <f t="shared" si="8"/>
        <v>1.9244540250781961</v>
      </c>
      <c r="P80" s="4">
        <f t="shared" si="9"/>
        <v>0.22999999999999998</v>
      </c>
      <c r="Q80" s="67">
        <f t="shared" si="10"/>
        <v>-39.259472672731789</v>
      </c>
    </row>
    <row r="81" spans="14:17" x14ac:dyDescent="0.2">
      <c r="N81" s="21">
        <f t="shared" si="11"/>
        <v>78</v>
      </c>
      <c r="O81" s="52">
        <f t="shared" si="8"/>
        <v>1.9364599215077831</v>
      </c>
      <c r="P81" s="4">
        <f t="shared" si="9"/>
        <v>0.21999999999999997</v>
      </c>
      <c r="Q81" s="67">
        <f t="shared" si="10"/>
        <v>-40.538844172806051</v>
      </c>
    </row>
    <row r="82" spans="14:17" x14ac:dyDescent="0.2">
      <c r="N82" s="21">
        <f t="shared" si="11"/>
        <v>79</v>
      </c>
      <c r="O82" s="52">
        <f t="shared" si="8"/>
        <v>1.9484658179373699</v>
      </c>
      <c r="P82" s="4">
        <f t="shared" si="9"/>
        <v>0.20999999999999996</v>
      </c>
      <c r="Q82" s="67">
        <f t="shared" si="10"/>
        <v>-41.857608222126188</v>
      </c>
    </row>
    <row r="83" spans="14:17" x14ac:dyDescent="0.2">
      <c r="N83" s="21">
        <f t="shared" si="11"/>
        <v>80</v>
      </c>
      <c r="O83" s="52">
        <f t="shared" si="8"/>
        <v>1.9604717143669568</v>
      </c>
      <c r="P83" s="4">
        <f t="shared" si="9"/>
        <v>0.19999999999999996</v>
      </c>
      <c r="Q83" s="67">
        <f t="shared" si="10"/>
        <v>-43.218129920120319</v>
      </c>
    </row>
    <row r="84" spans="14:17" x14ac:dyDescent="0.2">
      <c r="N84" s="21">
        <f t="shared" si="11"/>
        <v>81</v>
      </c>
      <c r="O84" s="52">
        <f t="shared" si="8"/>
        <v>1.972477610796544</v>
      </c>
      <c r="P84" s="4">
        <f t="shared" si="9"/>
        <v>0.18999999999999995</v>
      </c>
      <c r="Q84" s="67">
        <f t="shared" si="10"/>
        <v>-44.623066025702151</v>
      </c>
    </row>
    <row r="85" spans="14:17" x14ac:dyDescent="0.2">
      <c r="N85" s="21">
        <f t="shared" si="11"/>
        <v>82</v>
      </c>
      <c r="O85" s="52">
        <f t="shared" si="8"/>
        <v>1.9844835072261309</v>
      </c>
      <c r="P85" s="4">
        <f t="shared" si="9"/>
        <v>0.18000000000000005</v>
      </c>
      <c r="Q85" s="67">
        <f t="shared" si="10"/>
        <v>-46.075418202503357</v>
      </c>
    </row>
    <row r="86" spans="14:17" x14ac:dyDescent="0.2">
      <c r="N86" s="21">
        <f t="shared" si="11"/>
        <v>83</v>
      </c>
      <c r="O86" s="52">
        <f t="shared" si="8"/>
        <v>1.9964894036557179</v>
      </c>
      <c r="P86" s="4">
        <f t="shared" si="9"/>
        <v>0.17000000000000004</v>
      </c>
      <c r="Q86" s="67">
        <f t="shared" si="10"/>
        <v>-47.578599577559352</v>
      </c>
    </row>
    <row r="87" spans="14:17" x14ac:dyDescent="0.2">
      <c r="N87" s="21">
        <f t="shared" si="11"/>
        <v>84</v>
      </c>
      <c r="O87" s="52">
        <f t="shared" si="8"/>
        <v>2.008495300085305</v>
      </c>
      <c r="P87" s="4">
        <f t="shared" si="9"/>
        <v>0.16000000000000003</v>
      </c>
      <c r="Q87" s="67">
        <f t="shared" si="10"/>
        <v>-49.136518941956844</v>
      </c>
    </row>
    <row r="88" spans="14:17" x14ac:dyDescent="0.2">
      <c r="N88" s="21">
        <f t="shared" si="11"/>
        <v>85</v>
      </c>
      <c r="O88" s="52">
        <f t="shared" si="8"/>
        <v>2.0205011965148918</v>
      </c>
      <c r="P88" s="4">
        <f t="shared" si="9"/>
        <v>0.15000000000000002</v>
      </c>
      <c r="Q88" s="67">
        <f t="shared" si="10"/>
        <v>-50.753688695724286</v>
      </c>
    </row>
    <row r="89" spans="14:17" x14ac:dyDescent="0.2">
      <c r="N89" s="21">
        <f t="shared" si="11"/>
        <v>86</v>
      </c>
      <c r="O89" s="52">
        <f t="shared" si="8"/>
        <v>2.0325070929444786</v>
      </c>
      <c r="P89" s="4">
        <f t="shared" si="9"/>
        <v>0.14000000000000001</v>
      </c>
      <c r="Q89" s="67">
        <f t="shared" si="10"/>
        <v>-52.435365310555724</v>
      </c>
    </row>
    <row r="90" spans="14:17" x14ac:dyDescent="0.2">
      <c r="N90" s="21">
        <f t="shared" si="11"/>
        <v>87</v>
      </c>
      <c r="O90" s="52">
        <f t="shared" si="8"/>
        <v>2.0445129893740654</v>
      </c>
      <c r="P90" s="4">
        <f t="shared" si="9"/>
        <v>0.13</v>
      </c>
      <c r="Q90" s="67">
        <f t="shared" si="10"/>
        <v>-54.187735206026723</v>
      </c>
    </row>
    <row r="91" spans="14:17" x14ac:dyDescent="0.2">
      <c r="N91" s="21">
        <f t="shared" si="11"/>
        <v>88</v>
      </c>
      <c r="O91" s="52">
        <f t="shared" si="8"/>
        <v>2.0565188858036527</v>
      </c>
      <c r="P91" s="4">
        <f t="shared" si="9"/>
        <v>0.12</v>
      </c>
      <c r="Q91" s="67">
        <f t="shared" si="10"/>
        <v>-56.01816547276696</v>
      </c>
    </row>
    <row r="92" spans="14:17" x14ac:dyDescent="0.2">
      <c r="N92" s="21">
        <f t="shared" si="11"/>
        <v>89</v>
      </c>
      <c r="O92" s="52">
        <f t="shared" si="8"/>
        <v>2.0685247822332395</v>
      </c>
      <c r="P92" s="4">
        <f t="shared" si="9"/>
        <v>0.10999999999999999</v>
      </c>
      <c r="Q92" s="67">
        <f t="shared" si="10"/>
        <v>-57.935549574621213</v>
      </c>
    </row>
    <row r="93" spans="14:17" x14ac:dyDescent="0.2">
      <c r="N93" s="21">
        <f t="shared" si="11"/>
        <v>90</v>
      </c>
      <c r="O93" s="52">
        <f t="shared" si="8"/>
        <v>2.0805306786628268</v>
      </c>
      <c r="P93" s="4">
        <f t="shared" si="9"/>
        <v>9.9999999999999978E-2</v>
      </c>
      <c r="Q93" s="67">
        <f t="shared" si="10"/>
        <v>-59.95079630965818</v>
      </c>
    </row>
    <row r="94" spans="14:17" x14ac:dyDescent="0.2">
      <c r="N94" s="21">
        <f t="shared" si="11"/>
        <v>91</v>
      </c>
      <c r="O94" s="52">
        <f t="shared" si="8"/>
        <v>2.0925365750924136</v>
      </c>
      <c r="P94" s="4">
        <f t="shared" si="9"/>
        <v>8.9999999999999969E-2</v>
      </c>
      <c r="Q94" s="67">
        <f t="shared" si="10"/>
        <v>-62.07754240696709</v>
      </c>
    </row>
    <row r="95" spans="14:17" x14ac:dyDescent="0.2">
      <c r="N95" s="21">
        <f t="shared" si="11"/>
        <v>92</v>
      </c>
      <c r="O95" s="52">
        <f t="shared" si="8"/>
        <v>2.1045424715220005</v>
      </c>
      <c r="P95" s="4">
        <f t="shared" si="9"/>
        <v>7.999999999999996E-2</v>
      </c>
      <c r="Q95" s="67">
        <f t="shared" si="10"/>
        <v>-64.333228768744917</v>
      </c>
    </row>
    <row r="96" spans="14:17" x14ac:dyDescent="0.2">
      <c r="N96" s="21">
        <f t="shared" si="11"/>
        <v>93</v>
      </c>
      <c r="O96" s="52">
        <f t="shared" si="8"/>
        <v>2.1165483679515873</v>
      </c>
      <c r="P96" s="4">
        <f t="shared" si="9"/>
        <v>6.9999999999999951E-2</v>
      </c>
      <c r="Q96" s="67">
        <f t="shared" si="10"/>
        <v>-66.740797886065394</v>
      </c>
    </row>
    <row r="97" spans="14:17" x14ac:dyDescent="0.2">
      <c r="N97" s="21">
        <f t="shared" si="11"/>
        <v>94</v>
      </c>
      <c r="O97" s="52">
        <f t="shared" si="8"/>
        <v>2.1285542643811746</v>
      </c>
      <c r="P97" s="4">
        <f t="shared" si="9"/>
        <v>6.0000000000000053E-2</v>
      </c>
      <c r="Q97" s="67">
        <f t="shared" si="10"/>
        <v>-69.331518864233971</v>
      </c>
    </row>
    <row r="98" spans="14:17" x14ac:dyDescent="0.2">
      <c r="N98" s="21">
        <f t="shared" si="11"/>
        <v>95</v>
      </c>
      <c r="O98" s="52">
        <f t="shared" si="8"/>
        <v>2.1405601608107614</v>
      </c>
      <c r="P98" s="4">
        <f t="shared" si="9"/>
        <v>5.0000000000000044E-2</v>
      </c>
      <c r="Q98" s="67">
        <f t="shared" si="10"/>
        <v>-72.150023613842833</v>
      </c>
    </row>
    <row r="99" spans="14:17" x14ac:dyDescent="0.2">
      <c r="N99" s="21">
        <f t="shared" si="11"/>
        <v>96</v>
      </c>
      <c r="O99" s="52">
        <f t="shared" si="8"/>
        <v>2.1525660572403487</v>
      </c>
      <c r="P99" s="4">
        <f t="shared" si="9"/>
        <v>4.0000000000000036E-2</v>
      </c>
      <c r="Q99" s="67">
        <f t="shared" si="10"/>
        <v>-75.264143022920663</v>
      </c>
    </row>
    <row r="100" spans="14:17" x14ac:dyDescent="0.2">
      <c r="N100" s="21">
        <f t="shared" si="11"/>
        <v>97</v>
      </c>
      <c r="O100" s="52">
        <f t="shared" ref="O100:O103" si="12">IF(C$27="","",1+C$27*N100/100)</f>
        <v>2.1645719536699355</v>
      </c>
      <c r="P100" s="4">
        <f t="shared" ref="P100:P103" si="13">IF(O100="","",1-N100/100)</f>
        <v>3.0000000000000027E-2</v>
      </c>
      <c r="Q100" s="67">
        <f t="shared" ref="Q100:Q103" si="14">IF(O100="","",100*(O100^(C$28/100)*P100^((100-C$28)/100)-1))</f>
        <v>-78.786744536385356</v>
      </c>
    </row>
    <row r="101" spans="14:17" x14ac:dyDescent="0.2">
      <c r="N101" s="21">
        <f t="shared" si="11"/>
        <v>98</v>
      </c>
      <c r="O101" s="52">
        <f t="shared" si="12"/>
        <v>2.1765778500995223</v>
      </c>
      <c r="P101" s="4">
        <f t="shared" si="13"/>
        <v>2.0000000000000018E-2</v>
      </c>
      <c r="Q101" s="67">
        <f t="shared" si="14"/>
        <v>-82.934733968460378</v>
      </c>
    </row>
    <row r="102" spans="14:17" x14ac:dyDescent="0.2">
      <c r="N102" s="21">
        <f t="shared" si="11"/>
        <v>99</v>
      </c>
      <c r="O102" s="52">
        <f t="shared" si="12"/>
        <v>2.1885837465291091</v>
      </c>
      <c r="P102" s="4">
        <f t="shared" si="13"/>
        <v>1.0000000000000009E-2</v>
      </c>
      <c r="Q102" s="67">
        <f t="shared" si="14"/>
        <v>-88.256734561844425</v>
      </c>
    </row>
    <row r="103" spans="14:17" ht="13.5" thickBot="1" x14ac:dyDescent="0.25">
      <c r="N103" s="22">
        <f t="shared" si="11"/>
        <v>100</v>
      </c>
      <c r="O103" s="53">
        <f t="shared" si="12"/>
        <v>2.200589642958696</v>
      </c>
      <c r="P103" s="19">
        <f t="shared" si="13"/>
        <v>0</v>
      </c>
      <c r="Q103" s="68">
        <f t="shared" si="14"/>
        <v>-100</v>
      </c>
    </row>
  </sheetData>
  <mergeCells count="9">
    <mergeCell ref="B25:C25"/>
    <mergeCell ref="E27:L28"/>
    <mergeCell ref="N2:Q2"/>
    <mergeCell ref="B10:B11"/>
    <mergeCell ref="B14:C14"/>
    <mergeCell ref="B23:B24"/>
    <mergeCell ref="B21:B22"/>
    <mergeCell ref="B20:C20"/>
    <mergeCell ref="B2:C2"/>
  </mergeCells>
  <phoneticPr fontId="0" type="noConversion"/>
  <pageMargins left="0.78740157499999996" right="0.78740157499999996" top="0.984251969" bottom="0.984251969" header="0.49212598499999999" footer="0.49212598499999999"/>
  <pageSetup paperSize="9" orientation="portrait" horizontalDpi="300" verticalDpi="300" r:id="rId1"/>
  <headerFooter alignWithMargins="0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4:A27"/>
  <sheetViews>
    <sheetView workbookViewId="0">
      <selection activeCell="G30" sqref="G30"/>
    </sheetView>
  </sheetViews>
  <sheetFormatPr defaultRowHeight="12.75" x14ac:dyDescent="0.2"/>
  <cols>
    <col min="5" max="5" width="13.140625" bestFit="1" customWidth="1"/>
    <col min="8" max="8" width="12.42578125" bestFit="1" customWidth="1"/>
  </cols>
  <sheetData>
    <row r="24" spans="1:1" x14ac:dyDescent="0.2">
      <c r="A24" s="71"/>
    </row>
    <row r="25" spans="1:1" x14ac:dyDescent="0.2">
      <c r="A25" s="71"/>
    </row>
    <row r="26" spans="1:1" x14ac:dyDescent="0.2">
      <c r="A26" s="72"/>
    </row>
    <row r="27" spans="1:1" x14ac:dyDescent="0.2">
      <c r="A27" s="73"/>
    </row>
  </sheetData>
  <phoneticPr fontId="0" type="noConversion"/>
  <pageMargins left="0.78740157499999996" right="0.78740157499999996" top="0.984251969" bottom="0.984251969" header="0.49212598499999999" footer="0.49212598499999999"/>
  <pageSetup paperSize="9" orientation="portrait" r:id="rId1"/>
  <headerFooter alignWithMargins="0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34" sqref="D34"/>
    </sheetView>
  </sheetViews>
  <sheetFormatPr defaultRowHeight="12.75" x14ac:dyDescent="0.2"/>
  <sheetData/>
  <phoneticPr fontId="0" type="noConversion"/>
  <pageMargins left="0.78740157499999996" right="0.78740157499999996" top="0.984251969" bottom="0.984251969" header="0.49212598499999999" footer="0.49212598499999999"/>
  <headerFooter alignWithMargins="0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35" sqref="F35"/>
    </sheetView>
  </sheetViews>
  <sheetFormatPr defaultRowHeight="12.75" x14ac:dyDescent="0.2"/>
  <sheetData/>
  <phoneticPr fontId="0" type="noConversion"/>
  <pageMargins left="0.78740157499999996" right="0.78740157499999996" top="0.984251969" bottom="0.984251969" header="0.49212598499999999" footer="0.49212598499999999"/>
  <headerFooter alignWithMargins="0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36" sqref="E36"/>
    </sheetView>
  </sheetViews>
  <sheetFormatPr defaultRowHeight="12.75" x14ac:dyDescent="0.2"/>
  <sheetData/>
  <phoneticPr fontId="0" type="noConversion"/>
  <pageMargins left="0.78740157499999996" right="0.78740157499999996" top="0.984251969" bottom="0.984251969" header="0.49212598499999999" footer="0.49212598499999999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19</vt:i4>
      </vt:variant>
    </vt:vector>
  </HeadingPairs>
  <TitlesOfParts>
    <vt:vector size="19" baseType="lpstr">
      <vt:lpstr>Ativos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CLog</vt:lpstr>
      <vt:lpstr>Risk</vt:lpstr>
      <vt:lpstr>$Aj</vt:lpstr>
      <vt:lpstr>GM</vt:lpstr>
      <vt:lpstr>PM</vt:lpstr>
      <vt:lpstr>FL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DPF</dc:creator>
  <cp:lastModifiedBy>Usuário</cp:lastModifiedBy>
  <cp:revision>1</cp:revision>
  <cp:lastPrinted>2007-05-09T16:30:03Z</cp:lastPrinted>
  <dcterms:created xsi:type="dcterms:W3CDTF">2006-05-25T12:08:57Z</dcterms:created>
  <dcterms:modified xsi:type="dcterms:W3CDTF">2018-06-25T12:01:24Z</dcterms:modified>
</cp:coreProperties>
</file>