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3"/>
  </bookViews>
  <sheets>
    <sheet name="DLog" sheetId="31" r:id="rId1"/>
    <sheet name="Open" sheetId="40" r:id="rId2"/>
    <sheet name="Cy" sheetId="48" r:id="rId3"/>
    <sheet name="DDCy" sheetId="49" r:id="rId4"/>
    <sheet name="Risk" sheetId="23" r:id="rId5"/>
    <sheet name="CRes" sheetId="42" r:id="rId6"/>
    <sheet name="CCh" sheetId="43" r:id="rId7"/>
    <sheet name="CLog" sheetId="22" r:id="rId8"/>
    <sheet name="$Aj" sheetId="26" r:id="rId9"/>
    <sheet name="GM" sheetId="27" r:id="rId10"/>
    <sheet name="PM" sheetId="28" r:id="rId11"/>
    <sheet name="FL" sheetId="29" r:id="rId12"/>
    <sheet name="WRes" sheetId="51" r:id="rId13"/>
    <sheet name="WMéd" sheetId="52" r:id="rId14"/>
    <sheet name="MRes" sheetId="50" r:id="rId15"/>
    <sheet name="MMéd" sheetId="53" r:id="rId16"/>
    <sheet name="Cap" sheetId="41" r:id="rId17"/>
    <sheet name="Stop" sheetId="44" r:id="rId18"/>
  </sheets>
  <externalReferences>
    <externalReference r:id="rId19"/>
    <externalReference r:id="rId20"/>
  </externalReferences>
  <calcPr calcId="144525" iterate="1" iterateCount="1"/>
</workbook>
</file>

<file path=xl/calcChain.xml><?xml version="1.0" encoding="utf-8"?>
<calcChain xmlns="http://schemas.openxmlformats.org/spreadsheetml/2006/main">
  <c r="W8" i="48" l="1"/>
  <c r="W4" i="48"/>
  <c r="E103" i="48" l="1"/>
  <c r="E102" i="48"/>
  <c r="E101" i="48"/>
  <c r="E100" i="48"/>
  <c r="E99" i="48"/>
  <c r="E98" i="48"/>
  <c r="E97" i="48"/>
  <c r="E96" i="48"/>
  <c r="E95" i="48"/>
  <c r="E94" i="48"/>
  <c r="E93" i="48"/>
  <c r="E92" i="48"/>
  <c r="E91" i="48"/>
  <c r="E90" i="48"/>
  <c r="E89" i="48"/>
  <c r="E88" i="48"/>
  <c r="E87" i="48"/>
  <c r="E86" i="48"/>
  <c r="E85" i="48"/>
  <c r="E84" i="48"/>
  <c r="E83" i="48"/>
  <c r="E82" i="48"/>
  <c r="E81" i="48"/>
  <c r="E80" i="48"/>
  <c r="E79" i="48"/>
  <c r="E78" i="48"/>
  <c r="E77" i="48"/>
  <c r="E76" i="48"/>
  <c r="E75" i="48"/>
  <c r="E74" i="48"/>
  <c r="E73" i="48"/>
  <c r="E72" i="48"/>
  <c r="E71" i="48"/>
  <c r="E70" i="48"/>
  <c r="E69" i="48"/>
  <c r="E68" i="48"/>
  <c r="E67" i="48"/>
  <c r="E66" i="48"/>
  <c r="E65" i="48"/>
  <c r="E64" i="48"/>
  <c r="E63" i="48"/>
  <c r="E62" i="48"/>
  <c r="E61" i="48"/>
  <c r="E60" i="48"/>
  <c r="E59" i="48"/>
  <c r="E58" i="48"/>
  <c r="E57" i="48"/>
  <c r="E56" i="48"/>
  <c r="E55" i="48"/>
  <c r="E54" i="48"/>
  <c r="E53" i="48"/>
  <c r="E52" i="48"/>
  <c r="E51" i="48"/>
  <c r="E50" i="48"/>
  <c r="E49" i="48"/>
  <c r="E48" i="48"/>
  <c r="E47" i="48"/>
  <c r="E46" i="48"/>
  <c r="E45" i="48"/>
  <c r="E44" i="48"/>
  <c r="E43" i="48"/>
  <c r="E42" i="48"/>
  <c r="E41" i="48"/>
  <c r="E40" i="48"/>
  <c r="E39" i="48"/>
  <c r="E38" i="48"/>
  <c r="E37" i="48"/>
  <c r="E36" i="48"/>
  <c r="E35" i="48"/>
  <c r="E34" i="48"/>
  <c r="E33" i="48"/>
  <c r="E32" i="48"/>
  <c r="E31" i="48"/>
  <c r="E30" i="48"/>
  <c r="E29" i="48"/>
  <c r="E28" i="48"/>
  <c r="E27" i="48"/>
  <c r="E26" i="48"/>
  <c r="E25" i="48"/>
  <c r="E24" i="48"/>
  <c r="E4" i="48"/>
  <c r="E5" i="48" s="1"/>
  <c r="E6" i="48" s="1"/>
  <c r="E7" i="48" s="1"/>
  <c r="E8" i="48" s="1"/>
  <c r="E9" i="48" s="1"/>
  <c r="E10" i="48" s="1"/>
  <c r="E11" i="48" s="1"/>
  <c r="E12" i="48" s="1"/>
  <c r="E13" i="48" s="1"/>
  <c r="E14" i="48" s="1"/>
  <c r="E15" i="48" s="1"/>
  <c r="E16" i="48" s="1"/>
  <c r="E17" i="48" s="1"/>
  <c r="E18" i="48" s="1"/>
  <c r="E19" i="48" s="1"/>
  <c r="E20" i="48" s="1"/>
  <c r="E21" i="48" s="1"/>
  <c r="E22" i="48" s="1"/>
  <c r="E23" i="48" s="1"/>
  <c r="K103" i="48" l="1"/>
  <c r="M103" i="48" s="1"/>
  <c r="K102" i="48"/>
  <c r="M102" i="48" s="1"/>
  <c r="K101" i="48"/>
  <c r="M101" i="48" s="1"/>
  <c r="K100" i="48"/>
  <c r="M100" i="48" s="1"/>
  <c r="K99" i="48"/>
  <c r="M99" i="48" s="1"/>
  <c r="K98" i="48"/>
  <c r="M98" i="48" s="1"/>
  <c r="K97" i="48"/>
  <c r="M97" i="48" s="1"/>
  <c r="K96" i="48"/>
  <c r="M96" i="48" s="1"/>
  <c r="K95" i="48"/>
  <c r="M95" i="48" s="1"/>
  <c r="K94" i="48"/>
  <c r="M94" i="48" s="1"/>
  <c r="K93" i="48"/>
  <c r="M93" i="48" s="1"/>
  <c r="K92" i="48"/>
  <c r="M92" i="48" s="1"/>
  <c r="K91" i="48"/>
  <c r="M91" i="48" s="1"/>
  <c r="K90" i="48"/>
  <c r="M90" i="48" s="1"/>
  <c r="K89" i="48"/>
  <c r="M89" i="48" s="1"/>
  <c r="K88" i="48"/>
  <c r="M88" i="48" s="1"/>
  <c r="K87" i="48"/>
  <c r="M87" i="48" s="1"/>
  <c r="K86" i="48"/>
  <c r="M86" i="48" s="1"/>
  <c r="K85" i="48"/>
  <c r="M85" i="48" s="1"/>
  <c r="K84" i="48"/>
  <c r="M84" i="48" s="1"/>
  <c r="K83" i="48"/>
  <c r="M83" i="48" s="1"/>
  <c r="K82" i="48"/>
  <c r="M82" i="48" s="1"/>
  <c r="K81" i="48"/>
  <c r="M81" i="48" s="1"/>
  <c r="K80" i="48"/>
  <c r="M80" i="48" s="1"/>
  <c r="K79" i="48"/>
  <c r="M79" i="48" s="1"/>
  <c r="K78" i="48"/>
  <c r="M78" i="48" s="1"/>
  <c r="K77" i="48"/>
  <c r="M77" i="48" s="1"/>
  <c r="K76" i="48"/>
  <c r="M76" i="48" s="1"/>
  <c r="K75" i="48"/>
  <c r="M75" i="48" s="1"/>
  <c r="K74" i="48"/>
  <c r="M74" i="48" s="1"/>
  <c r="K73" i="48"/>
  <c r="M73" i="48" s="1"/>
  <c r="K72" i="48"/>
  <c r="M72" i="48" s="1"/>
  <c r="K71" i="48"/>
  <c r="M71" i="48" s="1"/>
  <c r="K70" i="48"/>
  <c r="M70" i="48" s="1"/>
  <c r="K69" i="48"/>
  <c r="M69" i="48" s="1"/>
  <c r="K68" i="48"/>
  <c r="M68" i="48" s="1"/>
  <c r="K67" i="48"/>
  <c r="M67" i="48" s="1"/>
  <c r="K66" i="48"/>
  <c r="M66" i="48" s="1"/>
  <c r="K65" i="48"/>
  <c r="M65" i="48" s="1"/>
  <c r="K64" i="48"/>
  <c r="M64" i="48" s="1"/>
  <c r="K63" i="48"/>
  <c r="M63" i="48" s="1"/>
  <c r="K62" i="48"/>
  <c r="M62" i="48" s="1"/>
  <c r="K61" i="48"/>
  <c r="M61" i="48" s="1"/>
  <c r="K60" i="48"/>
  <c r="M60" i="48" s="1"/>
  <c r="K59" i="48"/>
  <c r="M59" i="48" s="1"/>
  <c r="K58" i="48"/>
  <c r="M58" i="48" s="1"/>
  <c r="K57" i="48"/>
  <c r="M57" i="48" s="1"/>
  <c r="K56" i="48"/>
  <c r="M56" i="48" s="1"/>
  <c r="K55" i="48"/>
  <c r="M55" i="48" s="1"/>
  <c r="K54" i="48"/>
  <c r="M54" i="48" s="1"/>
  <c r="K53" i="48"/>
  <c r="M53" i="48" s="1"/>
  <c r="K52" i="48"/>
  <c r="M52" i="48" s="1"/>
  <c r="K51" i="48"/>
  <c r="M51" i="48" s="1"/>
  <c r="K50" i="48"/>
  <c r="M50" i="48" s="1"/>
  <c r="K49" i="48"/>
  <c r="M49" i="48" s="1"/>
  <c r="K48" i="48"/>
  <c r="M48" i="48" s="1"/>
  <c r="K47" i="48"/>
  <c r="M47" i="48" s="1"/>
  <c r="K46" i="48"/>
  <c r="M46" i="48" s="1"/>
  <c r="K45" i="48"/>
  <c r="M45" i="48" s="1"/>
  <c r="K44" i="48"/>
  <c r="M44" i="48" s="1"/>
  <c r="K43" i="48"/>
  <c r="M43" i="48" s="1"/>
  <c r="K42" i="48"/>
  <c r="M42" i="48" s="1"/>
  <c r="K41" i="48"/>
  <c r="M41" i="48" s="1"/>
  <c r="K40" i="48"/>
  <c r="M40" i="48" s="1"/>
  <c r="K39" i="48"/>
  <c r="M39" i="48" s="1"/>
  <c r="K38" i="48"/>
  <c r="M38" i="48" s="1"/>
  <c r="K37" i="48"/>
  <c r="M37" i="48" s="1"/>
  <c r="K36" i="48"/>
  <c r="M36" i="48" s="1"/>
  <c r="K35" i="48"/>
  <c r="M35" i="48" s="1"/>
  <c r="K34" i="48"/>
  <c r="M34" i="48" s="1"/>
  <c r="K33" i="48"/>
  <c r="M33" i="48" s="1"/>
  <c r="K32" i="48"/>
  <c r="M32" i="48" s="1"/>
  <c r="K31" i="48"/>
  <c r="M31" i="48" s="1"/>
  <c r="K30" i="48"/>
  <c r="M30" i="48" s="1"/>
  <c r="K29" i="48"/>
  <c r="M29" i="48" s="1"/>
  <c r="K28" i="48"/>
  <c r="M28" i="48" s="1"/>
  <c r="K27" i="48"/>
  <c r="M27" i="48" s="1"/>
  <c r="K26" i="48"/>
  <c r="M26" i="48" s="1"/>
  <c r="K25" i="48"/>
  <c r="M25" i="48" s="1"/>
  <c r="K24" i="48"/>
  <c r="M24" i="48" s="1"/>
  <c r="K23" i="48"/>
  <c r="K22" i="48"/>
  <c r="K21" i="48"/>
  <c r="K20" i="48"/>
  <c r="K19" i="48"/>
  <c r="K18" i="48"/>
  <c r="K17" i="48"/>
  <c r="K16" i="48"/>
  <c r="K15" i="48"/>
  <c r="K13" i="48"/>
  <c r="K14" i="48" s="1"/>
  <c r="K12" i="48"/>
  <c r="K11" i="48"/>
  <c r="K10" i="48"/>
  <c r="K9" i="48"/>
  <c r="K8" i="48"/>
  <c r="K7" i="48"/>
  <c r="K5" i="48"/>
  <c r="K6" i="48" s="1"/>
  <c r="K4" i="48"/>
  <c r="M4" i="48" s="1"/>
  <c r="M5" i="48" l="1"/>
  <c r="M6" i="48" s="1"/>
  <c r="M7" i="48" s="1"/>
  <c r="M8" i="48" s="1"/>
  <c r="M9" i="48" s="1"/>
  <c r="M10" i="48" s="1"/>
  <c r="M11" i="48" s="1"/>
  <c r="M12" i="48" s="1"/>
  <c r="M13" i="48" s="1"/>
  <c r="M14" i="48" s="1"/>
  <c r="M15" i="48" s="1"/>
  <c r="M16" i="48" s="1"/>
  <c r="M17" i="48" s="1"/>
  <c r="M18" i="48" s="1"/>
  <c r="M19" i="48" s="1"/>
  <c r="M20" i="48" s="1"/>
  <c r="M21" i="48" s="1"/>
  <c r="M22" i="48" s="1"/>
  <c r="M23" i="48" s="1"/>
  <c r="A102" i="42"/>
  <c r="A101" i="42"/>
  <c r="A100" i="42"/>
  <c r="A99" i="42"/>
  <c r="A98" i="42"/>
  <c r="A97" i="42"/>
  <c r="A96" i="42"/>
  <c r="A95" i="42"/>
  <c r="A94" i="42"/>
  <c r="A93" i="42"/>
  <c r="A92" i="42"/>
  <c r="A91" i="42"/>
  <c r="A90" i="42"/>
  <c r="A89" i="42"/>
  <c r="A88" i="42"/>
  <c r="A87" i="42"/>
  <c r="A86" i="42"/>
  <c r="A85" i="42"/>
  <c r="A84" i="42"/>
  <c r="A83" i="42"/>
  <c r="A82" i="42"/>
  <c r="A81" i="42"/>
  <c r="A80" i="42"/>
  <c r="A79" i="42"/>
  <c r="A78" i="42"/>
  <c r="A77" i="42"/>
  <c r="A76" i="42"/>
  <c r="A75" i="42"/>
  <c r="A74" i="42"/>
  <c r="A73" i="42"/>
  <c r="A72" i="42"/>
  <c r="A71" i="42"/>
  <c r="A70" i="42"/>
  <c r="A69" i="42"/>
  <c r="A68" i="42"/>
  <c r="A67" i="42"/>
  <c r="A66" i="42"/>
  <c r="A65" i="42"/>
  <c r="A64" i="42"/>
  <c r="A63" i="42"/>
  <c r="A62" i="42"/>
  <c r="A61" i="42"/>
  <c r="A60" i="42"/>
  <c r="A59" i="42"/>
  <c r="A58" i="42"/>
  <c r="A57" i="42"/>
  <c r="A56" i="42"/>
  <c r="A55" i="42"/>
  <c r="A54" i="42"/>
  <c r="A53" i="42"/>
  <c r="A52" i="42"/>
  <c r="A51" i="42"/>
  <c r="A50" i="42"/>
  <c r="A49" i="42"/>
  <c r="A48" i="42"/>
  <c r="A47" i="42"/>
  <c r="A46" i="42"/>
  <c r="A45" i="42"/>
  <c r="A44" i="42"/>
  <c r="A43" i="42"/>
  <c r="A42" i="42"/>
  <c r="A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A18" i="42"/>
  <c r="A17" i="42"/>
  <c r="A16" i="42"/>
  <c r="A15" i="42"/>
  <c r="A14" i="42"/>
  <c r="A13" i="42"/>
  <c r="A12" i="42"/>
  <c r="A11" i="42"/>
  <c r="A10" i="42"/>
  <c r="A9" i="42"/>
  <c r="A8" i="42"/>
  <c r="A7" i="42"/>
  <c r="A6" i="42"/>
  <c r="A5" i="42"/>
  <c r="A4" i="42"/>
  <c r="A3" i="42"/>
  <c r="A2" i="42"/>
  <c r="H102" i="49" l="1"/>
  <c r="H101" i="49"/>
  <c r="H100" i="49"/>
  <c r="H99" i="49"/>
  <c r="H98" i="49"/>
  <c r="H97" i="49"/>
  <c r="H96" i="49"/>
  <c r="H95" i="49"/>
  <c r="H94" i="49"/>
  <c r="H93" i="49"/>
  <c r="H92" i="49"/>
  <c r="H91" i="49"/>
  <c r="H90" i="49"/>
  <c r="H89" i="49"/>
  <c r="H88" i="49"/>
  <c r="H87" i="49"/>
  <c r="H86" i="49"/>
  <c r="H85" i="49"/>
  <c r="H84" i="49"/>
  <c r="H83" i="49"/>
  <c r="H82" i="49"/>
  <c r="H81" i="49"/>
  <c r="H80" i="49"/>
  <c r="H79" i="49"/>
  <c r="H78" i="49"/>
  <c r="H77" i="49"/>
  <c r="H76" i="49"/>
  <c r="H75" i="49"/>
  <c r="H74" i="49"/>
  <c r="H73" i="49"/>
  <c r="H72" i="49"/>
  <c r="H71" i="49"/>
  <c r="H70" i="49"/>
  <c r="H69" i="49"/>
  <c r="H68" i="49"/>
  <c r="H67" i="49"/>
  <c r="H66" i="49"/>
  <c r="H65" i="49"/>
  <c r="H64" i="49"/>
  <c r="H63" i="49"/>
  <c r="H62" i="49"/>
  <c r="H61" i="49"/>
  <c r="H60" i="49"/>
  <c r="H59" i="49"/>
  <c r="H58" i="49"/>
  <c r="H57" i="49"/>
  <c r="H56" i="49"/>
  <c r="H55" i="49"/>
  <c r="H54" i="49"/>
  <c r="H53" i="49"/>
  <c r="H52" i="49"/>
  <c r="H51" i="49"/>
  <c r="H50" i="49"/>
  <c r="H49" i="49"/>
  <c r="H48" i="49"/>
  <c r="H47" i="49"/>
  <c r="H46" i="49"/>
  <c r="H45" i="49"/>
  <c r="H44" i="49"/>
  <c r="H43" i="49"/>
  <c r="H42" i="49"/>
  <c r="H41" i="49"/>
  <c r="H40" i="49"/>
  <c r="H39" i="49"/>
  <c r="H38" i="49"/>
  <c r="H37" i="49"/>
  <c r="H36" i="49"/>
  <c r="H35" i="49"/>
  <c r="H34" i="49"/>
  <c r="H33" i="49"/>
  <c r="H32" i="49"/>
  <c r="H31" i="49"/>
  <c r="H30" i="49"/>
  <c r="H29" i="49"/>
  <c r="H28" i="49"/>
  <c r="H27" i="49"/>
  <c r="H26" i="49"/>
  <c r="H25" i="49"/>
  <c r="H24" i="49"/>
  <c r="H4" i="49"/>
  <c r="H5" i="49" s="1"/>
  <c r="H6" i="49" s="1"/>
  <c r="H7" i="49" s="1"/>
  <c r="H8" i="49" s="1"/>
  <c r="H9" i="49" s="1"/>
  <c r="H10" i="49" s="1"/>
  <c r="H11" i="49" s="1"/>
  <c r="H12" i="49" s="1"/>
  <c r="H13" i="49" s="1"/>
  <c r="H14" i="49" s="1"/>
  <c r="H15" i="49" s="1"/>
  <c r="H16" i="49" s="1"/>
  <c r="H17" i="49" s="1"/>
  <c r="H18" i="49" s="1"/>
  <c r="H19" i="49" s="1"/>
  <c r="H20" i="49" s="1"/>
  <c r="H21" i="49" s="1"/>
  <c r="H22" i="49" s="1"/>
  <c r="M19" i="49" l="1"/>
  <c r="L12" i="49" s="1"/>
  <c r="L4" i="49" s="1"/>
  <c r="L5" i="49" s="1"/>
  <c r="L6" i="49" s="1"/>
  <c r="L7" i="49" s="1"/>
  <c r="L8" i="49" s="1"/>
  <c r="L9" i="49" s="1"/>
  <c r="L10" i="49" s="1"/>
  <c r="L11" i="49" s="1"/>
  <c r="E20" i="23" l="1"/>
  <c r="C102" i="49" l="1"/>
  <c r="C101" i="49"/>
  <c r="C100" i="49"/>
  <c r="C99" i="49"/>
  <c r="C98" i="49"/>
  <c r="C97" i="49"/>
  <c r="C96" i="49"/>
  <c r="C95" i="49"/>
  <c r="C94" i="49"/>
  <c r="C93" i="49"/>
  <c r="C92" i="49"/>
  <c r="C91" i="49"/>
  <c r="C90" i="49"/>
  <c r="C89" i="49"/>
  <c r="C88" i="49"/>
  <c r="C87" i="49"/>
  <c r="C86" i="49"/>
  <c r="C85" i="49"/>
  <c r="C84" i="49"/>
  <c r="C83" i="49"/>
  <c r="C82" i="49"/>
  <c r="C81" i="49"/>
  <c r="C80" i="49"/>
  <c r="C79" i="49"/>
  <c r="C78" i="49"/>
  <c r="C77" i="49"/>
  <c r="C76" i="49"/>
  <c r="C75" i="49"/>
  <c r="C74" i="49"/>
  <c r="C73" i="49"/>
  <c r="C72" i="49"/>
  <c r="C71" i="49"/>
  <c r="C70" i="49"/>
  <c r="C69" i="49"/>
  <c r="C68" i="49"/>
  <c r="C67" i="49"/>
  <c r="C66" i="49"/>
  <c r="C65" i="49"/>
  <c r="C64" i="49"/>
  <c r="C63" i="49"/>
  <c r="C62" i="49"/>
  <c r="C61" i="49"/>
  <c r="C60" i="49"/>
  <c r="C59" i="49"/>
  <c r="C58" i="49"/>
  <c r="C57" i="49"/>
  <c r="C56" i="49"/>
  <c r="C55" i="49"/>
  <c r="C54" i="49"/>
  <c r="C53" i="49"/>
  <c r="C52" i="49"/>
  <c r="C51" i="49"/>
  <c r="C50" i="49"/>
  <c r="C49" i="49"/>
  <c r="C48" i="49"/>
  <c r="C47" i="49"/>
  <c r="C46" i="49"/>
  <c r="C45" i="49"/>
  <c r="C44" i="49"/>
  <c r="C43" i="49"/>
  <c r="C42" i="49"/>
  <c r="C41" i="49"/>
  <c r="C40" i="49"/>
  <c r="C39" i="49"/>
  <c r="C38" i="49"/>
  <c r="C37" i="49"/>
  <c r="C36" i="49"/>
  <c r="C35" i="49"/>
  <c r="C34" i="49"/>
  <c r="C33" i="49"/>
  <c r="J10" i="40" l="1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F33" i="31" l="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F25" i="31" s="1"/>
  <c r="F26" i="31" s="1"/>
  <c r="F27" i="31" s="1"/>
  <c r="F28" i="31" s="1"/>
  <c r="F29" i="31" s="1"/>
  <c r="F30" i="31" s="1"/>
  <c r="F31" i="31" s="1"/>
  <c r="F32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C8" i="31" l="1"/>
  <c r="X4" i="48"/>
  <c r="R6" i="53"/>
  <c r="S6" i="53" s="1"/>
  <c r="R6" i="52"/>
  <c r="S6" i="52" s="1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B100" i="52" s="1"/>
  <c r="L100" i="52" s="1"/>
  <c r="E100" i="51"/>
  <c r="C100" i="51"/>
  <c r="N99" i="51"/>
  <c r="J99" i="51"/>
  <c r="L99" i="51" s="1"/>
  <c r="B99" i="52" s="1"/>
  <c r="L99" i="52" s="1"/>
  <c r="E99" i="51"/>
  <c r="G99" i="51" s="1"/>
  <c r="C99" i="51"/>
  <c r="N98" i="51"/>
  <c r="J98" i="51"/>
  <c r="L98" i="51" s="1"/>
  <c r="B98" i="52" s="1"/>
  <c r="L98" i="52" s="1"/>
  <c r="E98" i="51"/>
  <c r="C98" i="51"/>
  <c r="N97" i="51"/>
  <c r="J97" i="51"/>
  <c r="L97" i="51" s="1"/>
  <c r="B97" i="52" s="1"/>
  <c r="L97" i="52" s="1"/>
  <c r="E97" i="51"/>
  <c r="G97" i="51" s="1"/>
  <c r="C97" i="51"/>
  <c r="N96" i="51"/>
  <c r="J96" i="51"/>
  <c r="L96" i="51" s="1"/>
  <c r="B96" i="52" s="1"/>
  <c r="L96" i="52" s="1"/>
  <c r="E96" i="51"/>
  <c r="C96" i="51"/>
  <c r="N95" i="51"/>
  <c r="J95" i="51"/>
  <c r="K95" i="51" s="1"/>
  <c r="M95" i="51" s="1"/>
  <c r="E95" i="51"/>
  <c r="F95" i="51" s="1"/>
  <c r="H95" i="51" s="1"/>
  <c r="C95" i="51"/>
  <c r="N94" i="51"/>
  <c r="J94" i="51"/>
  <c r="L94" i="51" s="1"/>
  <c r="B94" i="52" s="1"/>
  <c r="L94" i="52" s="1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B92" i="52" s="1"/>
  <c r="L92" i="52" s="1"/>
  <c r="E92" i="51"/>
  <c r="C92" i="51"/>
  <c r="N91" i="51"/>
  <c r="J91" i="51"/>
  <c r="K91" i="51" s="1"/>
  <c r="M91" i="51" s="1"/>
  <c r="E91" i="51"/>
  <c r="G91" i="51" s="1"/>
  <c r="C91" i="51"/>
  <c r="N90" i="51"/>
  <c r="J90" i="51"/>
  <c r="L90" i="51" s="1"/>
  <c r="B90" i="52" s="1"/>
  <c r="L90" i="52" s="1"/>
  <c r="E90" i="51"/>
  <c r="C90" i="51"/>
  <c r="N89" i="51"/>
  <c r="J89" i="51"/>
  <c r="E89" i="51"/>
  <c r="F89" i="51" s="1"/>
  <c r="H89" i="51" s="1"/>
  <c r="C89" i="51"/>
  <c r="N88" i="51"/>
  <c r="J88" i="51"/>
  <c r="L88" i="51" s="1"/>
  <c r="B88" i="52" s="1"/>
  <c r="L88" i="52" s="1"/>
  <c r="E88" i="51"/>
  <c r="C88" i="51"/>
  <c r="N87" i="51"/>
  <c r="J87" i="51"/>
  <c r="K87" i="51" s="1"/>
  <c r="M87" i="51" s="1"/>
  <c r="E87" i="51"/>
  <c r="G87" i="51" s="1"/>
  <c r="C87" i="51"/>
  <c r="N86" i="51"/>
  <c r="J86" i="51"/>
  <c r="L86" i="51" s="1"/>
  <c r="B86" i="52" s="1"/>
  <c r="E86" i="51"/>
  <c r="G86" i="51" s="1"/>
  <c r="C86" i="51"/>
  <c r="N85" i="51"/>
  <c r="J85" i="51"/>
  <c r="L85" i="51" s="1"/>
  <c r="B85" i="52" s="1"/>
  <c r="L85" i="52" s="1"/>
  <c r="E85" i="51"/>
  <c r="C85" i="51"/>
  <c r="N84" i="51"/>
  <c r="J84" i="51"/>
  <c r="E84" i="51"/>
  <c r="G84" i="51" s="1"/>
  <c r="C84" i="51"/>
  <c r="N83" i="51"/>
  <c r="J83" i="51"/>
  <c r="K83" i="51" s="1"/>
  <c r="M83" i="51" s="1"/>
  <c r="E83" i="51"/>
  <c r="G83" i="51" s="1"/>
  <c r="C83" i="51"/>
  <c r="N82" i="51"/>
  <c r="J82" i="51"/>
  <c r="L82" i="51" s="1"/>
  <c r="B82" i="52" s="1"/>
  <c r="L82" i="52" s="1"/>
  <c r="E82" i="51"/>
  <c r="F82" i="51" s="1"/>
  <c r="H82" i="51" s="1"/>
  <c r="C82" i="51"/>
  <c r="N81" i="51"/>
  <c r="J81" i="51"/>
  <c r="K81" i="51" s="1"/>
  <c r="M81" i="51" s="1"/>
  <c r="E81" i="51"/>
  <c r="G81" i="51" s="1"/>
  <c r="C81" i="51"/>
  <c r="N80" i="51"/>
  <c r="J80" i="51"/>
  <c r="L80" i="51" s="1"/>
  <c r="B80" i="52" s="1"/>
  <c r="E80" i="51"/>
  <c r="G80" i="51" s="1"/>
  <c r="C80" i="51"/>
  <c r="N79" i="51"/>
  <c r="J79" i="51"/>
  <c r="K79" i="51" s="1"/>
  <c r="M79" i="51" s="1"/>
  <c r="E79" i="51"/>
  <c r="G79" i="51" s="1"/>
  <c r="C79" i="51"/>
  <c r="N78" i="51"/>
  <c r="J78" i="51"/>
  <c r="L78" i="51" s="1"/>
  <c r="B78" i="52" s="1"/>
  <c r="L78" i="52" s="1"/>
  <c r="E78" i="51"/>
  <c r="G78" i="51" s="1"/>
  <c r="C78" i="51"/>
  <c r="N77" i="51"/>
  <c r="J77" i="51"/>
  <c r="K77" i="51" s="1"/>
  <c r="M77" i="51" s="1"/>
  <c r="E77" i="51"/>
  <c r="G77" i="51" s="1"/>
  <c r="C77" i="51"/>
  <c r="N76" i="51"/>
  <c r="J76" i="51"/>
  <c r="L76" i="51" s="1"/>
  <c r="B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B74" i="52" s="1"/>
  <c r="L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B72" i="52" s="1"/>
  <c r="L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B70" i="52" s="1"/>
  <c r="L70" i="52" s="1"/>
  <c r="E70" i="51"/>
  <c r="G70" i="51" s="1"/>
  <c r="C70" i="51"/>
  <c r="N69" i="51"/>
  <c r="J69" i="51"/>
  <c r="K69" i="51" s="1"/>
  <c r="M69" i="51" s="1"/>
  <c r="E69" i="51"/>
  <c r="G69" i="51" s="1"/>
  <c r="C69" i="51"/>
  <c r="N68" i="51"/>
  <c r="J68" i="51"/>
  <c r="L68" i="51" s="1"/>
  <c r="B68" i="52" s="1"/>
  <c r="E68" i="51"/>
  <c r="G68" i="51" s="1"/>
  <c r="C68" i="51"/>
  <c r="N67" i="51"/>
  <c r="J67" i="51"/>
  <c r="K67" i="51" s="1"/>
  <c r="M67" i="51" s="1"/>
  <c r="E67" i="51"/>
  <c r="G67" i="51" s="1"/>
  <c r="C67" i="51"/>
  <c r="N66" i="51"/>
  <c r="J66" i="51"/>
  <c r="L66" i="51" s="1"/>
  <c r="B66" i="52" s="1"/>
  <c r="L66" i="52" s="1"/>
  <c r="E66" i="51"/>
  <c r="G66" i="51" s="1"/>
  <c r="C66" i="51"/>
  <c r="N65" i="51"/>
  <c r="J65" i="51"/>
  <c r="K65" i="51" s="1"/>
  <c r="M65" i="51" s="1"/>
  <c r="E65" i="51"/>
  <c r="G65" i="51" s="1"/>
  <c r="C65" i="51"/>
  <c r="N64" i="51"/>
  <c r="J64" i="51"/>
  <c r="L64" i="51" s="1"/>
  <c r="B64" i="52" s="1"/>
  <c r="E64" i="51"/>
  <c r="G64" i="51" s="1"/>
  <c r="C64" i="51"/>
  <c r="N63" i="51"/>
  <c r="J63" i="51"/>
  <c r="K63" i="51" s="1"/>
  <c r="M63" i="51" s="1"/>
  <c r="E63" i="51"/>
  <c r="G63" i="51" s="1"/>
  <c r="C63" i="51"/>
  <c r="N62" i="51"/>
  <c r="J62" i="51"/>
  <c r="L62" i="51" s="1"/>
  <c r="B62" i="52" s="1"/>
  <c r="L62" i="52" s="1"/>
  <c r="E62" i="51"/>
  <c r="G62" i="51" s="1"/>
  <c r="C62" i="51"/>
  <c r="N61" i="51"/>
  <c r="J61" i="51"/>
  <c r="K61" i="51" s="1"/>
  <c r="M61" i="51" s="1"/>
  <c r="E61" i="51"/>
  <c r="G61" i="51" s="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K39" i="51" s="1"/>
  <c r="M39" i="51" s="1"/>
  <c r="E39" i="51"/>
  <c r="F39" i="51" s="1"/>
  <c r="H39" i="51" s="1"/>
  <c r="C39" i="51"/>
  <c r="N38" i="51"/>
  <c r="J38" i="51"/>
  <c r="L38" i="51" s="1"/>
  <c r="B38" i="52" s="1"/>
  <c r="L38" i="52" s="1"/>
  <c r="E38" i="51"/>
  <c r="G38" i="51" s="1"/>
  <c r="C38" i="51"/>
  <c r="N37" i="51"/>
  <c r="J37" i="51"/>
  <c r="L37" i="51" s="1"/>
  <c r="B37" i="52" s="1"/>
  <c r="L37" i="52" s="1"/>
  <c r="E37" i="51"/>
  <c r="F37" i="51" s="1"/>
  <c r="H37" i="51" s="1"/>
  <c r="C37" i="51"/>
  <c r="N36" i="51"/>
  <c r="J36" i="51"/>
  <c r="L36" i="51" s="1"/>
  <c r="B36" i="52" s="1"/>
  <c r="L36" i="52" s="1"/>
  <c r="E36" i="51"/>
  <c r="G36" i="51" s="1"/>
  <c r="C36" i="51"/>
  <c r="N35" i="51"/>
  <c r="J35" i="51"/>
  <c r="L35" i="51" s="1"/>
  <c r="B35" i="52" s="1"/>
  <c r="L35" i="52" s="1"/>
  <c r="E35" i="51"/>
  <c r="F35" i="51" s="1"/>
  <c r="H35" i="51" s="1"/>
  <c r="C35" i="51"/>
  <c r="N34" i="51"/>
  <c r="J34" i="51"/>
  <c r="L34" i="51" s="1"/>
  <c r="B34" i="52" s="1"/>
  <c r="L34" i="52" s="1"/>
  <c r="E34" i="51"/>
  <c r="G34" i="51" s="1"/>
  <c r="C34" i="51"/>
  <c r="N33" i="51"/>
  <c r="J33" i="51"/>
  <c r="L33" i="51" s="1"/>
  <c r="B33" i="52" s="1"/>
  <c r="L33" i="52" s="1"/>
  <c r="E33" i="51"/>
  <c r="F33" i="51" s="1"/>
  <c r="H33" i="51" s="1"/>
  <c r="C33" i="51"/>
  <c r="N32" i="51"/>
  <c r="J32" i="51"/>
  <c r="L32" i="51" s="1"/>
  <c r="B32" i="52" s="1"/>
  <c r="L32" i="52" s="1"/>
  <c r="E32" i="51"/>
  <c r="C32" i="51"/>
  <c r="N31" i="51"/>
  <c r="J31" i="51"/>
  <c r="L31" i="51" s="1"/>
  <c r="B31" i="52" s="1"/>
  <c r="L31" i="52" s="1"/>
  <c r="E31" i="51"/>
  <c r="F31" i="51" s="1"/>
  <c r="H31" i="51" s="1"/>
  <c r="C31" i="51"/>
  <c r="N30" i="51"/>
  <c r="J30" i="51"/>
  <c r="L30" i="51" s="1"/>
  <c r="B30" i="52" s="1"/>
  <c r="L30" i="52" s="1"/>
  <c r="E30" i="51"/>
  <c r="G30" i="51" s="1"/>
  <c r="C30" i="51"/>
  <c r="N29" i="51"/>
  <c r="J29" i="51"/>
  <c r="L29" i="51" s="1"/>
  <c r="B29" i="52" s="1"/>
  <c r="L29" i="52" s="1"/>
  <c r="E29" i="51"/>
  <c r="F29" i="51" s="1"/>
  <c r="H29" i="51" s="1"/>
  <c r="C29" i="51"/>
  <c r="N28" i="51"/>
  <c r="J28" i="51"/>
  <c r="K28" i="51" s="1"/>
  <c r="M28" i="51" s="1"/>
  <c r="E28" i="51"/>
  <c r="F28" i="51" s="1"/>
  <c r="H28" i="51" s="1"/>
  <c r="C28" i="51"/>
  <c r="N27" i="51"/>
  <c r="J27" i="51"/>
  <c r="K27" i="51" s="1"/>
  <c r="M27" i="51" s="1"/>
  <c r="E27" i="51"/>
  <c r="F27" i="51" s="1"/>
  <c r="H27" i="51" s="1"/>
  <c r="C27" i="51"/>
  <c r="N26" i="51"/>
  <c r="J26" i="51"/>
  <c r="K26" i="51" s="1"/>
  <c r="M26" i="51" s="1"/>
  <c r="E26" i="51"/>
  <c r="F26" i="51" s="1"/>
  <c r="H26" i="51" s="1"/>
  <c r="C26" i="51"/>
  <c r="N25" i="51"/>
  <c r="J25" i="51"/>
  <c r="K25" i="51" s="1"/>
  <c r="M25" i="51" s="1"/>
  <c r="E25" i="51"/>
  <c r="F25" i="51" s="1"/>
  <c r="H25" i="51" s="1"/>
  <c r="C25" i="51"/>
  <c r="N24" i="51"/>
  <c r="J24" i="51"/>
  <c r="K24" i="51" s="1"/>
  <c r="M24" i="51" s="1"/>
  <c r="E24" i="51"/>
  <c r="F24" i="51" s="1"/>
  <c r="H24" i="51" s="1"/>
  <c r="C24" i="51"/>
  <c r="N23" i="51"/>
  <c r="J23" i="51"/>
  <c r="K23" i="51" s="1"/>
  <c r="M23" i="51" s="1"/>
  <c r="E23" i="51"/>
  <c r="F23" i="51" s="1"/>
  <c r="H23" i="51" s="1"/>
  <c r="C23" i="51"/>
  <c r="N22" i="51"/>
  <c r="J22" i="51"/>
  <c r="K22" i="51" s="1"/>
  <c r="M22" i="51" s="1"/>
  <c r="E22" i="51"/>
  <c r="F22" i="51" s="1"/>
  <c r="H22" i="51" s="1"/>
  <c r="C22" i="51"/>
  <c r="N21" i="51"/>
  <c r="J21" i="51"/>
  <c r="K21" i="51" s="1"/>
  <c r="M21" i="51" s="1"/>
  <c r="E21" i="51"/>
  <c r="F21" i="51" s="1"/>
  <c r="H21" i="51" s="1"/>
  <c r="C21" i="51"/>
  <c r="N20" i="51"/>
  <c r="J20" i="51"/>
  <c r="K20" i="51" s="1"/>
  <c r="M20" i="51" s="1"/>
  <c r="E20" i="51"/>
  <c r="F20" i="51" s="1"/>
  <c r="H20" i="51" s="1"/>
  <c r="C20" i="51"/>
  <c r="N19" i="51"/>
  <c r="J19" i="51"/>
  <c r="K19" i="51" s="1"/>
  <c r="M19" i="51" s="1"/>
  <c r="E19" i="51"/>
  <c r="F19" i="51" s="1"/>
  <c r="H19" i="51" s="1"/>
  <c r="C19" i="51"/>
  <c r="N18" i="51"/>
  <c r="J18" i="51"/>
  <c r="K18" i="51" s="1"/>
  <c r="M18" i="51" s="1"/>
  <c r="E18" i="51"/>
  <c r="F18" i="51" s="1"/>
  <c r="H18" i="51" s="1"/>
  <c r="C18" i="51"/>
  <c r="N17" i="51"/>
  <c r="J17" i="51"/>
  <c r="K17" i="51" s="1"/>
  <c r="M17" i="51" s="1"/>
  <c r="E17" i="51"/>
  <c r="F17" i="51" s="1"/>
  <c r="H17" i="51" s="1"/>
  <c r="C17" i="51"/>
  <c r="N16" i="51"/>
  <c r="J16" i="51"/>
  <c r="K16" i="51" s="1"/>
  <c r="M16" i="51" s="1"/>
  <c r="E16" i="51"/>
  <c r="F16" i="51" s="1"/>
  <c r="H16" i="51" s="1"/>
  <c r="C16" i="51"/>
  <c r="N15" i="51"/>
  <c r="J15" i="51"/>
  <c r="K15" i="51" s="1"/>
  <c r="M15" i="51" s="1"/>
  <c r="E15" i="51"/>
  <c r="F15" i="51" s="1"/>
  <c r="H15" i="51" s="1"/>
  <c r="C15" i="51"/>
  <c r="N14" i="51"/>
  <c r="J14" i="51"/>
  <c r="K14" i="51" s="1"/>
  <c r="M14" i="51" s="1"/>
  <c r="E14" i="51"/>
  <c r="F14" i="51" s="1"/>
  <c r="H14" i="51" s="1"/>
  <c r="C14" i="51"/>
  <c r="N13" i="51"/>
  <c r="J13" i="51"/>
  <c r="K13" i="51" s="1"/>
  <c r="M13" i="51" s="1"/>
  <c r="E13" i="51"/>
  <c r="F13" i="51" s="1"/>
  <c r="H13" i="51" s="1"/>
  <c r="C13" i="51"/>
  <c r="N12" i="51"/>
  <c r="J12" i="51"/>
  <c r="K12" i="51" s="1"/>
  <c r="M12" i="51" s="1"/>
  <c r="E12" i="51"/>
  <c r="F12" i="51" s="1"/>
  <c r="H12" i="51" s="1"/>
  <c r="C12" i="51"/>
  <c r="N11" i="51"/>
  <c r="J11" i="51"/>
  <c r="K11" i="51" s="1"/>
  <c r="M11" i="51" s="1"/>
  <c r="E11" i="51"/>
  <c r="F11" i="51" s="1"/>
  <c r="H11" i="51" s="1"/>
  <c r="C11" i="51"/>
  <c r="N10" i="51"/>
  <c r="J10" i="51"/>
  <c r="K10" i="51" s="1"/>
  <c r="M10" i="51" s="1"/>
  <c r="E10" i="51"/>
  <c r="F10" i="51" s="1"/>
  <c r="H10" i="51" s="1"/>
  <c r="C10" i="51"/>
  <c r="N9" i="51"/>
  <c r="J9" i="51"/>
  <c r="K9" i="51" s="1"/>
  <c r="M9" i="51" s="1"/>
  <c r="E9" i="51"/>
  <c r="F9" i="51" s="1"/>
  <c r="H9" i="51" s="1"/>
  <c r="C9" i="51"/>
  <c r="N8" i="51"/>
  <c r="J8" i="51"/>
  <c r="K8" i="51" s="1"/>
  <c r="M8" i="51" s="1"/>
  <c r="E8" i="51"/>
  <c r="F8" i="51" s="1"/>
  <c r="H8" i="51" s="1"/>
  <c r="C8" i="51"/>
  <c r="N7" i="51"/>
  <c r="J7" i="51"/>
  <c r="K7" i="51" s="1"/>
  <c r="M7" i="51" s="1"/>
  <c r="E7" i="51"/>
  <c r="F7" i="51" s="1"/>
  <c r="H7" i="51" s="1"/>
  <c r="C7" i="51"/>
  <c r="N6" i="51"/>
  <c r="J6" i="51"/>
  <c r="K6" i="51" s="1"/>
  <c r="E6" i="51"/>
  <c r="F6" i="51" s="1"/>
  <c r="C6" i="51"/>
  <c r="N5" i="51"/>
  <c r="J5" i="51"/>
  <c r="E5" i="51"/>
  <c r="N4" i="51"/>
  <c r="J4" i="51"/>
  <c r="E4" i="51"/>
  <c r="N3" i="51"/>
  <c r="J3" i="51"/>
  <c r="L3" i="51" s="1"/>
  <c r="B3" i="52" s="1"/>
  <c r="E3" i="51"/>
  <c r="F3" i="51" s="1"/>
  <c r="C3" i="51"/>
  <c r="D2" i="42"/>
  <c r="D3" i="42"/>
  <c r="I3" i="42" s="1"/>
  <c r="N3" i="42" s="1"/>
  <c r="D4" i="42"/>
  <c r="D5" i="42"/>
  <c r="I5" i="42" s="1"/>
  <c r="D6" i="42"/>
  <c r="D7" i="42"/>
  <c r="I7" i="42" s="1"/>
  <c r="D8" i="42"/>
  <c r="J102" i="42"/>
  <c r="L102" i="42" s="1"/>
  <c r="B102" i="43" s="1"/>
  <c r="E102" i="43" s="1"/>
  <c r="H102" i="43" s="1"/>
  <c r="J101" i="42"/>
  <c r="J100" i="42"/>
  <c r="L100" i="42" s="1"/>
  <c r="B100" i="43" s="1"/>
  <c r="E100" i="43" s="1"/>
  <c r="H100" i="43" s="1"/>
  <c r="J99" i="42"/>
  <c r="L99" i="42" s="1"/>
  <c r="B99" i="43" s="1"/>
  <c r="L99" i="43" s="1"/>
  <c r="J98" i="42"/>
  <c r="J97" i="42"/>
  <c r="J96" i="42"/>
  <c r="L96" i="42" s="1"/>
  <c r="B96" i="43" s="1"/>
  <c r="L96" i="43" s="1"/>
  <c r="J95" i="42"/>
  <c r="J94" i="42"/>
  <c r="K94" i="42" s="1"/>
  <c r="M94" i="42" s="1"/>
  <c r="J93" i="42"/>
  <c r="K93" i="42" s="1"/>
  <c r="M93" i="42" s="1"/>
  <c r="J92" i="42"/>
  <c r="L92" i="42" s="1"/>
  <c r="B92" i="43" s="1"/>
  <c r="G92" i="43" s="1"/>
  <c r="J92" i="43" s="1"/>
  <c r="J91" i="42"/>
  <c r="K91" i="42" s="1"/>
  <c r="M91" i="42" s="1"/>
  <c r="J90" i="42"/>
  <c r="J89" i="42"/>
  <c r="J88" i="42"/>
  <c r="L88" i="42" s="1"/>
  <c r="B88" i="43" s="1"/>
  <c r="G88" i="43" s="1"/>
  <c r="J88" i="43" s="1"/>
  <c r="J87" i="42"/>
  <c r="K87" i="42" s="1"/>
  <c r="M87" i="42" s="1"/>
  <c r="J86" i="42"/>
  <c r="L86" i="42" s="1"/>
  <c r="B86" i="43" s="1"/>
  <c r="G86" i="43" s="1"/>
  <c r="J86" i="43" s="1"/>
  <c r="J85" i="42"/>
  <c r="K85" i="42" s="1"/>
  <c r="M85" i="42" s="1"/>
  <c r="J84" i="42"/>
  <c r="L84" i="42" s="1"/>
  <c r="B84" i="43" s="1"/>
  <c r="D84" i="43" s="1"/>
  <c r="F84" i="43" s="1"/>
  <c r="J83" i="42"/>
  <c r="L83" i="42" s="1"/>
  <c r="B83" i="43" s="1"/>
  <c r="C83" i="43" s="1"/>
  <c r="J82" i="42"/>
  <c r="J81" i="42"/>
  <c r="K81" i="42" s="1"/>
  <c r="M81" i="42" s="1"/>
  <c r="J80" i="42"/>
  <c r="L80" i="42" s="1"/>
  <c r="B80" i="43" s="1"/>
  <c r="J79" i="42"/>
  <c r="C80" i="22" s="1"/>
  <c r="J78" i="42"/>
  <c r="C79" i="22" s="1"/>
  <c r="E79" i="22" s="1"/>
  <c r="F79" i="22" s="1"/>
  <c r="J77" i="42"/>
  <c r="L77" i="42" s="1"/>
  <c r="B77" i="43" s="1"/>
  <c r="J76" i="42"/>
  <c r="K76" i="42" s="1"/>
  <c r="M76" i="42" s="1"/>
  <c r="J75" i="42"/>
  <c r="L75" i="42" s="1"/>
  <c r="B75" i="43" s="1"/>
  <c r="D75" i="43" s="1"/>
  <c r="F75" i="43" s="1"/>
  <c r="J74" i="42"/>
  <c r="K74" i="42" s="1"/>
  <c r="M74" i="42" s="1"/>
  <c r="J73" i="42"/>
  <c r="L73" i="42" s="1"/>
  <c r="B73" i="43" s="1"/>
  <c r="K73" i="43" s="1"/>
  <c r="J72" i="42"/>
  <c r="K72" i="42" s="1"/>
  <c r="M72" i="42" s="1"/>
  <c r="J71" i="42"/>
  <c r="J70" i="42"/>
  <c r="L70" i="42" s="1"/>
  <c r="B70" i="43" s="1"/>
  <c r="I70" i="43" s="1"/>
  <c r="J69" i="42"/>
  <c r="L69" i="42" s="1"/>
  <c r="B69" i="43" s="1"/>
  <c r="I69" i="43" s="1"/>
  <c r="J68" i="42"/>
  <c r="J67" i="42"/>
  <c r="L67" i="42" s="1"/>
  <c r="B67" i="43" s="1"/>
  <c r="L67" i="43" s="1"/>
  <c r="J66" i="42"/>
  <c r="J65" i="42"/>
  <c r="L65" i="42" s="1"/>
  <c r="B65" i="43" s="1"/>
  <c r="C65" i="43" s="1"/>
  <c r="J64" i="42"/>
  <c r="L64" i="42" s="1"/>
  <c r="B64" i="43" s="1"/>
  <c r="J63" i="42"/>
  <c r="J62" i="42"/>
  <c r="K62" i="42" s="1"/>
  <c r="M62" i="42" s="1"/>
  <c r="J61" i="42"/>
  <c r="L61" i="42" s="1"/>
  <c r="B61" i="43" s="1"/>
  <c r="I61" i="43" s="1"/>
  <c r="J60" i="42"/>
  <c r="J59" i="42"/>
  <c r="L59" i="42" s="1"/>
  <c r="B59" i="43" s="1"/>
  <c r="E59" i="43" s="1"/>
  <c r="H59" i="43" s="1"/>
  <c r="J58" i="42"/>
  <c r="J57" i="42"/>
  <c r="L57" i="42" s="1"/>
  <c r="B57" i="43" s="1"/>
  <c r="L57" i="43" s="1"/>
  <c r="J56" i="42"/>
  <c r="L56" i="42" s="1"/>
  <c r="B56" i="43" s="1"/>
  <c r="J55" i="42"/>
  <c r="J54" i="42"/>
  <c r="J53" i="42"/>
  <c r="K53" i="42" s="1"/>
  <c r="M53" i="42" s="1"/>
  <c r="J52" i="42"/>
  <c r="J51" i="42"/>
  <c r="L51" i="42" s="1"/>
  <c r="B51" i="43" s="1"/>
  <c r="K51" i="43" s="1"/>
  <c r="J50" i="42"/>
  <c r="C51" i="22" s="1"/>
  <c r="K51" i="22" s="1"/>
  <c r="J49" i="42"/>
  <c r="L49" i="42" s="1"/>
  <c r="B49" i="43" s="1"/>
  <c r="I49" i="43" s="1"/>
  <c r="J48" i="42"/>
  <c r="K48" i="42" s="1"/>
  <c r="M48" i="42" s="1"/>
  <c r="J47" i="42"/>
  <c r="L47" i="42" s="1"/>
  <c r="B47" i="43" s="1"/>
  <c r="C47" i="43" s="1"/>
  <c r="J46" i="42"/>
  <c r="J45" i="42"/>
  <c r="J44" i="42"/>
  <c r="C45" i="22" s="1"/>
  <c r="J43" i="42"/>
  <c r="L43" i="42" s="1"/>
  <c r="B43" i="43" s="1"/>
  <c r="C43" i="43" s="1"/>
  <c r="J42" i="42"/>
  <c r="K42" i="42" s="1"/>
  <c r="M42" i="42" s="1"/>
  <c r="J41" i="42"/>
  <c r="L41" i="42" s="1"/>
  <c r="B41" i="43" s="1"/>
  <c r="D41" i="43" s="1"/>
  <c r="F41" i="43" s="1"/>
  <c r="J40" i="42"/>
  <c r="K40" i="42" s="1"/>
  <c r="M40" i="42" s="1"/>
  <c r="J39" i="42"/>
  <c r="L39" i="42" s="1"/>
  <c r="B39" i="43" s="1"/>
  <c r="E39" i="43" s="1"/>
  <c r="H39" i="43" s="1"/>
  <c r="J38" i="42"/>
  <c r="K38" i="42" s="1"/>
  <c r="M38" i="42" s="1"/>
  <c r="J37" i="42"/>
  <c r="J36" i="42"/>
  <c r="J35" i="42"/>
  <c r="L35" i="42" s="1"/>
  <c r="B35" i="43" s="1"/>
  <c r="L35" i="43" s="1"/>
  <c r="J34" i="42"/>
  <c r="L34" i="42" s="1"/>
  <c r="B34" i="43" s="1"/>
  <c r="L34" i="43" s="1"/>
  <c r="J33" i="42"/>
  <c r="J32" i="42"/>
  <c r="K32" i="42" s="1"/>
  <c r="M32" i="42" s="1"/>
  <c r="J31" i="42"/>
  <c r="L31" i="42" s="1"/>
  <c r="B31" i="43" s="1"/>
  <c r="D31" i="43" s="1"/>
  <c r="F31" i="43" s="1"/>
  <c r="J30" i="42"/>
  <c r="L30" i="42" s="1"/>
  <c r="B30" i="43" s="1"/>
  <c r="D30" i="43" s="1"/>
  <c r="F30" i="43" s="1"/>
  <c r="J29" i="42"/>
  <c r="C30" i="22" s="1"/>
  <c r="J28" i="42"/>
  <c r="J27" i="42"/>
  <c r="L27" i="42" s="1"/>
  <c r="B27" i="43" s="1"/>
  <c r="K27" i="43" s="1"/>
  <c r="J26" i="42"/>
  <c r="J25" i="42"/>
  <c r="J24" i="42"/>
  <c r="K24" i="42" s="1"/>
  <c r="M24" i="42" s="1"/>
  <c r="E102" i="42"/>
  <c r="G102" i="42" s="1"/>
  <c r="E101" i="42"/>
  <c r="E100" i="42"/>
  <c r="G100" i="42" s="1"/>
  <c r="E99" i="42"/>
  <c r="E98" i="42"/>
  <c r="G98" i="42" s="1"/>
  <c r="E97" i="42"/>
  <c r="G97" i="42" s="1"/>
  <c r="E96" i="42"/>
  <c r="E95" i="42"/>
  <c r="E94" i="42"/>
  <c r="G94" i="42" s="1"/>
  <c r="E93" i="42"/>
  <c r="E92" i="42"/>
  <c r="G92" i="42" s="1"/>
  <c r="E91" i="42"/>
  <c r="E90" i="42"/>
  <c r="G90" i="42" s="1"/>
  <c r="E89" i="42"/>
  <c r="G89" i="42" s="1"/>
  <c r="E88" i="42"/>
  <c r="E87" i="42"/>
  <c r="G87" i="42" s="1"/>
  <c r="E86" i="42"/>
  <c r="G86" i="42" s="1"/>
  <c r="E85" i="42"/>
  <c r="E84" i="42"/>
  <c r="E83" i="42"/>
  <c r="E82" i="42"/>
  <c r="G82" i="42" s="1"/>
  <c r="E81" i="42"/>
  <c r="G81" i="42" s="1"/>
  <c r="E80" i="42"/>
  <c r="E79" i="42"/>
  <c r="E78" i="42"/>
  <c r="G78" i="42" s="1"/>
  <c r="E77" i="42"/>
  <c r="G77" i="42" s="1"/>
  <c r="E76" i="42"/>
  <c r="E75" i="42"/>
  <c r="E74" i="42"/>
  <c r="G74" i="42" s="1"/>
  <c r="E73" i="42"/>
  <c r="E72" i="42"/>
  <c r="E71" i="42"/>
  <c r="E70" i="42"/>
  <c r="G70" i="42" s="1"/>
  <c r="E69" i="42"/>
  <c r="G69" i="42" s="1"/>
  <c r="E68" i="42"/>
  <c r="G68" i="42" s="1"/>
  <c r="E67" i="42"/>
  <c r="E66" i="42"/>
  <c r="G66" i="42" s="1"/>
  <c r="E65" i="42"/>
  <c r="E64" i="42"/>
  <c r="E63" i="42"/>
  <c r="E62" i="42"/>
  <c r="G62" i="42" s="1"/>
  <c r="E61" i="42"/>
  <c r="G61" i="42" s="1"/>
  <c r="E60" i="42"/>
  <c r="G60" i="42" s="1"/>
  <c r="E59" i="42"/>
  <c r="E58" i="42"/>
  <c r="G58" i="42" s="1"/>
  <c r="E57" i="42"/>
  <c r="E56" i="42"/>
  <c r="E55" i="42"/>
  <c r="G55" i="42" s="1"/>
  <c r="E54" i="42"/>
  <c r="G54" i="42" s="1"/>
  <c r="E53" i="42"/>
  <c r="E52" i="42"/>
  <c r="E51" i="42"/>
  <c r="E50" i="42"/>
  <c r="G50" i="42" s="1"/>
  <c r="E49" i="42"/>
  <c r="G49" i="42" s="1"/>
  <c r="E48" i="42"/>
  <c r="E47" i="42"/>
  <c r="E46" i="42"/>
  <c r="G46" i="42" s="1"/>
  <c r="E45" i="42"/>
  <c r="G45" i="42" s="1"/>
  <c r="E44" i="42"/>
  <c r="E43" i="42"/>
  <c r="E42" i="42"/>
  <c r="G42" i="42" s="1"/>
  <c r="E41" i="42"/>
  <c r="E40" i="42"/>
  <c r="E39" i="42"/>
  <c r="E38" i="42"/>
  <c r="G38" i="42" s="1"/>
  <c r="E37" i="42"/>
  <c r="G37" i="42" s="1"/>
  <c r="E36" i="42"/>
  <c r="F36" i="42" s="1"/>
  <c r="H36" i="42" s="1"/>
  <c r="E35" i="42"/>
  <c r="E34" i="42"/>
  <c r="G34" i="42" s="1"/>
  <c r="E33" i="42"/>
  <c r="E32" i="42"/>
  <c r="E31" i="42"/>
  <c r="G31" i="42" s="1"/>
  <c r="E30" i="42"/>
  <c r="G30" i="42" s="1"/>
  <c r="E29" i="42"/>
  <c r="E28" i="42"/>
  <c r="G28" i="42" s="1"/>
  <c r="E27" i="42"/>
  <c r="E26" i="42"/>
  <c r="G26" i="42" s="1"/>
  <c r="E25" i="42"/>
  <c r="G25" i="42" s="1"/>
  <c r="E24" i="42"/>
  <c r="E23" i="42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3" i="42"/>
  <c r="C4" i="42" s="1"/>
  <c r="D102" i="42"/>
  <c r="D101" i="42"/>
  <c r="I101" i="42" s="1"/>
  <c r="D100" i="42"/>
  <c r="I100" i="42" s="1"/>
  <c r="D99" i="42"/>
  <c r="N99" i="42" s="1"/>
  <c r="D98" i="42"/>
  <c r="N98" i="42" s="1"/>
  <c r="D97" i="42"/>
  <c r="I97" i="42" s="1"/>
  <c r="D96" i="42"/>
  <c r="I96" i="42" s="1"/>
  <c r="D95" i="42"/>
  <c r="N95" i="42" s="1"/>
  <c r="D94" i="42"/>
  <c r="I94" i="42" s="1"/>
  <c r="D93" i="42"/>
  <c r="I93" i="42" s="1"/>
  <c r="D92" i="42"/>
  <c r="D91" i="42"/>
  <c r="N91" i="42" s="1"/>
  <c r="D90" i="42"/>
  <c r="D89" i="42"/>
  <c r="I89" i="42" s="1"/>
  <c r="D88" i="42"/>
  <c r="D87" i="42"/>
  <c r="N87" i="42" s="1"/>
  <c r="D86" i="42"/>
  <c r="N86" i="42" s="1"/>
  <c r="D85" i="42"/>
  <c r="I85" i="42" s="1"/>
  <c r="D84" i="42"/>
  <c r="I84" i="42" s="1"/>
  <c r="D83" i="42"/>
  <c r="N83" i="42" s="1"/>
  <c r="D82" i="42"/>
  <c r="N82" i="42" s="1"/>
  <c r="D81" i="42"/>
  <c r="I81" i="42" s="1"/>
  <c r="D80" i="42"/>
  <c r="I80" i="42" s="1"/>
  <c r="D79" i="42"/>
  <c r="N79" i="42" s="1"/>
  <c r="D78" i="42"/>
  <c r="I78" i="42" s="1"/>
  <c r="D77" i="42"/>
  <c r="I77" i="42" s="1"/>
  <c r="D76" i="42"/>
  <c r="D75" i="42"/>
  <c r="N75" i="42" s="1"/>
  <c r="D74" i="42"/>
  <c r="D73" i="42"/>
  <c r="I73" i="42" s="1"/>
  <c r="D72" i="42"/>
  <c r="D71" i="42"/>
  <c r="N71" i="42" s="1"/>
  <c r="D70" i="42"/>
  <c r="N70" i="42" s="1"/>
  <c r="D69" i="42"/>
  <c r="I69" i="42" s="1"/>
  <c r="D68" i="42"/>
  <c r="I68" i="42" s="1"/>
  <c r="D67" i="42"/>
  <c r="N67" i="42" s="1"/>
  <c r="D66" i="42"/>
  <c r="N66" i="42" s="1"/>
  <c r="D65" i="42"/>
  <c r="I65" i="42" s="1"/>
  <c r="D64" i="42"/>
  <c r="D63" i="42"/>
  <c r="N63" i="42" s="1"/>
  <c r="D62" i="42"/>
  <c r="N62" i="42" s="1"/>
  <c r="D61" i="42"/>
  <c r="I61" i="42" s="1"/>
  <c r="D60" i="42"/>
  <c r="D59" i="42"/>
  <c r="N59" i="42" s="1"/>
  <c r="D58" i="42"/>
  <c r="I58" i="42" s="1"/>
  <c r="D57" i="42"/>
  <c r="I57" i="42" s="1"/>
  <c r="D56" i="42"/>
  <c r="D55" i="42"/>
  <c r="N55" i="42" s="1"/>
  <c r="D54" i="42"/>
  <c r="I54" i="42" s="1"/>
  <c r="D53" i="42"/>
  <c r="I53" i="42" s="1"/>
  <c r="D52" i="42"/>
  <c r="I52" i="42" s="1"/>
  <c r="D51" i="42"/>
  <c r="N51" i="42" s="1"/>
  <c r="D50" i="42"/>
  <c r="D49" i="42"/>
  <c r="I49" i="42" s="1"/>
  <c r="D48" i="42"/>
  <c r="D47" i="42"/>
  <c r="N47" i="42" s="1"/>
  <c r="D46" i="42"/>
  <c r="N46" i="42" s="1"/>
  <c r="D45" i="42"/>
  <c r="I45" i="42" s="1"/>
  <c r="D44" i="42"/>
  <c r="D43" i="42"/>
  <c r="N43" i="42" s="1"/>
  <c r="D42" i="42"/>
  <c r="N42" i="42" s="1"/>
  <c r="D41" i="42"/>
  <c r="I41" i="42" s="1"/>
  <c r="D40" i="42"/>
  <c r="N40" i="42" s="1"/>
  <c r="D39" i="42"/>
  <c r="N39" i="42" s="1"/>
  <c r="D38" i="42"/>
  <c r="D37" i="42"/>
  <c r="I37" i="42" s="1"/>
  <c r="D36" i="42"/>
  <c r="D35" i="42"/>
  <c r="N35" i="42" s="1"/>
  <c r="D34" i="42"/>
  <c r="N34" i="42" s="1"/>
  <c r="D33" i="42"/>
  <c r="I33" i="42" s="1"/>
  <c r="D32" i="42"/>
  <c r="D31" i="42"/>
  <c r="N31" i="42" s="1"/>
  <c r="D30" i="42"/>
  <c r="D29" i="42"/>
  <c r="I29" i="42" s="1"/>
  <c r="D28" i="42"/>
  <c r="N28" i="42" s="1"/>
  <c r="D27" i="42"/>
  <c r="N27" i="42" s="1"/>
  <c r="D26" i="42"/>
  <c r="D25" i="42"/>
  <c r="N25" i="42" s="1"/>
  <c r="D24" i="42"/>
  <c r="D23" i="42"/>
  <c r="D22" i="42"/>
  <c r="D21" i="42"/>
  <c r="D20" i="42"/>
  <c r="D19" i="42"/>
  <c r="D18" i="42"/>
  <c r="D17" i="42"/>
  <c r="I17" i="42" s="1"/>
  <c r="D16" i="42"/>
  <c r="I16" i="42" s="1"/>
  <c r="D15" i="42"/>
  <c r="D14" i="42"/>
  <c r="I14" i="42" s="1"/>
  <c r="D13" i="42"/>
  <c r="I13" i="42" s="1"/>
  <c r="D12" i="42"/>
  <c r="I12" i="42" s="1"/>
  <c r="D11" i="42"/>
  <c r="D10" i="42"/>
  <c r="I10" i="42" s="1"/>
  <c r="D9" i="42"/>
  <c r="I9" i="42" s="1"/>
  <c r="N102" i="50"/>
  <c r="J102" i="50"/>
  <c r="L102" i="50" s="1"/>
  <c r="B102" i="53" s="1"/>
  <c r="K102" i="53" s="1"/>
  <c r="E102" i="50"/>
  <c r="G102" i="50" s="1"/>
  <c r="C102" i="50"/>
  <c r="N101" i="50"/>
  <c r="J101" i="50"/>
  <c r="L101" i="50" s="1"/>
  <c r="B101" i="53" s="1"/>
  <c r="K101" i="53" s="1"/>
  <c r="E101" i="50"/>
  <c r="C101" i="50"/>
  <c r="N100" i="50"/>
  <c r="J100" i="50"/>
  <c r="L100" i="50" s="1"/>
  <c r="B100" i="53" s="1"/>
  <c r="K100" i="53" s="1"/>
  <c r="E100" i="50"/>
  <c r="G100" i="50" s="1"/>
  <c r="C100" i="50"/>
  <c r="N99" i="50"/>
  <c r="J99" i="50"/>
  <c r="L99" i="50" s="1"/>
  <c r="B99" i="53" s="1"/>
  <c r="K99" i="53" s="1"/>
  <c r="E99" i="50"/>
  <c r="C99" i="50"/>
  <c r="N98" i="50"/>
  <c r="J98" i="50"/>
  <c r="L98" i="50" s="1"/>
  <c r="B98" i="53" s="1"/>
  <c r="E98" i="50"/>
  <c r="C98" i="50"/>
  <c r="N97" i="50"/>
  <c r="J97" i="50"/>
  <c r="L97" i="50" s="1"/>
  <c r="B97" i="53" s="1"/>
  <c r="E97" i="50"/>
  <c r="G97" i="50" s="1"/>
  <c r="C97" i="50"/>
  <c r="N96" i="50"/>
  <c r="J96" i="50"/>
  <c r="L96" i="50" s="1"/>
  <c r="B96" i="53" s="1"/>
  <c r="E96" i="50"/>
  <c r="G96" i="50" s="1"/>
  <c r="C96" i="50"/>
  <c r="N95" i="50"/>
  <c r="J95" i="50"/>
  <c r="E95" i="50"/>
  <c r="G95" i="50" s="1"/>
  <c r="C95" i="50"/>
  <c r="N94" i="50"/>
  <c r="J94" i="50"/>
  <c r="E94" i="50"/>
  <c r="G94" i="50" s="1"/>
  <c r="C94" i="50"/>
  <c r="N93" i="50"/>
  <c r="J93" i="50"/>
  <c r="E93" i="50"/>
  <c r="C93" i="50"/>
  <c r="N92" i="50"/>
  <c r="J92" i="50"/>
  <c r="L92" i="50" s="1"/>
  <c r="B92" i="53" s="1"/>
  <c r="E92" i="50"/>
  <c r="G92" i="50" s="1"/>
  <c r="C92" i="50"/>
  <c r="N91" i="50"/>
  <c r="J91" i="50"/>
  <c r="L91" i="50" s="1"/>
  <c r="B91" i="53" s="1"/>
  <c r="E91" i="50"/>
  <c r="G91" i="50" s="1"/>
  <c r="C91" i="50"/>
  <c r="N90" i="50"/>
  <c r="J90" i="50"/>
  <c r="L90" i="50" s="1"/>
  <c r="B90" i="53" s="1"/>
  <c r="E90" i="50"/>
  <c r="G90" i="50" s="1"/>
  <c r="C90" i="50"/>
  <c r="N89" i="50"/>
  <c r="J89" i="50"/>
  <c r="L89" i="50" s="1"/>
  <c r="B89" i="53" s="1"/>
  <c r="I89" i="53" s="1"/>
  <c r="E89" i="50"/>
  <c r="C89" i="50"/>
  <c r="N88" i="50"/>
  <c r="J88" i="50"/>
  <c r="E88" i="50"/>
  <c r="G88" i="50" s="1"/>
  <c r="C88" i="50"/>
  <c r="N87" i="50"/>
  <c r="J87" i="50"/>
  <c r="E87" i="50"/>
  <c r="G87" i="50" s="1"/>
  <c r="C87" i="50"/>
  <c r="N86" i="50"/>
  <c r="J86" i="50"/>
  <c r="L86" i="50" s="1"/>
  <c r="B86" i="53" s="1"/>
  <c r="E86" i="50"/>
  <c r="G86" i="50" s="1"/>
  <c r="C86" i="50"/>
  <c r="N85" i="50"/>
  <c r="J85" i="50"/>
  <c r="L85" i="50" s="1"/>
  <c r="B85" i="53" s="1"/>
  <c r="F85" i="53" s="1"/>
  <c r="E85" i="50"/>
  <c r="C85" i="50"/>
  <c r="N84" i="50"/>
  <c r="J84" i="50"/>
  <c r="L84" i="50" s="1"/>
  <c r="B84" i="53" s="1"/>
  <c r="E84" i="50"/>
  <c r="G84" i="50" s="1"/>
  <c r="C84" i="50"/>
  <c r="N83" i="50"/>
  <c r="J83" i="50"/>
  <c r="L83" i="50" s="1"/>
  <c r="B83" i="53" s="1"/>
  <c r="F83" i="53" s="1"/>
  <c r="E83" i="50"/>
  <c r="G83" i="50" s="1"/>
  <c r="C83" i="50"/>
  <c r="N82" i="50"/>
  <c r="J82" i="50"/>
  <c r="L82" i="50" s="1"/>
  <c r="B82" i="53" s="1"/>
  <c r="E82" i="50"/>
  <c r="G82" i="50" s="1"/>
  <c r="C82" i="50"/>
  <c r="N81" i="50"/>
  <c r="J81" i="50"/>
  <c r="L81" i="50" s="1"/>
  <c r="B81" i="53"/>
  <c r="F81" i="53" s="1"/>
  <c r="E81" i="50"/>
  <c r="G81" i="50" s="1"/>
  <c r="C81" i="50"/>
  <c r="N80" i="50"/>
  <c r="J80" i="50"/>
  <c r="L80" i="50" s="1"/>
  <c r="B80" i="53" s="1"/>
  <c r="K80" i="53" s="1"/>
  <c r="E80" i="50"/>
  <c r="G80" i="50" s="1"/>
  <c r="C80" i="50"/>
  <c r="N79" i="50"/>
  <c r="J79" i="50"/>
  <c r="L79" i="50" s="1"/>
  <c r="B79" i="53" s="1"/>
  <c r="F79" i="53" s="1"/>
  <c r="E79" i="50"/>
  <c r="G79" i="50" s="1"/>
  <c r="C79" i="50"/>
  <c r="N78" i="50"/>
  <c r="J78" i="50"/>
  <c r="L78" i="50" s="1"/>
  <c r="B78" i="53" s="1"/>
  <c r="K78" i="53" s="1"/>
  <c r="E78" i="50"/>
  <c r="G78" i="50" s="1"/>
  <c r="C78" i="50"/>
  <c r="N77" i="50"/>
  <c r="J77" i="50"/>
  <c r="L77" i="50" s="1"/>
  <c r="B77" i="53" s="1"/>
  <c r="F77" i="53" s="1"/>
  <c r="E77" i="50"/>
  <c r="C77" i="50"/>
  <c r="N76" i="50"/>
  <c r="J76" i="50"/>
  <c r="L76" i="50" s="1"/>
  <c r="B76" i="53" s="1"/>
  <c r="E76" i="50"/>
  <c r="G76" i="50" s="1"/>
  <c r="C76" i="50"/>
  <c r="N75" i="50"/>
  <c r="J75" i="50"/>
  <c r="L75" i="50" s="1"/>
  <c r="B75" i="53" s="1"/>
  <c r="F75" i="53" s="1"/>
  <c r="E75" i="50"/>
  <c r="G75" i="50" s="1"/>
  <c r="C75" i="50"/>
  <c r="N74" i="50"/>
  <c r="J74" i="50"/>
  <c r="L74" i="50" s="1"/>
  <c r="B74" i="53" s="1"/>
  <c r="K74" i="53" s="1"/>
  <c r="E74" i="50"/>
  <c r="G74" i="50" s="1"/>
  <c r="C74" i="50"/>
  <c r="N73" i="50"/>
  <c r="J73" i="50"/>
  <c r="L73" i="50" s="1"/>
  <c r="B73" i="53" s="1"/>
  <c r="F73" i="53" s="1"/>
  <c r="E73" i="50"/>
  <c r="C73" i="50"/>
  <c r="N72" i="50"/>
  <c r="J72" i="50"/>
  <c r="L72" i="50" s="1"/>
  <c r="B72" i="53" s="1"/>
  <c r="K72" i="53" s="1"/>
  <c r="E72" i="50"/>
  <c r="G72" i="50" s="1"/>
  <c r="C72" i="50"/>
  <c r="N71" i="50"/>
  <c r="J71" i="50"/>
  <c r="L71" i="50" s="1"/>
  <c r="B71" i="53" s="1"/>
  <c r="E71" i="50"/>
  <c r="G71" i="50" s="1"/>
  <c r="C71" i="50"/>
  <c r="N70" i="50"/>
  <c r="J70" i="50"/>
  <c r="L70" i="50" s="1"/>
  <c r="B70" i="53" s="1"/>
  <c r="E70" i="50"/>
  <c r="G70" i="50" s="1"/>
  <c r="C70" i="50"/>
  <c r="N69" i="50"/>
  <c r="J69" i="50"/>
  <c r="L69" i="50" s="1"/>
  <c r="B69" i="53" s="1"/>
  <c r="F69" i="53" s="1"/>
  <c r="E69" i="50"/>
  <c r="C69" i="50"/>
  <c r="N68" i="50"/>
  <c r="J68" i="50"/>
  <c r="L68" i="50" s="1"/>
  <c r="B68" i="53" s="1"/>
  <c r="E68" i="50"/>
  <c r="G68" i="50" s="1"/>
  <c r="C68" i="50"/>
  <c r="N67" i="50"/>
  <c r="J67" i="50"/>
  <c r="L67" i="50" s="1"/>
  <c r="B67" i="53" s="1"/>
  <c r="F67" i="53" s="1"/>
  <c r="E67" i="50"/>
  <c r="G67" i="50" s="1"/>
  <c r="C67" i="50"/>
  <c r="N66" i="50"/>
  <c r="J66" i="50"/>
  <c r="L66" i="50" s="1"/>
  <c r="B66" i="53" s="1"/>
  <c r="E66" i="50"/>
  <c r="C66" i="50"/>
  <c r="N65" i="50"/>
  <c r="J65" i="50"/>
  <c r="K65" i="50" s="1"/>
  <c r="M65" i="50" s="1"/>
  <c r="E65" i="50"/>
  <c r="F65" i="50" s="1"/>
  <c r="H65" i="50" s="1"/>
  <c r="C65" i="50"/>
  <c r="N64" i="50"/>
  <c r="J64" i="50"/>
  <c r="L64" i="50" s="1"/>
  <c r="B64" i="53" s="1"/>
  <c r="E64" i="50"/>
  <c r="G64" i="50" s="1"/>
  <c r="C64" i="50"/>
  <c r="N63" i="50"/>
  <c r="J63" i="50"/>
  <c r="L63" i="50" s="1"/>
  <c r="B63" i="53" s="1"/>
  <c r="F63" i="53" s="1"/>
  <c r="E63" i="50"/>
  <c r="G63" i="50" s="1"/>
  <c r="C63" i="50"/>
  <c r="N62" i="50"/>
  <c r="J62" i="50"/>
  <c r="L62" i="50" s="1"/>
  <c r="B62" i="53" s="1"/>
  <c r="E62" i="50"/>
  <c r="G62" i="50" s="1"/>
  <c r="C62" i="50"/>
  <c r="N61" i="50"/>
  <c r="J61" i="50"/>
  <c r="L61" i="50" s="1"/>
  <c r="B61" i="53" s="1"/>
  <c r="F61" i="53" s="1"/>
  <c r="E61" i="50"/>
  <c r="F61" i="50" s="1"/>
  <c r="H61" i="50" s="1"/>
  <c r="C61" i="50"/>
  <c r="N60" i="50"/>
  <c r="J60" i="50"/>
  <c r="L60" i="50" s="1"/>
  <c r="B60" i="53" s="1"/>
  <c r="E60" i="50"/>
  <c r="G60" i="50" s="1"/>
  <c r="C60" i="50"/>
  <c r="N59" i="50"/>
  <c r="J59" i="50"/>
  <c r="L59" i="50" s="1"/>
  <c r="B59" i="53" s="1"/>
  <c r="F59" i="53" s="1"/>
  <c r="E59" i="50"/>
  <c r="G59" i="50" s="1"/>
  <c r="C59" i="50"/>
  <c r="N58" i="50"/>
  <c r="J58" i="50"/>
  <c r="L58" i="50" s="1"/>
  <c r="B58" i="53" s="1"/>
  <c r="K58" i="53" s="1"/>
  <c r="E58" i="50"/>
  <c r="G58" i="50" s="1"/>
  <c r="C58" i="50"/>
  <c r="N57" i="50"/>
  <c r="J57" i="50"/>
  <c r="L57" i="50" s="1"/>
  <c r="B57" i="53" s="1"/>
  <c r="K57" i="53" s="1"/>
  <c r="E57" i="50"/>
  <c r="F57" i="50" s="1"/>
  <c r="H57" i="50" s="1"/>
  <c r="C57" i="50"/>
  <c r="N56" i="50"/>
  <c r="J56" i="50"/>
  <c r="L56" i="50" s="1"/>
  <c r="B56" i="53" s="1"/>
  <c r="E56" i="50"/>
  <c r="G56" i="50" s="1"/>
  <c r="C56" i="50"/>
  <c r="N55" i="50"/>
  <c r="J55" i="50"/>
  <c r="L55" i="50" s="1"/>
  <c r="B55" i="53" s="1"/>
  <c r="L55" i="53" s="1"/>
  <c r="E55" i="50"/>
  <c r="G55" i="50" s="1"/>
  <c r="C55" i="50"/>
  <c r="N54" i="50"/>
  <c r="J54" i="50"/>
  <c r="L54" i="50" s="1"/>
  <c r="B54" i="53" s="1"/>
  <c r="E54" i="50"/>
  <c r="G54" i="50" s="1"/>
  <c r="C54" i="50"/>
  <c r="N53" i="50"/>
  <c r="J53" i="50"/>
  <c r="L53" i="50" s="1"/>
  <c r="B53" i="53" s="1"/>
  <c r="L53" i="53" s="1"/>
  <c r="E53" i="50"/>
  <c r="F53" i="50" s="1"/>
  <c r="H53" i="50" s="1"/>
  <c r="C53" i="50"/>
  <c r="N52" i="50"/>
  <c r="J52" i="50"/>
  <c r="L52" i="50" s="1"/>
  <c r="B52" i="53" s="1"/>
  <c r="E52" i="50"/>
  <c r="G52" i="50" s="1"/>
  <c r="C52" i="50"/>
  <c r="N51" i="50"/>
  <c r="J51" i="50"/>
  <c r="L51" i="50" s="1"/>
  <c r="B51" i="53" s="1"/>
  <c r="L51" i="53" s="1"/>
  <c r="E51" i="50"/>
  <c r="G51" i="50" s="1"/>
  <c r="C51" i="50"/>
  <c r="N50" i="50"/>
  <c r="J50" i="50"/>
  <c r="L50" i="50" s="1"/>
  <c r="B50" i="53" s="1"/>
  <c r="E50" i="50"/>
  <c r="G50" i="50" s="1"/>
  <c r="C50" i="50"/>
  <c r="N49" i="50"/>
  <c r="J49" i="50"/>
  <c r="L49" i="50" s="1"/>
  <c r="B49" i="53" s="1"/>
  <c r="E49" i="50"/>
  <c r="F49" i="50" s="1"/>
  <c r="H49" i="50" s="1"/>
  <c r="C49" i="50"/>
  <c r="N48" i="50"/>
  <c r="J48" i="50"/>
  <c r="L48" i="50" s="1"/>
  <c r="B48" i="53" s="1"/>
  <c r="E48" i="50"/>
  <c r="G48" i="50" s="1"/>
  <c r="C48" i="50"/>
  <c r="N47" i="50"/>
  <c r="J47" i="50"/>
  <c r="L47" i="50" s="1"/>
  <c r="B47" i="53" s="1"/>
  <c r="E47" i="50"/>
  <c r="G47" i="50" s="1"/>
  <c r="C47" i="50"/>
  <c r="N46" i="50"/>
  <c r="J46" i="50"/>
  <c r="L46" i="50" s="1"/>
  <c r="B46" i="53" s="1"/>
  <c r="E46" i="50"/>
  <c r="G46" i="50" s="1"/>
  <c r="C46" i="50"/>
  <c r="N45" i="50"/>
  <c r="J45" i="50"/>
  <c r="L45" i="50" s="1"/>
  <c r="B45" i="53" s="1"/>
  <c r="E45" i="50"/>
  <c r="F45" i="50" s="1"/>
  <c r="H45" i="50" s="1"/>
  <c r="C45" i="50"/>
  <c r="N44" i="50"/>
  <c r="J44" i="50"/>
  <c r="L44" i="50" s="1"/>
  <c r="B44" i="53" s="1"/>
  <c r="E44" i="50"/>
  <c r="G44" i="50" s="1"/>
  <c r="C44" i="50"/>
  <c r="N43" i="50"/>
  <c r="J43" i="50"/>
  <c r="L43" i="50" s="1"/>
  <c r="B43" i="53" s="1"/>
  <c r="F43" i="53" s="1"/>
  <c r="E43" i="50"/>
  <c r="G43" i="50" s="1"/>
  <c r="C43" i="50"/>
  <c r="N42" i="50"/>
  <c r="J42" i="50"/>
  <c r="L42" i="50" s="1"/>
  <c r="B42" i="53" s="1"/>
  <c r="E42" i="50"/>
  <c r="G42" i="50" s="1"/>
  <c r="C42" i="50"/>
  <c r="N41" i="50"/>
  <c r="J41" i="50"/>
  <c r="L41" i="50" s="1"/>
  <c r="B41" i="53" s="1"/>
  <c r="F41" i="53" s="1"/>
  <c r="E41" i="50"/>
  <c r="F41" i="50" s="1"/>
  <c r="H41" i="50" s="1"/>
  <c r="C41" i="50"/>
  <c r="N40" i="50"/>
  <c r="J40" i="50"/>
  <c r="L40" i="50" s="1"/>
  <c r="B40" i="53" s="1"/>
  <c r="E40" i="50"/>
  <c r="G40" i="50" s="1"/>
  <c r="C40" i="50"/>
  <c r="N39" i="50"/>
  <c r="J39" i="50"/>
  <c r="L39" i="50" s="1"/>
  <c r="B39" i="53" s="1"/>
  <c r="F39" i="53" s="1"/>
  <c r="E39" i="50"/>
  <c r="G39" i="50" s="1"/>
  <c r="C39" i="50"/>
  <c r="N38" i="50"/>
  <c r="J38" i="50"/>
  <c r="L38" i="50" s="1"/>
  <c r="B38" i="53" s="1"/>
  <c r="E38" i="50"/>
  <c r="G38" i="50" s="1"/>
  <c r="C38" i="50"/>
  <c r="N37" i="50"/>
  <c r="J37" i="50"/>
  <c r="L37" i="50" s="1"/>
  <c r="B37" i="53" s="1"/>
  <c r="F37" i="53" s="1"/>
  <c r="E37" i="50"/>
  <c r="G37" i="50" s="1"/>
  <c r="C37" i="50"/>
  <c r="N36" i="50"/>
  <c r="J36" i="50"/>
  <c r="L36" i="50" s="1"/>
  <c r="B36" i="53" s="1"/>
  <c r="E36" i="50"/>
  <c r="G36" i="50" s="1"/>
  <c r="C36" i="50"/>
  <c r="N35" i="50"/>
  <c r="J35" i="50"/>
  <c r="L35" i="50" s="1"/>
  <c r="B35" i="53" s="1"/>
  <c r="F35" i="53" s="1"/>
  <c r="E35" i="50"/>
  <c r="G35" i="50" s="1"/>
  <c r="C35" i="50"/>
  <c r="N34" i="50"/>
  <c r="J34" i="50"/>
  <c r="L34" i="50" s="1"/>
  <c r="B34" i="53" s="1"/>
  <c r="E34" i="50"/>
  <c r="G34" i="50" s="1"/>
  <c r="C34" i="50"/>
  <c r="N33" i="50"/>
  <c r="J33" i="50"/>
  <c r="L33" i="50" s="1"/>
  <c r="B33" i="53" s="1"/>
  <c r="L33" i="53" s="1"/>
  <c r="E33" i="50"/>
  <c r="G33" i="50" s="1"/>
  <c r="C33" i="50"/>
  <c r="N32" i="50"/>
  <c r="J32" i="50"/>
  <c r="L32" i="50" s="1"/>
  <c r="B32" i="53" s="1"/>
  <c r="E32" i="50"/>
  <c r="G32" i="50" s="1"/>
  <c r="C32" i="50"/>
  <c r="N31" i="50"/>
  <c r="J31" i="50"/>
  <c r="L31" i="50" s="1"/>
  <c r="B31" i="53" s="1"/>
  <c r="L31" i="53" s="1"/>
  <c r="E31" i="50"/>
  <c r="G31" i="50" s="1"/>
  <c r="C31" i="50"/>
  <c r="N30" i="50"/>
  <c r="J30" i="50"/>
  <c r="L30" i="50" s="1"/>
  <c r="B30" i="53" s="1"/>
  <c r="E30" i="50"/>
  <c r="G30" i="50" s="1"/>
  <c r="C30" i="50"/>
  <c r="N29" i="50"/>
  <c r="J29" i="50"/>
  <c r="L29" i="50" s="1"/>
  <c r="B29" i="53" s="1"/>
  <c r="L29" i="53" s="1"/>
  <c r="E29" i="50"/>
  <c r="G29" i="50" s="1"/>
  <c r="C29" i="50"/>
  <c r="N28" i="50"/>
  <c r="J28" i="50"/>
  <c r="L28" i="50" s="1"/>
  <c r="B28" i="53" s="1"/>
  <c r="E28" i="50"/>
  <c r="G28" i="50" s="1"/>
  <c r="C28" i="50"/>
  <c r="N27" i="50"/>
  <c r="J27" i="50"/>
  <c r="L27" i="50" s="1"/>
  <c r="B27" i="53" s="1"/>
  <c r="L27" i="53" s="1"/>
  <c r="E27" i="50"/>
  <c r="G27" i="50" s="1"/>
  <c r="C27" i="50"/>
  <c r="N26" i="50"/>
  <c r="J26" i="50"/>
  <c r="L26" i="50" s="1"/>
  <c r="B26" i="53" s="1"/>
  <c r="E26" i="50"/>
  <c r="G26" i="50" s="1"/>
  <c r="C26" i="50"/>
  <c r="N25" i="50"/>
  <c r="J25" i="50"/>
  <c r="L25" i="50" s="1"/>
  <c r="B25" i="53" s="1"/>
  <c r="L25" i="53" s="1"/>
  <c r="E25" i="50"/>
  <c r="G25" i="50" s="1"/>
  <c r="C25" i="50"/>
  <c r="N24" i="50"/>
  <c r="J24" i="50"/>
  <c r="L24" i="50" s="1"/>
  <c r="B24" i="53" s="1"/>
  <c r="E24" i="50"/>
  <c r="G24" i="50" s="1"/>
  <c r="C24" i="50"/>
  <c r="N23" i="50"/>
  <c r="J23" i="50"/>
  <c r="L23" i="50" s="1"/>
  <c r="B23" i="53" s="1"/>
  <c r="L23" i="53" s="1"/>
  <c r="E23" i="50"/>
  <c r="G23" i="50" s="1"/>
  <c r="C23" i="50"/>
  <c r="N22" i="50"/>
  <c r="J22" i="50"/>
  <c r="L22" i="50" s="1"/>
  <c r="B22" i="53" s="1"/>
  <c r="E22" i="50"/>
  <c r="G22" i="50" s="1"/>
  <c r="C22" i="50"/>
  <c r="N21" i="50"/>
  <c r="J21" i="50"/>
  <c r="L21" i="50" s="1"/>
  <c r="B21" i="53" s="1"/>
  <c r="L21" i="53" s="1"/>
  <c r="E21" i="50"/>
  <c r="G21" i="50" s="1"/>
  <c r="C21" i="50"/>
  <c r="N20" i="50"/>
  <c r="J20" i="50"/>
  <c r="L20" i="50" s="1"/>
  <c r="B20" i="53" s="1"/>
  <c r="E20" i="50"/>
  <c r="G20" i="50" s="1"/>
  <c r="C20" i="50"/>
  <c r="N19" i="50"/>
  <c r="J19" i="50"/>
  <c r="L19" i="50" s="1"/>
  <c r="B19" i="53" s="1"/>
  <c r="L19" i="53" s="1"/>
  <c r="E19" i="50"/>
  <c r="G19" i="50" s="1"/>
  <c r="C19" i="50"/>
  <c r="N18" i="50"/>
  <c r="J18" i="50"/>
  <c r="L18" i="50" s="1"/>
  <c r="B18" i="53" s="1"/>
  <c r="E18" i="50"/>
  <c r="G18" i="50" s="1"/>
  <c r="C18" i="50"/>
  <c r="N17" i="50"/>
  <c r="J17" i="50"/>
  <c r="L17" i="50" s="1"/>
  <c r="B17" i="53" s="1"/>
  <c r="L17" i="53" s="1"/>
  <c r="E17" i="50"/>
  <c r="G17" i="50" s="1"/>
  <c r="C17" i="50"/>
  <c r="N16" i="50"/>
  <c r="J16" i="50"/>
  <c r="L16" i="50" s="1"/>
  <c r="B16" i="53" s="1"/>
  <c r="I16" i="53" s="1"/>
  <c r="E16" i="50"/>
  <c r="G16" i="50" s="1"/>
  <c r="C16" i="50"/>
  <c r="N15" i="50"/>
  <c r="J15" i="50"/>
  <c r="L15" i="50" s="1"/>
  <c r="B15" i="53" s="1"/>
  <c r="C15" i="53" s="1"/>
  <c r="E15" i="50"/>
  <c r="G15" i="50" s="1"/>
  <c r="C15" i="50"/>
  <c r="N14" i="50"/>
  <c r="J14" i="50"/>
  <c r="L14" i="50" s="1"/>
  <c r="B14" i="53" s="1"/>
  <c r="F14" i="53" s="1"/>
  <c r="E14" i="50"/>
  <c r="C14" i="50"/>
  <c r="N13" i="50"/>
  <c r="J13" i="50"/>
  <c r="L13" i="50" s="1"/>
  <c r="B13" i="53" s="1"/>
  <c r="L13" i="53" s="1"/>
  <c r="E13" i="50"/>
  <c r="G13" i="50" s="1"/>
  <c r="C13" i="50"/>
  <c r="N12" i="50"/>
  <c r="J12" i="50"/>
  <c r="L12" i="50" s="1"/>
  <c r="B12" i="53" s="1"/>
  <c r="E12" i="50"/>
  <c r="G12" i="50" s="1"/>
  <c r="C12" i="50"/>
  <c r="N11" i="50"/>
  <c r="J11" i="50"/>
  <c r="L11" i="50" s="1"/>
  <c r="B11" i="53" s="1"/>
  <c r="L11" i="53" s="1"/>
  <c r="E11" i="50"/>
  <c r="G11" i="50" s="1"/>
  <c r="C11" i="50"/>
  <c r="N10" i="50"/>
  <c r="J10" i="50"/>
  <c r="L10" i="50" s="1"/>
  <c r="B10" i="53" s="1"/>
  <c r="E10" i="50"/>
  <c r="G10" i="50" s="1"/>
  <c r="C10" i="50"/>
  <c r="N9" i="50"/>
  <c r="J9" i="50"/>
  <c r="L9" i="50" s="1"/>
  <c r="B9" i="53" s="1"/>
  <c r="L9" i="53" s="1"/>
  <c r="E9" i="50"/>
  <c r="G9" i="50" s="1"/>
  <c r="C9" i="50"/>
  <c r="N8" i="50"/>
  <c r="J8" i="50"/>
  <c r="L8" i="50" s="1"/>
  <c r="B8" i="53" s="1"/>
  <c r="E8" i="50"/>
  <c r="G8" i="50" s="1"/>
  <c r="N7" i="50"/>
  <c r="J7" i="50"/>
  <c r="E7" i="50"/>
  <c r="G7" i="50" s="1"/>
  <c r="N6" i="50"/>
  <c r="J6" i="50"/>
  <c r="E6" i="50"/>
  <c r="N5" i="50"/>
  <c r="J5" i="50"/>
  <c r="L5" i="50"/>
  <c r="B5" i="53" s="1"/>
  <c r="F5" i="53" s="1"/>
  <c r="E5" i="50"/>
  <c r="G5" i="50" s="1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C6" i="44"/>
  <c r="C3" i="41"/>
  <c r="B4" i="41"/>
  <c r="B5" i="41" s="1"/>
  <c r="B6" i="41" s="1"/>
  <c r="B7" i="41" s="1"/>
  <c r="B8" i="41" s="1"/>
  <c r="B9" i="41" s="1"/>
  <c r="B10" i="41" s="1"/>
  <c r="B11" i="41" s="1"/>
  <c r="B12" i="41" s="1"/>
  <c r="B13" i="41" s="1"/>
  <c r="B14" i="41" s="1"/>
  <c r="B15" i="41" s="1"/>
  <c r="B16" i="41" s="1"/>
  <c r="B17" i="41" s="1"/>
  <c r="B18" i="41" s="1"/>
  <c r="B19" i="41" s="1"/>
  <c r="B20" i="41" s="1"/>
  <c r="B21" i="41" s="1"/>
  <c r="B22" i="41" s="1"/>
  <c r="B23" i="41" s="1"/>
  <c r="B24" i="41" s="1"/>
  <c r="B25" i="41" s="1"/>
  <c r="B26" i="41" s="1"/>
  <c r="B27" i="41" s="1"/>
  <c r="B28" i="41" s="1"/>
  <c r="B29" i="41" s="1"/>
  <c r="B30" i="41" s="1"/>
  <c r="B31" i="41" s="1"/>
  <c r="B32" i="41" s="1"/>
  <c r="B33" i="41" s="1"/>
  <c r="B34" i="41" s="1"/>
  <c r="B35" i="41" s="1"/>
  <c r="B36" i="41" s="1"/>
  <c r="B37" i="41" s="1"/>
  <c r="B38" i="41" s="1"/>
  <c r="B39" i="41" s="1"/>
  <c r="B40" i="41" s="1"/>
  <c r="B41" i="41" s="1"/>
  <c r="B42" i="41" s="1"/>
  <c r="B43" i="41" s="1"/>
  <c r="B44" i="41" s="1"/>
  <c r="B45" i="41" s="1"/>
  <c r="B46" i="41" s="1"/>
  <c r="B47" i="41" s="1"/>
  <c r="B48" i="41" s="1"/>
  <c r="B49" i="41" s="1"/>
  <c r="B50" i="41" s="1"/>
  <c r="B51" i="41" s="1"/>
  <c r="B52" i="41" s="1"/>
  <c r="B53" i="41" s="1"/>
  <c r="B54" i="41" s="1"/>
  <c r="B55" i="41" s="1"/>
  <c r="B56" i="41" s="1"/>
  <c r="B57" i="41" s="1"/>
  <c r="B58" i="41" s="1"/>
  <c r="B59" i="41" s="1"/>
  <c r="B60" i="41" s="1"/>
  <c r="B61" i="41" s="1"/>
  <c r="B62" i="41" s="1"/>
  <c r="A15" i="41"/>
  <c r="A27" i="41" s="1"/>
  <c r="A39" i="41" s="1"/>
  <c r="A51" i="41" s="1"/>
  <c r="F3" i="22"/>
  <c r="H3" i="22" s="1"/>
  <c r="B4" i="22"/>
  <c r="B5" i="22" s="1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A67" i="43"/>
  <c r="A68" i="43"/>
  <c r="A69" i="43"/>
  <c r="A70" i="43"/>
  <c r="A71" i="43"/>
  <c r="A72" i="43"/>
  <c r="A73" i="43"/>
  <c r="A74" i="43"/>
  <c r="A75" i="43"/>
  <c r="A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A89" i="43"/>
  <c r="A90" i="43"/>
  <c r="A91" i="43"/>
  <c r="A92" i="43"/>
  <c r="A93" i="43"/>
  <c r="A94" i="43"/>
  <c r="A95" i="43"/>
  <c r="A96" i="43"/>
  <c r="A97" i="43"/>
  <c r="A98" i="43"/>
  <c r="A99" i="43"/>
  <c r="A100" i="43"/>
  <c r="A101" i="43"/>
  <c r="A102" i="43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F27" i="23"/>
  <c r="F28" i="23" s="1"/>
  <c r="G20" i="23"/>
  <c r="I20" i="23"/>
  <c r="K20" i="23"/>
  <c r="L20" i="23"/>
  <c r="C24" i="23"/>
  <c r="C3" i="49"/>
  <c r="B4" i="49"/>
  <c r="B5" i="49" s="1"/>
  <c r="B6" i="49" s="1"/>
  <c r="B7" i="49" s="1"/>
  <c r="B8" i="49" s="1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B33" i="49" s="1"/>
  <c r="B34" i="49" s="1"/>
  <c r="B35" i="49" s="1"/>
  <c r="B36" i="49" s="1"/>
  <c r="B37" i="49" s="1"/>
  <c r="B38" i="49" s="1"/>
  <c r="B39" i="49" s="1"/>
  <c r="B40" i="49" s="1"/>
  <c r="B41" i="49" s="1"/>
  <c r="B42" i="49" s="1"/>
  <c r="B43" i="49" s="1"/>
  <c r="B44" i="49" s="1"/>
  <c r="B45" i="49" s="1"/>
  <c r="B46" i="49" s="1"/>
  <c r="B47" i="49" s="1"/>
  <c r="B48" i="49" s="1"/>
  <c r="B49" i="49" s="1"/>
  <c r="B50" i="49" s="1"/>
  <c r="B51" i="49" s="1"/>
  <c r="B52" i="49" s="1"/>
  <c r="B53" i="49" s="1"/>
  <c r="B54" i="49" s="1"/>
  <c r="B55" i="49" s="1"/>
  <c r="B56" i="49" s="1"/>
  <c r="B57" i="49" s="1"/>
  <c r="B58" i="49" s="1"/>
  <c r="B59" i="49" s="1"/>
  <c r="B60" i="49" s="1"/>
  <c r="B61" i="49" s="1"/>
  <c r="B62" i="49" s="1"/>
  <c r="B63" i="49" s="1"/>
  <c r="B64" i="49" s="1"/>
  <c r="B65" i="49" s="1"/>
  <c r="B66" i="49" s="1"/>
  <c r="B67" i="49" s="1"/>
  <c r="B68" i="49" s="1"/>
  <c r="B69" i="49" s="1"/>
  <c r="B70" i="49" s="1"/>
  <c r="B71" i="49" s="1"/>
  <c r="B72" i="49" s="1"/>
  <c r="B73" i="49" s="1"/>
  <c r="B74" i="49" s="1"/>
  <c r="B75" i="49" s="1"/>
  <c r="B76" i="49" s="1"/>
  <c r="B77" i="49" s="1"/>
  <c r="B78" i="49" s="1"/>
  <c r="B79" i="49" s="1"/>
  <c r="B80" i="49" s="1"/>
  <c r="B81" i="49" s="1"/>
  <c r="B82" i="49" s="1"/>
  <c r="B83" i="49" s="1"/>
  <c r="B84" i="49" s="1"/>
  <c r="B85" i="49" s="1"/>
  <c r="B86" i="49" s="1"/>
  <c r="B87" i="49" s="1"/>
  <c r="B88" i="49" s="1"/>
  <c r="B89" i="49" s="1"/>
  <c r="B90" i="49" s="1"/>
  <c r="B91" i="49" s="1"/>
  <c r="B92" i="49" s="1"/>
  <c r="B93" i="49" s="1"/>
  <c r="B94" i="49" s="1"/>
  <c r="B95" i="49" s="1"/>
  <c r="B96" i="49" s="1"/>
  <c r="B97" i="49" s="1"/>
  <c r="B98" i="49" s="1"/>
  <c r="B99" i="49" s="1"/>
  <c r="B100" i="49" s="1"/>
  <c r="B101" i="49" s="1"/>
  <c r="B102" i="49" s="1"/>
  <c r="C4" i="49"/>
  <c r="C5" i="49"/>
  <c r="C6" i="49"/>
  <c r="C7" i="49"/>
  <c r="C8" i="49"/>
  <c r="C9" i="49"/>
  <c r="C10" i="49"/>
  <c r="C11" i="49"/>
  <c r="C12" i="49"/>
  <c r="C13" i="49"/>
  <c r="N13" i="49"/>
  <c r="C14" i="49"/>
  <c r="C15" i="49"/>
  <c r="C16" i="49"/>
  <c r="C17" i="49"/>
  <c r="C18" i="49"/>
  <c r="C19" i="49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B5" i="48" s="1"/>
  <c r="B6" i="48" s="1"/>
  <c r="B7" i="48" s="1"/>
  <c r="B8" i="48" s="1"/>
  <c r="B9" i="48" s="1"/>
  <c r="B10" i="48" s="1"/>
  <c r="B11" i="48" s="1"/>
  <c r="B12" i="48" s="1"/>
  <c r="B13" i="48" s="1"/>
  <c r="B14" i="48" s="1"/>
  <c r="B15" i="48" s="1"/>
  <c r="B16" i="48" s="1"/>
  <c r="B17" i="48" s="1"/>
  <c r="B18" i="48" s="1"/>
  <c r="B19" i="48" s="1"/>
  <c r="B20" i="48" s="1"/>
  <c r="B21" i="48" s="1"/>
  <c r="B22" i="48" s="1"/>
  <c r="B23" i="48" s="1"/>
  <c r="B24" i="48" s="1"/>
  <c r="B25" i="48" s="1"/>
  <c r="B26" i="48" s="1"/>
  <c r="B27" i="48" s="1"/>
  <c r="B28" i="48" s="1"/>
  <c r="B29" i="48" s="1"/>
  <c r="B30" i="48" s="1"/>
  <c r="B31" i="48" s="1"/>
  <c r="B32" i="48" s="1"/>
  <c r="B33" i="48" s="1"/>
  <c r="B34" i="48" s="1"/>
  <c r="B35" i="48" s="1"/>
  <c r="B36" i="48" s="1"/>
  <c r="B37" i="48" s="1"/>
  <c r="B38" i="48" s="1"/>
  <c r="B39" i="48" s="1"/>
  <c r="B40" i="48" s="1"/>
  <c r="B41" i="48" s="1"/>
  <c r="B42" i="48" s="1"/>
  <c r="B43" i="48" s="1"/>
  <c r="B44" i="48" s="1"/>
  <c r="B45" i="48" s="1"/>
  <c r="B46" i="48" s="1"/>
  <c r="B47" i="48" s="1"/>
  <c r="B48" i="48" s="1"/>
  <c r="B49" i="48" s="1"/>
  <c r="B50" i="48" s="1"/>
  <c r="B51" i="48" s="1"/>
  <c r="B52" i="48" s="1"/>
  <c r="B53" i="48" s="1"/>
  <c r="B54" i="48" s="1"/>
  <c r="B55" i="48" s="1"/>
  <c r="B56" i="48" s="1"/>
  <c r="B57" i="48" s="1"/>
  <c r="B58" i="48" s="1"/>
  <c r="B59" i="48" s="1"/>
  <c r="B60" i="48" s="1"/>
  <c r="B61" i="48" s="1"/>
  <c r="B62" i="48" s="1"/>
  <c r="B63" i="48" s="1"/>
  <c r="B64" i="48" s="1"/>
  <c r="B65" i="48" s="1"/>
  <c r="B66" i="48" s="1"/>
  <c r="B67" i="48" s="1"/>
  <c r="B68" i="48" s="1"/>
  <c r="B69" i="48" s="1"/>
  <c r="B70" i="48" s="1"/>
  <c r="B71" i="48" s="1"/>
  <c r="B72" i="48" s="1"/>
  <c r="B73" i="48" s="1"/>
  <c r="B74" i="48" s="1"/>
  <c r="B75" i="48" s="1"/>
  <c r="B76" i="48" s="1"/>
  <c r="B77" i="48" s="1"/>
  <c r="B78" i="48" s="1"/>
  <c r="B79" i="48" s="1"/>
  <c r="B80" i="48" s="1"/>
  <c r="B81" i="48" s="1"/>
  <c r="B82" i="48" s="1"/>
  <c r="B83" i="48" s="1"/>
  <c r="B84" i="48" s="1"/>
  <c r="B85" i="48" s="1"/>
  <c r="B86" i="48" s="1"/>
  <c r="B87" i="48" s="1"/>
  <c r="B88" i="48" s="1"/>
  <c r="B89" i="48" s="1"/>
  <c r="B90" i="48" s="1"/>
  <c r="B91" i="48" s="1"/>
  <c r="B92" i="48" s="1"/>
  <c r="B93" i="48" s="1"/>
  <c r="B94" i="48" s="1"/>
  <c r="B95" i="48" s="1"/>
  <c r="B96" i="48" s="1"/>
  <c r="B97" i="48" s="1"/>
  <c r="B98" i="48" s="1"/>
  <c r="B99" i="48" s="1"/>
  <c r="B100" i="48" s="1"/>
  <c r="B101" i="48" s="1"/>
  <c r="B102" i="48" s="1"/>
  <c r="B103" i="48" s="1"/>
  <c r="F4" i="48"/>
  <c r="G4" i="48"/>
  <c r="G5" i="48" s="1"/>
  <c r="F5" i="48"/>
  <c r="F6" i="48"/>
  <c r="F7" i="48"/>
  <c r="F8" i="48"/>
  <c r="F9" i="48"/>
  <c r="F10" i="48"/>
  <c r="F11" i="48"/>
  <c r="F12" i="48"/>
  <c r="F13" i="48"/>
  <c r="F14" i="48"/>
  <c r="F15" i="48"/>
  <c r="F16" i="48"/>
  <c r="F17" i="48"/>
  <c r="F18" i="48"/>
  <c r="F19" i="48"/>
  <c r="F20" i="48"/>
  <c r="F21" i="48"/>
  <c r="F22" i="48"/>
  <c r="F23" i="48"/>
  <c r="F24" i="48"/>
  <c r="G24" i="48"/>
  <c r="F25" i="48"/>
  <c r="G25" i="48"/>
  <c r="F26" i="48"/>
  <c r="G26" i="48"/>
  <c r="F27" i="48"/>
  <c r="G27" i="48"/>
  <c r="F28" i="48"/>
  <c r="G28" i="48"/>
  <c r="F29" i="48"/>
  <c r="G29" i="48"/>
  <c r="F30" i="48"/>
  <c r="G30" i="48"/>
  <c r="F31" i="48"/>
  <c r="G31" i="48"/>
  <c r="F32" i="48"/>
  <c r="G32" i="48"/>
  <c r="F33" i="48"/>
  <c r="G33" i="48"/>
  <c r="F34" i="48"/>
  <c r="G34" i="48"/>
  <c r="F35" i="48"/>
  <c r="G35" i="48"/>
  <c r="F36" i="48"/>
  <c r="G36" i="48"/>
  <c r="F37" i="48"/>
  <c r="G37" i="48"/>
  <c r="F38" i="48"/>
  <c r="G38" i="48"/>
  <c r="F39" i="48"/>
  <c r="G39" i="48"/>
  <c r="F40" i="48"/>
  <c r="G40" i="48"/>
  <c r="F41" i="48"/>
  <c r="G41" i="48"/>
  <c r="F42" i="48"/>
  <c r="G42" i="48"/>
  <c r="F43" i="48"/>
  <c r="G43" i="48"/>
  <c r="F44" i="48"/>
  <c r="G44" i="48"/>
  <c r="F45" i="48"/>
  <c r="G45" i="48"/>
  <c r="F46" i="48"/>
  <c r="G46" i="48"/>
  <c r="F47" i="48"/>
  <c r="G47" i="48"/>
  <c r="F48" i="48"/>
  <c r="G48" i="48"/>
  <c r="F49" i="48"/>
  <c r="G49" i="48"/>
  <c r="F50" i="48"/>
  <c r="G50" i="48"/>
  <c r="F51" i="48"/>
  <c r="G51" i="48"/>
  <c r="F52" i="48"/>
  <c r="G52" i="48"/>
  <c r="F53" i="48"/>
  <c r="G53" i="48"/>
  <c r="F54" i="48"/>
  <c r="G54" i="48"/>
  <c r="F55" i="48"/>
  <c r="G55" i="48"/>
  <c r="F56" i="48"/>
  <c r="G56" i="48"/>
  <c r="F57" i="48"/>
  <c r="G57" i="48"/>
  <c r="F58" i="48"/>
  <c r="G58" i="48"/>
  <c r="F59" i="48"/>
  <c r="G59" i="48"/>
  <c r="F60" i="48"/>
  <c r="G60" i="48"/>
  <c r="F61" i="48"/>
  <c r="G61" i="48"/>
  <c r="F62" i="48"/>
  <c r="G62" i="48"/>
  <c r="F63" i="48"/>
  <c r="G63" i="48"/>
  <c r="F64" i="48"/>
  <c r="G64" i="48"/>
  <c r="F65" i="48"/>
  <c r="G65" i="48"/>
  <c r="F66" i="48"/>
  <c r="G66" i="48"/>
  <c r="F67" i="48"/>
  <c r="G67" i="48"/>
  <c r="F68" i="48"/>
  <c r="G68" i="48"/>
  <c r="F69" i="48"/>
  <c r="G69" i="48"/>
  <c r="F70" i="48"/>
  <c r="G70" i="48"/>
  <c r="F71" i="48"/>
  <c r="G71" i="48"/>
  <c r="F72" i="48"/>
  <c r="G72" i="48"/>
  <c r="F73" i="48"/>
  <c r="G73" i="48"/>
  <c r="F74" i="48"/>
  <c r="G74" i="48"/>
  <c r="F75" i="48"/>
  <c r="G75" i="48"/>
  <c r="F76" i="48"/>
  <c r="G76" i="48"/>
  <c r="F77" i="48"/>
  <c r="G77" i="48"/>
  <c r="F78" i="48"/>
  <c r="G78" i="48"/>
  <c r="F79" i="48"/>
  <c r="G79" i="48"/>
  <c r="F80" i="48"/>
  <c r="G80" i="48"/>
  <c r="F81" i="48"/>
  <c r="G81" i="48"/>
  <c r="F82" i="48"/>
  <c r="G82" i="48"/>
  <c r="F83" i="48"/>
  <c r="G83" i="48"/>
  <c r="F84" i="48"/>
  <c r="G84" i="48"/>
  <c r="F85" i="48"/>
  <c r="G85" i="48"/>
  <c r="F86" i="48"/>
  <c r="G86" i="48"/>
  <c r="F87" i="48"/>
  <c r="G87" i="48"/>
  <c r="F88" i="48"/>
  <c r="G88" i="48"/>
  <c r="F89" i="48"/>
  <c r="G89" i="48"/>
  <c r="F90" i="48"/>
  <c r="G90" i="48"/>
  <c r="F91" i="48"/>
  <c r="G91" i="48"/>
  <c r="F92" i="48"/>
  <c r="G92" i="48"/>
  <c r="F93" i="48"/>
  <c r="G93" i="48"/>
  <c r="F94" i="48"/>
  <c r="G94" i="48"/>
  <c r="F95" i="48"/>
  <c r="G95" i="48"/>
  <c r="F96" i="48"/>
  <c r="G96" i="48"/>
  <c r="F97" i="48"/>
  <c r="G97" i="48"/>
  <c r="F98" i="48"/>
  <c r="G98" i="48"/>
  <c r="F99" i="48"/>
  <c r="G99" i="48"/>
  <c r="F100" i="48"/>
  <c r="G100" i="48"/>
  <c r="F101" i="48"/>
  <c r="G101" i="48"/>
  <c r="F102" i="48"/>
  <c r="G102" i="48"/>
  <c r="F103" i="48"/>
  <c r="G103" i="48"/>
  <c r="E6" i="40"/>
  <c r="J3" i="44" s="1"/>
  <c r="L20" i="40"/>
  <c r="N20" i="40"/>
  <c r="E7" i="40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R13" i="31"/>
  <c r="E14" i="31"/>
  <c r="I14" i="31" s="1"/>
  <c r="J14" i="31" s="1"/>
  <c r="K14" i="31" s="1"/>
  <c r="E15" i="31"/>
  <c r="I15" i="31" s="1"/>
  <c r="J15" i="31" s="1"/>
  <c r="K15" i="31" s="1"/>
  <c r="E16" i="31"/>
  <c r="I16" i="31" s="1"/>
  <c r="R16" i="31"/>
  <c r="E17" i="31"/>
  <c r="R17" i="31"/>
  <c r="E18" i="31"/>
  <c r="I18" i="31" s="1"/>
  <c r="J18" i="31" s="1"/>
  <c r="K18" i="31" s="1"/>
  <c r="E19" i="31"/>
  <c r="I19" i="31" s="1"/>
  <c r="J19" i="31" s="1"/>
  <c r="K19" i="31" s="1"/>
  <c r="E20" i="31"/>
  <c r="R20" i="31"/>
  <c r="E21" i="31"/>
  <c r="E22" i="31"/>
  <c r="E23" i="31"/>
  <c r="H23" i="31" s="1"/>
  <c r="E24" i="31"/>
  <c r="R24" i="31"/>
  <c r="E25" i="31"/>
  <c r="R25" i="31"/>
  <c r="E26" i="31"/>
  <c r="H26" i="31" s="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 s="1"/>
  <c r="J30" i="31" s="1"/>
  <c r="K30" i="31" s="1"/>
  <c r="R30" i="31"/>
  <c r="E31" i="31"/>
  <c r="D31" i="31" s="1"/>
  <c r="E32" i="3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12" i="31"/>
  <c r="I12" i="31"/>
  <c r="J12" i="31" s="1"/>
  <c r="K12" i="31" s="1"/>
  <c r="K3" i="50"/>
  <c r="M3" i="50" s="1"/>
  <c r="K4" i="50"/>
  <c r="M4" i="50" s="1"/>
  <c r="F4" i="50"/>
  <c r="H4" i="50" s="1"/>
  <c r="K5" i="50"/>
  <c r="M5" i="50" s="1"/>
  <c r="F7" i="50"/>
  <c r="H7" i="50" s="1"/>
  <c r="K8" i="50"/>
  <c r="M8" i="50" s="1"/>
  <c r="F8" i="50"/>
  <c r="H8" i="50" s="1"/>
  <c r="L22" i="40"/>
  <c r="N22" i="40"/>
  <c r="O22" i="40"/>
  <c r="O20" i="40"/>
  <c r="L21" i="40"/>
  <c r="N21" i="40"/>
  <c r="O21" i="40"/>
  <c r="O18" i="40"/>
  <c r="O19" i="40"/>
  <c r="N53" i="42"/>
  <c r="F31" i="42"/>
  <c r="H31" i="42" s="1"/>
  <c r="C5" i="53"/>
  <c r="I8" i="53"/>
  <c r="C8" i="53"/>
  <c r="F8" i="53"/>
  <c r="K8" i="53"/>
  <c r="D9" i="53"/>
  <c r="G9" i="53" s="1"/>
  <c r="H9" i="53"/>
  <c r="J9" i="53" s="1"/>
  <c r="I10" i="53"/>
  <c r="C10" i="53"/>
  <c r="F10" i="53"/>
  <c r="K10" i="53"/>
  <c r="D11" i="53"/>
  <c r="H11" i="53"/>
  <c r="J11" i="53" s="1"/>
  <c r="I12" i="53"/>
  <c r="C12" i="53"/>
  <c r="F12" i="53"/>
  <c r="K12" i="53"/>
  <c r="D13" i="53"/>
  <c r="E13" i="53" s="1"/>
  <c r="H13" i="53"/>
  <c r="J13" i="53" s="1"/>
  <c r="I14" i="53"/>
  <c r="H15" i="53"/>
  <c r="J15" i="53" s="1"/>
  <c r="D17" i="53"/>
  <c r="H17" i="53"/>
  <c r="J17" i="53" s="1"/>
  <c r="I18" i="53"/>
  <c r="C18" i="53"/>
  <c r="F18" i="53"/>
  <c r="K18" i="53"/>
  <c r="D19" i="53"/>
  <c r="H19" i="53"/>
  <c r="J19" i="53" s="1"/>
  <c r="I20" i="53"/>
  <c r="C20" i="53"/>
  <c r="F20" i="53"/>
  <c r="K20" i="53"/>
  <c r="D21" i="53"/>
  <c r="E21" i="53" s="1"/>
  <c r="H21" i="53"/>
  <c r="J21" i="53" s="1"/>
  <c r="I22" i="53"/>
  <c r="C22" i="53"/>
  <c r="F22" i="53"/>
  <c r="K22" i="53"/>
  <c r="D23" i="53"/>
  <c r="G23" i="53" s="1"/>
  <c r="H23" i="53"/>
  <c r="J23" i="53" s="1"/>
  <c r="I24" i="53"/>
  <c r="C24" i="53"/>
  <c r="F24" i="53"/>
  <c r="K24" i="53"/>
  <c r="D25" i="53"/>
  <c r="G25" i="53" s="1"/>
  <c r="H25" i="53"/>
  <c r="J25" i="53" s="1"/>
  <c r="I26" i="53"/>
  <c r="C26" i="53"/>
  <c r="F26" i="53"/>
  <c r="K26" i="53"/>
  <c r="D27" i="53"/>
  <c r="G27" i="53" s="1"/>
  <c r="H27" i="53"/>
  <c r="J27" i="53" s="1"/>
  <c r="I28" i="53"/>
  <c r="C28" i="53"/>
  <c r="F28" i="53"/>
  <c r="K28" i="53"/>
  <c r="D29" i="53"/>
  <c r="E29" i="53" s="1"/>
  <c r="H29" i="53"/>
  <c r="J29" i="53" s="1"/>
  <c r="D31" i="53"/>
  <c r="G31" i="53" s="1"/>
  <c r="H31" i="53"/>
  <c r="J31" i="53" s="1"/>
  <c r="I32" i="53"/>
  <c r="C32" i="53"/>
  <c r="F32" i="53"/>
  <c r="K32" i="53"/>
  <c r="D33" i="53"/>
  <c r="H33" i="53"/>
  <c r="J33" i="53" s="1"/>
  <c r="I34" i="53"/>
  <c r="C34" i="53"/>
  <c r="F34" i="53"/>
  <c r="K34" i="53"/>
  <c r="I37" i="53"/>
  <c r="C37" i="53"/>
  <c r="L37" i="53"/>
  <c r="H37" i="53"/>
  <c r="J37" i="53" s="1"/>
  <c r="D37" i="53"/>
  <c r="G37" i="53" s="1"/>
  <c r="K37" i="53"/>
  <c r="I41" i="53"/>
  <c r="C41" i="53"/>
  <c r="L41" i="53"/>
  <c r="H41" i="53"/>
  <c r="J41" i="53" s="1"/>
  <c r="D41" i="53"/>
  <c r="K41" i="53"/>
  <c r="I45" i="53"/>
  <c r="C45" i="53"/>
  <c r="H45" i="53"/>
  <c r="J45" i="53" s="1"/>
  <c r="D45" i="53"/>
  <c r="I49" i="53"/>
  <c r="C49" i="53"/>
  <c r="L49" i="53"/>
  <c r="H49" i="53"/>
  <c r="J49" i="53" s="1"/>
  <c r="D49" i="53"/>
  <c r="E49" i="53" s="1"/>
  <c r="K49" i="53"/>
  <c r="D5" i="53"/>
  <c r="E5" i="53" s="1"/>
  <c r="I9" i="53"/>
  <c r="C9" i="53"/>
  <c r="F9" i="53"/>
  <c r="K9" i="53"/>
  <c r="I11" i="53"/>
  <c r="C11" i="53"/>
  <c r="F11" i="53"/>
  <c r="K11" i="53"/>
  <c r="I13" i="53"/>
  <c r="C13" i="53"/>
  <c r="F13" i="53"/>
  <c r="K13" i="53"/>
  <c r="K15" i="53"/>
  <c r="I17" i="53"/>
  <c r="C17" i="53"/>
  <c r="F17" i="53"/>
  <c r="K17" i="53"/>
  <c r="I19" i="53"/>
  <c r="C19" i="53"/>
  <c r="F19" i="53"/>
  <c r="K19" i="53"/>
  <c r="I21" i="53"/>
  <c r="C21" i="53"/>
  <c r="F21" i="53"/>
  <c r="K21" i="53"/>
  <c r="I23" i="53"/>
  <c r="C23" i="53"/>
  <c r="F23" i="53"/>
  <c r="K23" i="53"/>
  <c r="I25" i="53"/>
  <c r="C25" i="53"/>
  <c r="F25" i="53"/>
  <c r="K25" i="53"/>
  <c r="I27" i="53"/>
  <c r="C27" i="53"/>
  <c r="F27" i="53"/>
  <c r="K27" i="53"/>
  <c r="I29" i="53"/>
  <c r="C29" i="53"/>
  <c r="F29" i="53"/>
  <c r="K29" i="53"/>
  <c r="I31" i="53"/>
  <c r="C31" i="53"/>
  <c r="F31" i="53"/>
  <c r="K31" i="53"/>
  <c r="I33" i="53"/>
  <c r="C33" i="53"/>
  <c r="F33" i="53"/>
  <c r="K33" i="53"/>
  <c r="I35" i="53"/>
  <c r="C35" i="53"/>
  <c r="L35" i="53"/>
  <c r="H35" i="53"/>
  <c r="J35" i="53" s="1"/>
  <c r="D35" i="53"/>
  <c r="E35" i="53" s="1"/>
  <c r="K35" i="53"/>
  <c r="I39" i="53"/>
  <c r="C39" i="53"/>
  <c r="L39" i="53"/>
  <c r="H39" i="53"/>
  <c r="J39" i="53" s="1"/>
  <c r="D39" i="53"/>
  <c r="E39" i="53" s="1"/>
  <c r="K39" i="53"/>
  <c r="I43" i="53"/>
  <c r="C43" i="53"/>
  <c r="L43" i="53"/>
  <c r="H43" i="53"/>
  <c r="J43" i="53" s="1"/>
  <c r="D43" i="53"/>
  <c r="E43" i="53" s="1"/>
  <c r="K43" i="53"/>
  <c r="F49" i="53"/>
  <c r="I36" i="53"/>
  <c r="C36" i="53"/>
  <c r="F36" i="53"/>
  <c r="K36" i="53"/>
  <c r="I38" i="53"/>
  <c r="C38" i="53"/>
  <c r="F38" i="53"/>
  <c r="K38" i="53"/>
  <c r="I40" i="53"/>
  <c r="C40" i="53"/>
  <c r="F40" i="53"/>
  <c r="K40" i="53"/>
  <c r="I42" i="53"/>
  <c r="C42" i="53"/>
  <c r="F42" i="53"/>
  <c r="K42" i="53"/>
  <c r="I44" i="53"/>
  <c r="C44" i="53"/>
  <c r="F44" i="53"/>
  <c r="K44" i="53"/>
  <c r="I46" i="53"/>
  <c r="C46" i="53"/>
  <c r="F46" i="53"/>
  <c r="K46" i="53"/>
  <c r="I48" i="53"/>
  <c r="C48" i="53"/>
  <c r="F48" i="53"/>
  <c r="K48" i="53"/>
  <c r="D51" i="53"/>
  <c r="E51" i="53" s="1"/>
  <c r="H51" i="53"/>
  <c r="J51" i="53" s="1"/>
  <c r="D53" i="53"/>
  <c r="E53" i="53" s="1"/>
  <c r="H53" i="53"/>
  <c r="J53" i="53" s="1"/>
  <c r="I54" i="53"/>
  <c r="C54" i="53"/>
  <c r="F54" i="53"/>
  <c r="K54" i="53"/>
  <c r="D55" i="53"/>
  <c r="E55" i="53" s="1"/>
  <c r="H55" i="53"/>
  <c r="J55" i="53" s="1"/>
  <c r="I56" i="53"/>
  <c r="C56" i="53"/>
  <c r="F56" i="53"/>
  <c r="K56" i="53"/>
  <c r="D57" i="53"/>
  <c r="G57" i="53" s="1"/>
  <c r="I61" i="53"/>
  <c r="C61" i="53"/>
  <c r="L61" i="53"/>
  <c r="H61" i="53"/>
  <c r="J61" i="53" s="1"/>
  <c r="D61" i="53"/>
  <c r="E61" i="53" s="1"/>
  <c r="K61" i="53"/>
  <c r="I69" i="53"/>
  <c r="C69" i="53"/>
  <c r="L69" i="53"/>
  <c r="H69" i="53"/>
  <c r="J69" i="53" s="1"/>
  <c r="D69" i="53"/>
  <c r="E69" i="53" s="1"/>
  <c r="K69" i="53"/>
  <c r="I73" i="53"/>
  <c r="C73" i="53"/>
  <c r="H73" i="53"/>
  <c r="J73" i="53" s="1"/>
  <c r="D73" i="53"/>
  <c r="K73" i="53"/>
  <c r="C77" i="53"/>
  <c r="L77" i="53"/>
  <c r="H77" i="53"/>
  <c r="J77" i="53" s="1"/>
  <c r="K77" i="53"/>
  <c r="I81" i="53"/>
  <c r="C81" i="53"/>
  <c r="H81" i="53"/>
  <c r="J81" i="53" s="1"/>
  <c r="D81" i="53"/>
  <c r="E81" i="53" s="1"/>
  <c r="K81" i="53"/>
  <c r="I85" i="53"/>
  <c r="C85" i="53"/>
  <c r="L85" i="53"/>
  <c r="H85" i="53"/>
  <c r="J85" i="53" s="1"/>
  <c r="D85" i="53"/>
  <c r="G85" i="53" s="1"/>
  <c r="K85" i="53"/>
  <c r="I51" i="53"/>
  <c r="C51" i="53"/>
  <c r="F51" i="53"/>
  <c r="K51" i="53"/>
  <c r="I53" i="53"/>
  <c r="C53" i="53"/>
  <c r="F53" i="53"/>
  <c r="K53" i="53"/>
  <c r="I55" i="53"/>
  <c r="C55" i="53"/>
  <c r="F55" i="53"/>
  <c r="K55" i="53"/>
  <c r="I57" i="53"/>
  <c r="L57" i="53"/>
  <c r="H57" i="53"/>
  <c r="J57" i="53" s="1"/>
  <c r="C57" i="53"/>
  <c r="F57" i="53"/>
  <c r="I59" i="53"/>
  <c r="C59" i="53"/>
  <c r="L59" i="53"/>
  <c r="H59" i="53"/>
  <c r="J59" i="53" s="1"/>
  <c r="D59" i="53"/>
  <c r="E59" i="53" s="1"/>
  <c r="K59" i="53"/>
  <c r="I63" i="53"/>
  <c r="C63" i="53"/>
  <c r="L63" i="53"/>
  <c r="H63" i="53"/>
  <c r="J63" i="53" s="1"/>
  <c r="D63" i="53"/>
  <c r="K63" i="53"/>
  <c r="I67" i="53"/>
  <c r="C67" i="53"/>
  <c r="L67" i="53"/>
  <c r="H67" i="53"/>
  <c r="J67" i="53" s="1"/>
  <c r="D67" i="53"/>
  <c r="E67" i="53" s="1"/>
  <c r="K67" i="53"/>
  <c r="I71" i="53"/>
  <c r="C71" i="53"/>
  <c r="L71" i="53"/>
  <c r="D71" i="53"/>
  <c r="E71" i="53" s="1"/>
  <c r="K71" i="53"/>
  <c r="I75" i="53"/>
  <c r="L75" i="53"/>
  <c r="H75" i="53"/>
  <c r="J75" i="53" s="1"/>
  <c r="D75" i="53"/>
  <c r="E75" i="53" s="1"/>
  <c r="I79" i="53"/>
  <c r="C79" i="53"/>
  <c r="L79" i="53"/>
  <c r="D79" i="53"/>
  <c r="G79" i="53" s="1"/>
  <c r="K79" i="53"/>
  <c r="I83" i="53"/>
  <c r="C83" i="53"/>
  <c r="L83" i="53"/>
  <c r="H83" i="53"/>
  <c r="J83" i="53" s="1"/>
  <c r="D83" i="53"/>
  <c r="E83" i="53" s="1"/>
  <c r="K83" i="53"/>
  <c r="I58" i="53"/>
  <c r="C58" i="53"/>
  <c r="F58" i="53"/>
  <c r="I60" i="53"/>
  <c r="C60" i="53"/>
  <c r="F60" i="53"/>
  <c r="K60" i="53"/>
  <c r="I62" i="53"/>
  <c r="C62" i="53"/>
  <c r="F62" i="53"/>
  <c r="K62" i="53"/>
  <c r="I64" i="53"/>
  <c r="C64" i="53"/>
  <c r="F64" i="53"/>
  <c r="K64" i="53"/>
  <c r="I68" i="53"/>
  <c r="C68" i="53"/>
  <c r="F68" i="53"/>
  <c r="K68" i="53"/>
  <c r="I70" i="53"/>
  <c r="C70" i="53"/>
  <c r="F70" i="53"/>
  <c r="K70" i="53"/>
  <c r="I72" i="53"/>
  <c r="C72" i="53"/>
  <c r="F72" i="53"/>
  <c r="I74" i="53"/>
  <c r="C74" i="53"/>
  <c r="F74" i="53"/>
  <c r="I78" i="53"/>
  <c r="C78" i="53"/>
  <c r="F78" i="53"/>
  <c r="I80" i="53"/>
  <c r="C80" i="53"/>
  <c r="F80" i="53"/>
  <c r="I82" i="53"/>
  <c r="C82" i="53"/>
  <c r="F82" i="53"/>
  <c r="K82" i="53"/>
  <c r="I84" i="53"/>
  <c r="C84" i="53"/>
  <c r="F84" i="53"/>
  <c r="K84" i="53"/>
  <c r="D90" i="53"/>
  <c r="G90" i="53" s="1"/>
  <c r="D91" i="53"/>
  <c r="D92" i="53"/>
  <c r="G92" i="53" s="1"/>
  <c r="D97" i="53"/>
  <c r="G97" i="53" s="1"/>
  <c r="F97" i="53"/>
  <c r="H97" i="53"/>
  <c r="J97" i="53" s="1"/>
  <c r="K97" i="53"/>
  <c r="D98" i="53"/>
  <c r="G98" i="53" s="1"/>
  <c r="F98" i="53"/>
  <c r="H98" i="53"/>
  <c r="J98" i="53" s="1"/>
  <c r="K98" i="53"/>
  <c r="D99" i="53"/>
  <c r="G99" i="53" s="1"/>
  <c r="F99" i="53"/>
  <c r="H99" i="53"/>
  <c r="J99" i="53" s="1"/>
  <c r="D100" i="53"/>
  <c r="G100" i="53" s="1"/>
  <c r="F100" i="53"/>
  <c r="H100" i="53"/>
  <c r="J100" i="53" s="1"/>
  <c r="D101" i="53"/>
  <c r="G101" i="53" s="1"/>
  <c r="F101" i="53"/>
  <c r="H101" i="53"/>
  <c r="J101" i="53" s="1"/>
  <c r="D102" i="53"/>
  <c r="G102" i="53" s="1"/>
  <c r="F102" i="53"/>
  <c r="H102" i="53"/>
  <c r="J102" i="53" s="1"/>
  <c r="F29" i="52"/>
  <c r="C30" i="52"/>
  <c r="I30" i="52"/>
  <c r="F31" i="52"/>
  <c r="C32" i="52"/>
  <c r="I32" i="52"/>
  <c r="F33" i="52"/>
  <c r="C34" i="52"/>
  <c r="I34" i="52"/>
  <c r="F35" i="52"/>
  <c r="C36" i="52"/>
  <c r="F36" i="52"/>
  <c r="I36" i="52"/>
  <c r="C37" i="52"/>
  <c r="F37" i="52"/>
  <c r="I37" i="52"/>
  <c r="C38" i="52"/>
  <c r="F38" i="52"/>
  <c r="I38" i="52"/>
  <c r="H29" i="52"/>
  <c r="J29" i="52" s="1"/>
  <c r="D30" i="52"/>
  <c r="E30" i="52" s="1"/>
  <c r="K30" i="52"/>
  <c r="H31" i="52"/>
  <c r="J31" i="52" s="1"/>
  <c r="D32" i="52"/>
  <c r="G32" i="52" s="1"/>
  <c r="K32" i="52"/>
  <c r="H33" i="52"/>
  <c r="J33" i="52" s="1"/>
  <c r="D34" i="52"/>
  <c r="K34" i="52"/>
  <c r="H35" i="52"/>
  <c r="J35" i="52" s="1"/>
  <c r="D36" i="52"/>
  <c r="E36" i="52" s="1"/>
  <c r="H36" i="52"/>
  <c r="J36" i="52" s="1"/>
  <c r="K36" i="52"/>
  <c r="D37" i="52"/>
  <c r="H37" i="52"/>
  <c r="J37" i="52" s="1"/>
  <c r="K37" i="52"/>
  <c r="D38" i="52"/>
  <c r="E38" i="52" s="1"/>
  <c r="H38" i="52"/>
  <c r="J38" i="52" s="1"/>
  <c r="K38" i="52"/>
  <c r="C62" i="52"/>
  <c r="F62" i="52"/>
  <c r="I62" i="52"/>
  <c r="C64" i="52"/>
  <c r="F64" i="52"/>
  <c r="C66" i="52"/>
  <c r="F66" i="52"/>
  <c r="I66" i="52"/>
  <c r="C70" i="52"/>
  <c r="F70" i="52"/>
  <c r="I70" i="52"/>
  <c r="C72" i="52"/>
  <c r="F72" i="52"/>
  <c r="I72" i="52"/>
  <c r="C74" i="52"/>
  <c r="F74" i="52"/>
  <c r="I74" i="52"/>
  <c r="C76" i="52"/>
  <c r="F76" i="52"/>
  <c r="I76" i="52"/>
  <c r="C78" i="52"/>
  <c r="F78" i="52"/>
  <c r="I78" i="52"/>
  <c r="C82" i="52"/>
  <c r="F82" i="52"/>
  <c r="I82" i="52"/>
  <c r="C85" i="52"/>
  <c r="F85" i="52"/>
  <c r="I85" i="52"/>
  <c r="D62" i="52"/>
  <c r="H62" i="52"/>
  <c r="J62" i="52" s="1"/>
  <c r="K62" i="52"/>
  <c r="D64" i="52"/>
  <c r="E64" i="52" s="1"/>
  <c r="K64" i="52"/>
  <c r="D66" i="52"/>
  <c r="E66" i="52" s="1"/>
  <c r="H66" i="52"/>
  <c r="J66" i="52" s="1"/>
  <c r="K66" i="52"/>
  <c r="D70" i="52"/>
  <c r="G70" i="52" s="1"/>
  <c r="H70" i="52"/>
  <c r="J70" i="52" s="1"/>
  <c r="K70" i="52"/>
  <c r="D72" i="52"/>
  <c r="G72" i="52" s="1"/>
  <c r="H72" i="52"/>
  <c r="J72" i="52" s="1"/>
  <c r="K72" i="52"/>
  <c r="D74" i="52"/>
  <c r="E74" i="52" s="1"/>
  <c r="H74" i="52"/>
  <c r="J74" i="52" s="1"/>
  <c r="K74" i="52"/>
  <c r="D76" i="52"/>
  <c r="E76" i="52" s="1"/>
  <c r="H76" i="52"/>
  <c r="J76" i="52" s="1"/>
  <c r="D78" i="52"/>
  <c r="G78" i="52" s="1"/>
  <c r="H78" i="52"/>
  <c r="J78" i="52" s="1"/>
  <c r="K78" i="52"/>
  <c r="D82" i="52"/>
  <c r="E82" i="52" s="1"/>
  <c r="H82" i="52"/>
  <c r="J82" i="52" s="1"/>
  <c r="K82" i="52"/>
  <c r="D85" i="52"/>
  <c r="H85" i="52"/>
  <c r="J85" i="52" s="1"/>
  <c r="K85" i="52"/>
  <c r="L86" i="52"/>
  <c r="K86" i="52"/>
  <c r="H86" i="52"/>
  <c r="J86" i="52" s="1"/>
  <c r="D86" i="52"/>
  <c r="G86" i="52" s="1"/>
  <c r="I86" i="52"/>
  <c r="F86" i="52"/>
  <c r="C86" i="52"/>
  <c r="C88" i="52"/>
  <c r="F88" i="52"/>
  <c r="I88" i="52"/>
  <c r="C90" i="52"/>
  <c r="F90" i="52"/>
  <c r="I90" i="52"/>
  <c r="C92" i="52"/>
  <c r="F92" i="52"/>
  <c r="I92" i="52"/>
  <c r="C94" i="52"/>
  <c r="F94" i="52"/>
  <c r="I94" i="52"/>
  <c r="F96" i="52"/>
  <c r="C97" i="52"/>
  <c r="I97" i="52"/>
  <c r="F98" i="52"/>
  <c r="C99" i="52"/>
  <c r="I99" i="52"/>
  <c r="F100" i="52"/>
  <c r="D88" i="52"/>
  <c r="E88" i="52" s="1"/>
  <c r="H88" i="52"/>
  <c r="J88" i="52" s="1"/>
  <c r="K88" i="52"/>
  <c r="D90" i="52"/>
  <c r="H90" i="52"/>
  <c r="J90" i="52" s="1"/>
  <c r="K90" i="52"/>
  <c r="D92" i="52"/>
  <c r="G92" i="52" s="1"/>
  <c r="H92" i="52"/>
  <c r="J92" i="52" s="1"/>
  <c r="K92" i="52"/>
  <c r="D94" i="52"/>
  <c r="E94" i="52" s="1"/>
  <c r="H94" i="52"/>
  <c r="J94" i="52" s="1"/>
  <c r="K94" i="52"/>
  <c r="D96" i="52"/>
  <c r="E96" i="52" s="1"/>
  <c r="K96" i="52"/>
  <c r="H97" i="52"/>
  <c r="J97" i="52" s="1"/>
  <c r="D98" i="52"/>
  <c r="K98" i="52"/>
  <c r="H99" i="52"/>
  <c r="J99" i="52" s="1"/>
  <c r="D100" i="52"/>
  <c r="E100" i="52" s="1"/>
  <c r="K100" i="52"/>
  <c r="G3" i="51"/>
  <c r="G5" i="51"/>
  <c r="L5" i="51"/>
  <c r="B5" i="52" s="1"/>
  <c r="G6" i="51"/>
  <c r="L6" i="51"/>
  <c r="B6" i="52" s="1"/>
  <c r="G7" i="51"/>
  <c r="L7" i="51"/>
  <c r="B7" i="52" s="1"/>
  <c r="F7" i="52" s="1"/>
  <c r="G8" i="51"/>
  <c r="L8" i="51"/>
  <c r="B8" i="52" s="1"/>
  <c r="D8" i="52" s="1"/>
  <c r="E8" i="52" s="1"/>
  <c r="G9" i="51"/>
  <c r="L9" i="51"/>
  <c r="B9" i="52" s="1"/>
  <c r="L9" i="52" s="1"/>
  <c r="G10" i="51"/>
  <c r="L10" i="51"/>
  <c r="B10" i="52" s="1"/>
  <c r="G11" i="51"/>
  <c r="L11" i="51"/>
  <c r="B11" i="52" s="1"/>
  <c r="L11" i="52" s="1"/>
  <c r="G12" i="51"/>
  <c r="L12" i="51"/>
  <c r="B12" i="52" s="1"/>
  <c r="G13" i="51"/>
  <c r="L13" i="51"/>
  <c r="B13" i="52" s="1"/>
  <c r="G14" i="51"/>
  <c r="L14" i="51"/>
  <c r="B14" i="52" s="1"/>
  <c r="C14" i="52" s="1"/>
  <c r="G15" i="51"/>
  <c r="L15" i="51"/>
  <c r="B15" i="52" s="1"/>
  <c r="L15" i="52" s="1"/>
  <c r="G16" i="51"/>
  <c r="L16" i="51"/>
  <c r="B16" i="52" s="1"/>
  <c r="F16" i="52" s="1"/>
  <c r="G17" i="51"/>
  <c r="L17" i="51"/>
  <c r="B17" i="52" s="1"/>
  <c r="G18" i="51"/>
  <c r="L18" i="51"/>
  <c r="B18" i="52" s="1"/>
  <c r="G19" i="51"/>
  <c r="L19" i="51"/>
  <c r="B19" i="52" s="1"/>
  <c r="G20" i="51"/>
  <c r="L20" i="51"/>
  <c r="B20" i="52" s="1"/>
  <c r="H20" i="52" s="1"/>
  <c r="J20" i="52" s="1"/>
  <c r="G21" i="51"/>
  <c r="L21" i="51"/>
  <c r="B21" i="52" s="1"/>
  <c r="C21" i="52" s="1"/>
  <c r="G22" i="51"/>
  <c r="L22" i="51"/>
  <c r="B22" i="52" s="1"/>
  <c r="G23" i="51"/>
  <c r="L23" i="51"/>
  <c r="B23" i="52" s="1"/>
  <c r="G24" i="51"/>
  <c r="L24" i="51"/>
  <c r="B24" i="52" s="1"/>
  <c r="F24" i="52" s="1"/>
  <c r="G25" i="51"/>
  <c r="L25" i="51"/>
  <c r="B25" i="52" s="1"/>
  <c r="G26" i="51"/>
  <c r="L26" i="51"/>
  <c r="B26" i="52" s="1"/>
  <c r="G27" i="51"/>
  <c r="L27" i="51"/>
  <c r="B27" i="52" s="1"/>
  <c r="K27" i="52" s="1"/>
  <c r="G28" i="51"/>
  <c r="L28" i="51"/>
  <c r="B28" i="52" s="1"/>
  <c r="L60" i="51"/>
  <c r="B60" i="52" s="1"/>
  <c r="K60" i="51"/>
  <c r="M60" i="51" s="1"/>
  <c r="G29" i="53"/>
  <c r="E27" i="53"/>
  <c r="E25" i="53"/>
  <c r="G17" i="53"/>
  <c r="E17" i="53"/>
  <c r="G13" i="53"/>
  <c r="E102" i="53"/>
  <c r="G35" i="53"/>
  <c r="H30" i="31"/>
  <c r="H19" i="31"/>
  <c r="J16" i="31"/>
  <c r="K16" i="31" s="1"/>
  <c r="H16" i="31"/>
  <c r="H14" i="31"/>
  <c r="I27" i="52"/>
  <c r="I14" i="52"/>
  <c r="H9" i="52"/>
  <c r="J9" i="52" s="1"/>
  <c r="H27" i="31"/>
  <c r="H25" i="31"/>
  <c r="H8" i="53"/>
  <c r="J8" i="53" s="1"/>
  <c r="D8" i="53"/>
  <c r="G8" i="53" s="1"/>
  <c r="L8" i="53"/>
  <c r="L10" i="53"/>
  <c r="H10" i="53"/>
  <c r="J10" i="53" s="1"/>
  <c r="D10" i="53"/>
  <c r="E10" i="53" s="1"/>
  <c r="H12" i="53"/>
  <c r="J12" i="53" s="1"/>
  <c r="D12" i="53"/>
  <c r="G12" i="53" s="1"/>
  <c r="L12" i="53"/>
  <c r="L14" i="53"/>
  <c r="D16" i="53"/>
  <c r="L18" i="53"/>
  <c r="H18" i="53"/>
  <c r="J18" i="53" s="1"/>
  <c r="D18" i="53"/>
  <c r="G18" i="53" s="1"/>
  <c r="L20" i="53"/>
  <c r="H20" i="53"/>
  <c r="J20" i="53" s="1"/>
  <c r="D20" i="53"/>
  <c r="H22" i="53"/>
  <c r="J22" i="53" s="1"/>
  <c r="D22" i="53"/>
  <c r="E22" i="53" s="1"/>
  <c r="L22" i="53"/>
  <c r="L24" i="53"/>
  <c r="H24" i="53"/>
  <c r="J24" i="53" s="1"/>
  <c r="D24" i="53"/>
  <c r="E24" i="53" s="1"/>
  <c r="H26" i="53"/>
  <c r="J26" i="53" s="1"/>
  <c r="D26" i="53"/>
  <c r="E26" i="53" s="1"/>
  <c r="L26" i="53"/>
  <c r="L28" i="53"/>
  <c r="H28" i="53"/>
  <c r="J28" i="53" s="1"/>
  <c r="D28" i="53"/>
  <c r="G28" i="53" s="1"/>
  <c r="L32" i="53"/>
  <c r="H32" i="53"/>
  <c r="J32" i="53" s="1"/>
  <c r="D32" i="53"/>
  <c r="E32" i="53" s="1"/>
  <c r="H34" i="53"/>
  <c r="J34" i="53" s="1"/>
  <c r="D34" i="53"/>
  <c r="E34" i="53" s="1"/>
  <c r="L34" i="53"/>
  <c r="L36" i="53"/>
  <c r="H36" i="53"/>
  <c r="J36" i="53" s="1"/>
  <c r="D36" i="53"/>
  <c r="H38" i="53"/>
  <c r="J38" i="53" s="1"/>
  <c r="D38" i="53"/>
  <c r="G38" i="53" s="1"/>
  <c r="L38" i="53"/>
  <c r="L40" i="53"/>
  <c r="H40" i="53"/>
  <c r="J40" i="53" s="1"/>
  <c r="D40" i="53"/>
  <c r="G40" i="53" s="1"/>
  <c r="H42" i="53"/>
  <c r="J42" i="53" s="1"/>
  <c r="D42" i="53"/>
  <c r="E42" i="53" s="1"/>
  <c r="L42" i="53"/>
  <c r="L44" i="53"/>
  <c r="H44" i="53"/>
  <c r="J44" i="53" s="1"/>
  <c r="D44" i="53"/>
  <c r="G44" i="53" s="1"/>
  <c r="H46" i="53"/>
  <c r="J46" i="53" s="1"/>
  <c r="D46" i="53"/>
  <c r="G46" i="53" s="1"/>
  <c r="L46" i="53"/>
  <c r="L48" i="53"/>
  <c r="H48" i="53"/>
  <c r="J48" i="53" s="1"/>
  <c r="D48" i="53"/>
  <c r="G48" i="53" s="1"/>
  <c r="D50" i="53"/>
  <c r="G50" i="53" s="1"/>
  <c r="L54" i="53"/>
  <c r="H54" i="53"/>
  <c r="J54" i="53" s="1"/>
  <c r="D54" i="53"/>
  <c r="G54" i="53" s="1"/>
  <c r="H56" i="53"/>
  <c r="J56" i="53" s="1"/>
  <c r="D56" i="53"/>
  <c r="G56" i="53" s="1"/>
  <c r="L56" i="53"/>
  <c r="L58" i="53"/>
  <c r="H58" i="53"/>
  <c r="J58" i="53" s="1"/>
  <c r="D58" i="53"/>
  <c r="G58" i="53" s="1"/>
  <c r="H60" i="53"/>
  <c r="J60" i="53" s="1"/>
  <c r="D60" i="53"/>
  <c r="L60" i="53"/>
  <c r="L62" i="53"/>
  <c r="H62" i="53"/>
  <c r="J62" i="53" s="1"/>
  <c r="D62" i="53"/>
  <c r="E62" i="53" s="1"/>
  <c r="H64" i="53"/>
  <c r="J64" i="53" s="1"/>
  <c r="D64" i="53"/>
  <c r="G64" i="53" s="1"/>
  <c r="L64" i="53"/>
  <c r="F9" i="50"/>
  <c r="H9" i="50" s="1"/>
  <c r="K9" i="50"/>
  <c r="M9" i="50" s="1"/>
  <c r="F10" i="50"/>
  <c r="H10" i="50" s="1"/>
  <c r="K10" i="50"/>
  <c r="M10" i="50" s="1"/>
  <c r="F11" i="50"/>
  <c r="H11" i="50" s="1"/>
  <c r="K11" i="50"/>
  <c r="M11" i="50" s="1"/>
  <c r="F12" i="50"/>
  <c r="H12" i="50" s="1"/>
  <c r="K12" i="50"/>
  <c r="M12" i="50" s="1"/>
  <c r="F13" i="50"/>
  <c r="H13" i="50" s="1"/>
  <c r="K13" i="50"/>
  <c r="M13" i="50" s="1"/>
  <c r="K14" i="50"/>
  <c r="M14" i="50" s="1"/>
  <c r="F15" i="50"/>
  <c r="H15" i="50" s="1"/>
  <c r="F16" i="50"/>
  <c r="H16" i="50" s="1"/>
  <c r="K16" i="50"/>
  <c r="M16" i="50" s="1"/>
  <c r="F17" i="50"/>
  <c r="H17" i="50" s="1"/>
  <c r="K17" i="50"/>
  <c r="M17" i="50" s="1"/>
  <c r="K18" i="50"/>
  <c r="M18" i="50" s="1"/>
  <c r="K19" i="50"/>
  <c r="M19" i="50" s="1"/>
  <c r="K20" i="50"/>
  <c r="M20" i="50" s="1"/>
  <c r="K21" i="50"/>
  <c r="M21" i="50" s="1"/>
  <c r="K22" i="50"/>
  <c r="M22" i="50" s="1"/>
  <c r="K23" i="50"/>
  <c r="M23" i="50" s="1"/>
  <c r="K24" i="50"/>
  <c r="M24" i="50" s="1"/>
  <c r="K25" i="50"/>
  <c r="M25" i="50" s="1"/>
  <c r="K26" i="50"/>
  <c r="M26" i="50" s="1"/>
  <c r="K27" i="50"/>
  <c r="M27" i="50" s="1"/>
  <c r="K28" i="50"/>
  <c r="M28" i="50" s="1"/>
  <c r="K29" i="50"/>
  <c r="M29" i="50" s="1"/>
  <c r="K30" i="50"/>
  <c r="M30" i="50" s="1"/>
  <c r="F31" i="50"/>
  <c r="H31" i="50" s="1"/>
  <c r="K31" i="50"/>
  <c r="M31" i="50" s="1"/>
  <c r="F32" i="50"/>
  <c r="H32" i="50" s="1"/>
  <c r="K32" i="50"/>
  <c r="M32" i="50" s="1"/>
  <c r="F33" i="50"/>
  <c r="H33" i="50" s="1"/>
  <c r="K33" i="50"/>
  <c r="M33" i="50" s="1"/>
  <c r="F34" i="50"/>
  <c r="H34" i="50" s="1"/>
  <c r="K34" i="50"/>
  <c r="M34" i="50" s="1"/>
  <c r="F35" i="50"/>
  <c r="H35" i="50" s="1"/>
  <c r="K35" i="50"/>
  <c r="M35" i="50" s="1"/>
  <c r="F36" i="50"/>
  <c r="H36" i="50" s="1"/>
  <c r="K36" i="50"/>
  <c r="M36" i="50" s="1"/>
  <c r="F37" i="50"/>
  <c r="H37" i="50" s="1"/>
  <c r="K37" i="50"/>
  <c r="M37" i="50" s="1"/>
  <c r="F38" i="50"/>
  <c r="H38" i="50" s="1"/>
  <c r="K38" i="50"/>
  <c r="M38" i="50" s="1"/>
  <c r="F39" i="50"/>
  <c r="H39" i="50" s="1"/>
  <c r="K39" i="50"/>
  <c r="M39" i="50" s="1"/>
  <c r="F40" i="50"/>
  <c r="H40" i="50" s="1"/>
  <c r="K40" i="50"/>
  <c r="M40" i="50" s="1"/>
  <c r="K41" i="50"/>
  <c r="M41" i="50" s="1"/>
  <c r="F42" i="50"/>
  <c r="H42" i="50" s="1"/>
  <c r="K42" i="50"/>
  <c r="M42" i="50" s="1"/>
  <c r="F43" i="50"/>
  <c r="H43" i="50" s="1"/>
  <c r="K43" i="50"/>
  <c r="M43" i="50" s="1"/>
  <c r="F44" i="50"/>
  <c r="H44" i="50" s="1"/>
  <c r="K44" i="50"/>
  <c r="M44" i="50" s="1"/>
  <c r="K45" i="50"/>
  <c r="M45" i="50" s="1"/>
  <c r="F46" i="50"/>
  <c r="H46" i="50" s="1"/>
  <c r="K46" i="50"/>
  <c r="M46" i="50" s="1"/>
  <c r="F47" i="50"/>
  <c r="H47" i="50" s="1"/>
  <c r="K47" i="50"/>
  <c r="M47" i="50" s="1"/>
  <c r="F48" i="50"/>
  <c r="H48" i="50" s="1"/>
  <c r="K48" i="50"/>
  <c r="M48" i="50" s="1"/>
  <c r="K49" i="50"/>
  <c r="M49" i="50" s="1"/>
  <c r="F50" i="50"/>
  <c r="H50" i="50" s="1"/>
  <c r="K50" i="50"/>
  <c r="M50" i="50" s="1"/>
  <c r="F51" i="50"/>
  <c r="H51" i="50" s="1"/>
  <c r="K51" i="50"/>
  <c r="M51" i="50" s="1"/>
  <c r="F52" i="50"/>
  <c r="H52" i="50" s="1"/>
  <c r="K52" i="50"/>
  <c r="M52" i="50" s="1"/>
  <c r="K53" i="50"/>
  <c r="M53" i="50" s="1"/>
  <c r="F54" i="50"/>
  <c r="H54" i="50" s="1"/>
  <c r="K54" i="50"/>
  <c r="M54" i="50" s="1"/>
  <c r="F55" i="50"/>
  <c r="H55" i="50" s="1"/>
  <c r="K55" i="50"/>
  <c r="M55" i="50" s="1"/>
  <c r="F56" i="50"/>
  <c r="H56" i="50" s="1"/>
  <c r="K56" i="50"/>
  <c r="M56" i="50" s="1"/>
  <c r="K57" i="50"/>
  <c r="M57" i="50" s="1"/>
  <c r="F58" i="50"/>
  <c r="H58" i="50" s="1"/>
  <c r="K58" i="50"/>
  <c r="M58" i="50" s="1"/>
  <c r="F59" i="50"/>
  <c r="H59" i="50" s="1"/>
  <c r="K59" i="50"/>
  <c r="M59" i="50" s="1"/>
  <c r="F60" i="50"/>
  <c r="H60" i="50" s="1"/>
  <c r="K60" i="50"/>
  <c r="M60" i="50" s="1"/>
  <c r="K61" i="50"/>
  <c r="M61" i="50" s="1"/>
  <c r="F62" i="50"/>
  <c r="H62" i="50" s="1"/>
  <c r="K62" i="50"/>
  <c r="M62" i="50" s="1"/>
  <c r="F63" i="50"/>
  <c r="H63" i="50" s="1"/>
  <c r="K63" i="50"/>
  <c r="M63" i="50" s="1"/>
  <c r="F64" i="50"/>
  <c r="H64" i="50" s="1"/>
  <c r="K64" i="50"/>
  <c r="M64" i="50" s="1"/>
  <c r="H68" i="53"/>
  <c r="J68" i="53" s="1"/>
  <c r="D68" i="53"/>
  <c r="L68" i="53"/>
  <c r="F69" i="50"/>
  <c r="H69" i="50" s="1"/>
  <c r="G69" i="50"/>
  <c r="L70" i="53"/>
  <c r="H70" i="53"/>
  <c r="J70" i="53" s="1"/>
  <c r="D70" i="53"/>
  <c r="G70" i="53" s="1"/>
  <c r="H72" i="53"/>
  <c r="J72" i="53"/>
  <c r="D72" i="53"/>
  <c r="G72" i="53" s="1"/>
  <c r="L72" i="53"/>
  <c r="F73" i="50"/>
  <c r="H73" i="50" s="1"/>
  <c r="G73" i="50"/>
  <c r="L74" i="53"/>
  <c r="H74" i="53"/>
  <c r="J74" i="53" s="1"/>
  <c r="D74" i="53"/>
  <c r="H76" i="53"/>
  <c r="J76" i="53" s="1"/>
  <c r="D76" i="53"/>
  <c r="F77" i="50"/>
  <c r="H77" i="50" s="1"/>
  <c r="G77" i="50"/>
  <c r="L78" i="53"/>
  <c r="H78" i="53"/>
  <c r="J78" i="53" s="1"/>
  <c r="D78" i="53"/>
  <c r="G78" i="53" s="1"/>
  <c r="H80" i="53"/>
  <c r="J80" i="53" s="1"/>
  <c r="D80" i="53"/>
  <c r="L80" i="53"/>
  <c r="F81" i="50"/>
  <c r="H81" i="50" s="1"/>
  <c r="L82" i="53"/>
  <c r="H82" i="53"/>
  <c r="J82" i="53" s="1"/>
  <c r="D82" i="53"/>
  <c r="E82" i="53" s="1"/>
  <c r="H84" i="53"/>
  <c r="J84" i="53" s="1"/>
  <c r="D84" i="53"/>
  <c r="G84" i="53" s="1"/>
  <c r="L84" i="53"/>
  <c r="F85" i="50"/>
  <c r="H85" i="50" s="1"/>
  <c r="G85" i="50"/>
  <c r="F89" i="50"/>
  <c r="H89" i="50" s="1"/>
  <c r="G89" i="50"/>
  <c r="L89" i="53"/>
  <c r="L90" i="53"/>
  <c r="C91" i="53"/>
  <c r="L91" i="53"/>
  <c r="L92" i="53"/>
  <c r="F93" i="50"/>
  <c r="H93" i="50" s="1"/>
  <c r="G93" i="50"/>
  <c r="F97" i="50"/>
  <c r="H97" i="50" s="1"/>
  <c r="C97" i="53"/>
  <c r="I97" i="53"/>
  <c r="L97" i="53"/>
  <c r="I98" i="53"/>
  <c r="L98" i="53"/>
  <c r="C98" i="53"/>
  <c r="C99" i="53"/>
  <c r="I99" i="53"/>
  <c r="L99" i="53"/>
  <c r="I100" i="53"/>
  <c r="L100" i="53"/>
  <c r="C100" i="53"/>
  <c r="F101" i="50"/>
  <c r="H101" i="50" s="1"/>
  <c r="G101" i="50"/>
  <c r="C101" i="53"/>
  <c r="I101" i="53"/>
  <c r="L101" i="53"/>
  <c r="I102" i="53"/>
  <c r="L102" i="53"/>
  <c r="C102" i="53"/>
  <c r="G41" i="50"/>
  <c r="G45" i="50"/>
  <c r="G49" i="50"/>
  <c r="G53" i="50"/>
  <c r="G57" i="50"/>
  <c r="G61" i="50"/>
  <c r="G65" i="50"/>
  <c r="L65" i="50"/>
  <c r="B65" i="53" s="1"/>
  <c r="K65" i="53" s="1"/>
  <c r="K66" i="50"/>
  <c r="M66" i="50" s="1"/>
  <c r="F67" i="50"/>
  <c r="H67" i="50" s="1"/>
  <c r="K67" i="50"/>
  <c r="M67" i="50" s="1"/>
  <c r="F68" i="50"/>
  <c r="H68" i="50" s="1"/>
  <c r="K68" i="50"/>
  <c r="M68" i="50" s="1"/>
  <c r="K69" i="50"/>
  <c r="M69" i="50" s="1"/>
  <c r="F70" i="50"/>
  <c r="H70" i="50" s="1"/>
  <c r="K70" i="50"/>
  <c r="M70" i="50" s="1"/>
  <c r="F71" i="50"/>
  <c r="H71" i="50" s="1"/>
  <c r="K71" i="50"/>
  <c r="M71" i="50" s="1"/>
  <c r="F72" i="50"/>
  <c r="H72" i="50" s="1"/>
  <c r="K72" i="50"/>
  <c r="M72" i="50" s="1"/>
  <c r="K73" i="50"/>
  <c r="M73" i="50" s="1"/>
  <c r="F74" i="50"/>
  <c r="H74" i="50" s="1"/>
  <c r="K74" i="50"/>
  <c r="M74" i="50" s="1"/>
  <c r="F75" i="50"/>
  <c r="H75" i="50" s="1"/>
  <c r="K75" i="50"/>
  <c r="M75" i="50" s="1"/>
  <c r="F76" i="50"/>
  <c r="H76" i="50" s="1"/>
  <c r="K76" i="50"/>
  <c r="M76" i="50" s="1"/>
  <c r="K77" i="50"/>
  <c r="M77" i="50" s="1"/>
  <c r="F78" i="50"/>
  <c r="H78" i="50" s="1"/>
  <c r="K78" i="50"/>
  <c r="M78" i="50" s="1"/>
  <c r="F79" i="50"/>
  <c r="H79" i="50" s="1"/>
  <c r="K79" i="50"/>
  <c r="M79" i="50" s="1"/>
  <c r="F80" i="50"/>
  <c r="H80" i="50" s="1"/>
  <c r="K80" i="50"/>
  <c r="M80" i="50" s="1"/>
  <c r="K81" i="50"/>
  <c r="M81" i="50" s="1"/>
  <c r="F82" i="50"/>
  <c r="H82" i="50" s="1"/>
  <c r="K82" i="50"/>
  <c r="M82" i="50" s="1"/>
  <c r="F83" i="50"/>
  <c r="H83" i="50" s="1"/>
  <c r="K83" i="50"/>
  <c r="M83" i="50" s="1"/>
  <c r="F84" i="50"/>
  <c r="H84" i="50" s="1"/>
  <c r="K84" i="50"/>
  <c r="M84" i="50" s="1"/>
  <c r="K85" i="50"/>
  <c r="M85" i="50" s="1"/>
  <c r="F86" i="50"/>
  <c r="H86" i="50" s="1"/>
  <c r="K86" i="50"/>
  <c r="M86" i="50" s="1"/>
  <c r="F87" i="50"/>
  <c r="H87" i="50" s="1"/>
  <c r="F88" i="50"/>
  <c r="H88" i="50" s="1"/>
  <c r="K89" i="50"/>
  <c r="M89" i="50" s="1"/>
  <c r="F90" i="50"/>
  <c r="H90" i="50" s="1"/>
  <c r="K90" i="50"/>
  <c r="M90" i="50" s="1"/>
  <c r="F91" i="50"/>
  <c r="H91" i="50" s="1"/>
  <c r="K91" i="50"/>
  <c r="M91" i="50" s="1"/>
  <c r="F92" i="50"/>
  <c r="H92" i="50" s="1"/>
  <c r="K92" i="50"/>
  <c r="M92" i="50" s="1"/>
  <c r="F94" i="50"/>
  <c r="H94" i="50" s="1"/>
  <c r="F95" i="50"/>
  <c r="H95" i="50" s="1"/>
  <c r="F96" i="50"/>
  <c r="H96" i="50" s="1"/>
  <c r="K96" i="50"/>
  <c r="M96" i="50" s="1"/>
  <c r="K97" i="50"/>
  <c r="M97" i="50" s="1"/>
  <c r="K98" i="50"/>
  <c r="M98" i="50" s="1"/>
  <c r="K99" i="50"/>
  <c r="M99" i="50" s="1"/>
  <c r="F100" i="50"/>
  <c r="H100" i="50" s="1"/>
  <c r="K100" i="50"/>
  <c r="M100" i="50" s="1"/>
  <c r="K101" i="50"/>
  <c r="M101" i="50" s="1"/>
  <c r="F102" i="50"/>
  <c r="H102" i="50" s="1"/>
  <c r="K102" i="50"/>
  <c r="M102" i="50" s="1"/>
  <c r="G40" i="51"/>
  <c r="F40" i="51"/>
  <c r="H40" i="51" s="1"/>
  <c r="L40" i="51"/>
  <c r="B40" i="52" s="1"/>
  <c r="K40" i="51"/>
  <c r="M40" i="51" s="1"/>
  <c r="G41" i="51"/>
  <c r="F41" i="51"/>
  <c r="H41" i="51" s="1"/>
  <c r="L41" i="51"/>
  <c r="B41" i="52" s="1"/>
  <c r="K41" i="51"/>
  <c r="M41" i="51" s="1"/>
  <c r="G42" i="51"/>
  <c r="F42" i="51"/>
  <c r="H42" i="51" s="1"/>
  <c r="L42" i="51"/>
  <c r="B42" i="52" s="1"/>
  <c r="K42" i="51"/>
  <c r="M42" i="51" s="1"/>
  <c r="G43" i="51"/>
  <c r="F43" i="51"/>
  <c r="H43" i="51" s="1"/>
  <c r="L43" i="51"/>
  <c r="B43" i="52" s="1"/>
  <c r="K43" i="52" s="1"/>
  <c r="K43" i="51"/>
  <c r="M43" i="51" s="1"/>
  <c r="G44" i="51"/>
  <c r="F44" i="51"/>
  <c r="H44" i="51" s="1"/>
  <c r="L44" i="51"/>
  <c r="B44" i="52" s="1"/>
  <c r="K44" i="51"/>
  <c r="M44" i="51" s="1"/>
  <c r="G45" i="51"/>
  <c r="F45" i="51"/>
  <c r="H45" i="51" s="1"/>
  <c r="L45" i="51"/>
  <c r="B45" i="52" s="1"/>
  <c r="K45" i="51"/>
  <c r="M45" i="51" s="1"/>
  <c r="G46" i="51"/>
  <c r="F46" i="51"/>
  <c r="H46" i="51" s="1"/>
  <c r="L46" i="51"/>
  <c r="B46" i="52" s="1"/>
  <c r="K46" i="51"/>
  <c r="M46" i="51" s="1"/>
  <c r="G47" i="51"/>
  <c r="F47" i="51"/>
  <c r="H47" i="51" s="1"/>
  <c r="L47" i="51"/>
  <c r="B47" i="52" s="1"/>
  <c r="D47" i="52" s="1"/>
  <c r="K47" i="51"/>
  <c r="M47" i="51" s="1"/>
  <c r="G48" i="51"/>
  <c r="F48" i="51"/>
  <c r="H48" i="51" s="1"/>
  <c r="L48" i="51"/>
  <c r="B48" i="52" s="1"/>
  <c r="K48" i="51"/>
  <c r="M48" i="51" s="1"/>
  <c r="G49" i="51"/>
  <c r="F49" i="51"/>
  <c r="H49" i="51" s="1"/>
  <c r="L49" i="51"/>
  <c r="B49" i="52" s="1"/>
  <c r="K49" i="51"/>
  <c r="M49" i="51" s="1"/>
  <c r="G50" i="51"/>
  <c r="F50" i="51"/>
  <c r="H50" i="51" s="1"/>
  <c r="L50" i="51"/>
  <c r="B50" i="52" s="1"/>
  <c r="C50" i="52" s="1"/>
  <c r="K50" i="51"/>
  <c r="M50" i="51" s="1"/>
  <c r="G51" i="51"/>
  <c r="F51" i="51"/>
  <c r="H51" i="51" s="1"/>
  <c r="L51" i="51"/>
  <c r="B51" i="52" s="1"/>
  <c r="K51" i="52" s="1"/>
  <c r="K51" i="51"/>
  <c r="M51" i="51" s="1"/>
  <c r="G52" i="51"/>
  <c r="F52" i="51"/>
  <c r="H52" i="51" s="1"/>
  <c r="L52" i="51"/>
  <c r="B52" i="52" s="1"/>
  <c r="K52" i="51"/>
  <c r="M52" i="51" s="1"/>
  <c r="G53" i="51"/>
  <c r="F53" i="51"/>
  <c r="H53" i="51" s="1"/>
  <c r="L53" i="51"/>
  <c r="B53" i="52" s="1"/>
  <c r="K53" i="51"/>
  <c r="M53" i="51" s="1"/>
  <c r="G54" i="51"/>
  <c r="F54" i="51"/>
  <c r="H54" i="51" s="1"/>
  <c r="L54" i="51"/>
  <c r="B54" i="52" s="1"/>
  <c r="I54" i="52" s="1"/>
  <c r="K54" i="51"/>
  <c r="M54" i="51" s="1"/>
  <c r="G55" i="51"/>
  <c r="F55" i="51"/>
  <c r="H55" i="51" s="1"/>
  <c r="L55" i="51"/>
  <c r="B55" i="52" s="1"/>
  <c r="K55" i="51"/>
  <c r="M55" i="51" s="1"/>
  <c r="G56" i="51"/>
  <c r="F56" i="51"/>
  <c r="H56" i="51" s="1"/>
  <c r="L56" i="51"/>
  <c r="B56" i="52" s="1"/>
  <c r="K56" i="51"/>
  <c r="M56" i="51" s="1"/>
  <c r="G57" i="51"/>
  <c r="F57" i="51"/>
  <c r="H57" i="51" s="1"/>
  <c r="L57" i="51"/>
  <c r="B57" i="52" s="1"/>
  <c r="I57" i="52" s="1"/>
  <c r="K57" i="51"/>
  <c r="M57" i="51" s="1"/>
  <c r="G58" i="51"/>
  <c r="F58" i="51"/>
  <c r="H58" i="51" s="1"/>
  <c r="L58" i="51"/>
  <c r="B58" i="52" s="1"/>
  <c r="L58" i="52" s="1"/>
  <c r="K58" i="51"/>
  <c r="M58" i="51" s="1"/>
  <c r="G59" i="51"/>
  <c r="F59" i="51"/>
  <c r="H59" i="51" s="1"/>
  <c r="L59" i="51"/>
  <c r="B59" i="52" s="1"/>
  <c r="K59" i="51"/>
  <c r="M59" i="51" s="1"/>
  <c r="G60" i="51"/>
  <c r="F60" i="51"/>
  <c r="H60" i="51" s="1"/>
  <c r="F61" i="51"/>
  <c r="H61" i="51" s="1"/>
  <c r="F62" i="51"/>
  <c r="H62" i="51" s="1"/>
  <c r="K62" i="51"/>
  <c r="M62" i="51" s="1"/>
  <c r="F63" i="51"/>
  <c r="H63" i="51" s="1"/>
  <c r="F64" i="51"/>
  <c r="H64" i="51" s="1"/>
  <c r="K64" i="51"/>
  <c r="M64" i="51" s="1"/>
  <c r="F65" i="51"/>
  <c r="H65" i="51" s="1"/>
  <c r="F66" i="51"/>
  <c r="H66" i="51" s="1"/>
  <c r="K66" i="51"/>
  <c r="M66" i="51" s="1"/>
  <c r="F67" i="51"/>
  <c r="H67" i="51" s="1"/>
  <c r="F68" i="51"/>
  <c r="H68" i="51" s="1"/>
  <c r="K68" i="51"/>
  <c r="M68" i="51" s="1"/>
  <c r="F69" i="51"/>
  <c r="H69" i="51" s="1"/>
  <c r="F70" i="51"/>
  <c r="H70" i="51" s="1"/>
  <c r="K70" i="51"/>
  <c r="M70" i="51" s="1"/>
  <c r="F71" i="51"/>
  <c r="H71" i="51" s="1"/>
  <c r="F72" i="51"/>
  <c r="H72" i="51" s="1"/>
  <c r="K72" i="51"/>
  <c r="M72" i="51" s="1"/>
  <c r="F73" i="51"/>
  <c r="H73" i="51" s="1"/>
  <c r="F74" i="51"/>
  <c r="H74" i="51" s="1"/>
  <c r="K74" i="51"/>
  <c r="M74" i="51" s="1"/>
  <c r="F75" i="51"/>
  <c r="H75" i="51" s="1"/>
  <c r="F76" i="51"/>
  <c r="H76" i="51" s="1"/>
  <c r="K76" i="51"/>
  <c r="M76" i="51" s="1"/>
  <c r="F77" i="51"/>
  <c r="H77" i="51" s="1"/>
  <c r="F78" i="51"/>
  <c r="H78" i="51" s="1"/>
  <c r="K78" i="51"/>
  <c r="M78" i="51" s="1"/>
  <c r="F79" i="51"/>
  <c r="H79" i="51" s="1"/>
  <c r="F80" i="51"/>
  <c r="H80" i="51" s="1"/>
  <c r="K80" i="51"/>
  <c r="M80" i="51" s="1"/>
  <c r="F81" i="51"/>
  <c r="H81" i="51" s="1"/>
  <c r="L61" i="51"/>
  <c r="B61" i="52" s="1"/>
  <c r="L63" i="51"/>
  <c r="B63" i="52" s="1"/>
  <c r="I63" i="52" s="1"/>
  <c r="L65" i="51"/>
  <c r="B65" i="52" s="1"/>
  <c r="L67" i="51"/>
  <c r="B67" i="52" s="1"/>
  <c r="L69" i="51"/>
  <c r="B69" i="52" s="1"/>
  <c r="L71" i="51"/>
  <c r="B71" i="52" s="1"/>
  <c r="L73" i="51"/>
  <c r="B73" i="52" s="1"/>
  <c r="L75" i="51"/>
  <c r="B75" i="52"/>
  <c r="L77" i="51"/>
  <c r="B77" i="52" s="1"/>
  <c r="L79" i="51"/>
  <c r="B79" i="52" s="1"/>
  <c r="L79" i="52" s="1"/>
  <c r="L81" i="51"/>
  <c r="B81" i="52" s="1"/>
  <c r="G82" i="51"/>
  <c r="E50" i="53"/>
  <c r="G10" i="53"/>
  <c r="E84" i="53"/>
  <c r="G74" i="53"/>
  <c r="E74" i="53"/>
  <c r="E48" i="53"/>
  <c r="G36" i="53"/>
  <c r="E36" i="53"/>
  <c r="E28" i="53"/>
  <c r="G26" i="53"/>
  <c r="G20" i="53"/>
  <c r="E20" i="53"/>
  <c r="G4" i="51"/>
  <c r="G85" i="52"/>
  <c r="E85" i="52"/>
  <c r="H18" i="31"/>
  <c r="D73" i="43"/>
  <c r="F73" i="43" s="1"/>
  <c r="G81" i="53"/>
  <c r="E101" i="53"/>
  <c r="G8" i="52"/>
  <c r="G66" i="52"/>
  <c r="G96" i="52"/>
  <c r="E70" i="52"/>
  <c r="E62" i="52"/>
  <c r="G62" i="52"/>
  <c r="E32" i="52"/>
  <c r="I13" i="31" l="1"/>
  <c r="J13" i="31" s="1"/>
  <c r="K13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S2" i="48"/>
  <c r="G43" i="43"/>
  <c r="J43" i="43" s="1"/>
  <c r="K61" i="42"/>
  <c r="M61" i="42" s="1"/>
  <c r="E22" i="42"/>
  <c r="G22" i="42" s="1"/>
  <c r="L59" i="43"/>
  <c r="C70" i="22"/>
  <c r="O70" i="22" s="1"/>
  <c r="E3" i="49"/>
  <c r="D3" i="49" s="1"/>
  <c r="M6" i="51"/>
  <c r="H6" i="51"/>
  <c r="H32" i="31"/>
  <c r="D32" i="31"/>
  <c r="D33" i="31" s="1"/>
  <c r="E21" i="42"/>
  <c r="G21" i="42" s="1"/>
  <c r="F66" i="42"/>
  <c r="H66" i="42" s="1"/>
  <c r="N85" i="42"/>
  <c r="C67" i="43"/>
  <c r="L39" i="43"/>
  <c r="K39" i="42"/>
  <c r="M39" i="42" s="1"/>
  <c r="I46" i="42"/>
  <c r="K86" i="43"/>
  <c r="F98" i="42"/>
  <c r="H98" i="42" s="1"/>
  <c r="F34" i="42"/>
  <c r="H34" i="42" s="1"/>
  <c r="N101" i="42"/>
  <c r="N69" i="42"/>
  <c r="N37" i="42"/>
  <c r="L30" i="43"/>
  <c r="K88" i="42"/>
  <c r="M88" i="42" s="1"/>
  <c r="F82" i="42"/>
  <c r="H82" i="42" s="1"/>
  <c r="F50" i="42"/>
  <c r="H50" i="42" s="1"/>
  <c r="I25" i="42"/>
  <c r="N93" i="42"/>
  <c r="N77" i="42"/>
  <c r="N61" i="42"/>
  <c r="N45" i="42"/>
  <c r="N29" i="42"/>
  <c r="E20" i="49"/>
  <c r="E18" i="49"/>
  <c r="D18" i="49" s="1"/>
  <c r="E16" i="49"/>
  <c r="D16" i="49" s="1"/>
  <c r="E14" i="49"/>
  <c r="D14" i="49" s="1"/>
  <c r="E12" i="49"/>
  <c r="D12" i="49" s="1"/>
  <c r="E10" i="49"/>
  <c r="D10" i="49" s="1"/>
  <c r="E8" i="49"/>
  <c r="D8" i="49" s="1"/>
  <c r="E6" i="49"/>
  <c r="D6" i="49" s="1"/>
  <c r="E4" i="49"/>
  <c r="D4" i="49" s="1"/>
  <c r="H33" i="48"/>
  <c r="J33" i="48" s="1"/>
  <c r="L33" i="48" s="1"/>
  <c r="H32" i="48"/>
  <c r="J32" i="48" s="1"/>
  <c r="L32" i="48" s="1"/>
  <c r="H31" i="48"/>
  <c r="J31" i="48" s="1"/>
  <c r="L31" i="48" s="1"/>
  <c r="H29" i="48"/>
  <c r="J29" i="48" s="1"/>
  <c r="L29" i="48" s="1"/>
  <c r="H27" i="48"/>
  <c r="J27" i="48" s="1"/>
  <c r="L27" i="48" s="1"/>
  <c r="H25" i="48"/>
  <c r="J25" i="48" s="1"/>
  <c r="L25" i="48" s="1"/>
  <c r="H24" i="48"/>
  <c r="J24" i="48" s="1"/>
  <c r="L24" i="48" s="1"/>
  <c r="E19" i="49"/>
  <c r="D19" i="49" s="1"/>
  <c r="E17" i="49"/>
  <c r="D17" i="49" s="1"/>
  <c r="E15" i="49"/>
  <c r="D15" i="49" s="1"/>
  <c r="E13" i="49"/>
  <c r="D13" i="49" s="1"/>
  <c r="E11" i="49"/>
  <c r="D11" i="49" s="1"/>
  <c r="E9" i="49"/>
  <c r="D9" i="49" s="1"/>
  <c r="E7" i="49"/>
  <c r="D7" i="49" s="1"/>
  <c r="E5" i="49"/>
  <c r="D5" i="49" s="1"/>
  <c r="D39" i="43"/>
  <c r="F39" i="43" s="1"/>
  <c r="G27" i="43"/>
  <c r="J27" i="43" s="1"/>
  <c r="I75" i="43"/>
  <c r="E47" i="43"/>
  <c r="H47" i="43" s="1"/>
  <c r="C61" i="43"/>
  <c r="C35" i="43"/>
  <c r="K73" i="42"/>
  <c r="M73" i="42" s="1"/>
  <c r="K51" i="42"/>
  <c r="M51" i="42" s="1"/>
  <c r="C40" i="22"/>
  <c r="S40" i="22" s="1"/>
  <c r="K100" i="42"/>
  <c r="M100" i="42" s="1"/>
  <c r="F90" i="42"/>
  <c r="H90" i="42" s="1"/>
  <c r="F74" i="42"/>
  <c r="H74" i="42" s="1"/>
  <c r="F58" i="42"/>
  <c r="H58" i="42" s="1"/>
  <c r="F42" i="42"/>
  <c r="H42" i="42" s="1"/>
  <c r="F28" i="42"/>
  <c r="H28" i="42" s="1"/>
  <c r="I82" i="42"/>
  <c r="C31" i="43"/>
  <c r="I27" i="43"/>
  <c r="L41" i="43"/>
  <c r="C73" i="43"/>
  <c r="K47" i="43"/>
  <c r="G39" i="43"/>
  <c r="J39" i="43" s="1"/>
  <c r="G67" i="43"/>
  <c r="J67" i="43" s="1"/>
  <c r="G61" i="43"/>
  <c r="J61" i="43" s="1"/>
  <c r="D43" i="43"/>
  <c r="F43" i="43" s="1"/>
  <c r="K35" i="43"/>
  <c r="E10" i="42"/>
  <c r="G10" i="42" s="1"/>
  <c r="K59" i="43"/>
  <c r="C51" i="43"/>
  <c r="K69" i="43"/>
  <c r="K67" i="42"/>
  <c r="M67" i="42" s="1"/>
  <c r="K57" i="42"/>
  <c r="M57" i="42" s="1"/>
  <c r="K47" i="42"/>
  <c r="M47" i="42" s="1"/>
  <c r="K31" i="42"/>
  <c r="M31" i="42" s="1"/>
  <c r="C78" i="22"/>
  <c r="K78" i="22" s="1"/>
  <c r="C48" i="22"/>
  <c r="D48" i="22" s="1"/>
  <c r="J48" i="22" s="1"/>
  <c r="F81" i="42"/>
  <c r="H81" i="42" s="1"/>
  <c r="N97" i="42"/>
  <c r="N89" i="42"/>
  <c r="N81" i="42"/>
  <c r="N73" i="42"/>
  <c r="N65" i="42"/>
  <c r="N57" i="42"/>
  <c r="N49" i="42"/>
  <c r="N41" i="42"/>
  <c r="N33" i="42"/>
  <c r="Q80" i="22"/>
  <c r="K80" i="22"/>
  <c r="N9" i="42"/>
  <c r="G75" i="43"/>
  <c r="J75" i="43" s="1"/>
  <c r="D69" i="43"/>
  <c r="F69" i="43" s="1"/>
  <c r="E51" i="43"/>
  <c r="H51" i="43" s="1"/>
  <c r="L75" i="43"/>
  <c r="C27" i="43"/>
  <c r="D27" i="43"/>
  <c r="F27" i="43" s="1"/>
  <c r="C99" i="43"/>
  <c r="G73" i="43"/>
  <c r="J73" i="43" s="1"/>
  <c r="G69" i="43"/>
  <c r="J69" i="43" s="1"/>
  <c r="I51" i="43"/>
  <c r="D47" i="43"/>
  <c r="F47" i="43" s="1"/>
  <c r="K39" i="43"/>
  <c r="E65" i="43"/>
  <c r="H65" i="43" s="1"/>
  <c r="D67" i="43"/>
  <c r="F67" i="43" s="1"/>
  <c r="K67" i="43"/>
  <c r="E61" i="43"/>
  <c r="H61" i="43" s="1"/>
  <c r="G49" i="43"/>
  <c r="J49" i="43" s="1"/>
  <c r="K43" i="43"/>
  <c r="L43" i="43"/>
  <c r="I35" i="43"/>
  <c r="L40" i="22"/>
  <c r="U40" i="22" s="1"/>
  <c r="C32" i="22"/>
  <c r="O32" i="22" s="1"/>
  <c r="E73" i="43"/>
  <c r="H73" i="43" s="1"/>
  <c r="E69" i="43"/>
  <c r="H69" i="43" s="1"/>
  <c r="L73" i="43"/>
  <c r="K77" i="42"/>
  <c r="M77" i="42" s="1"/>
  <c r="K69" i="42"/>
  <c r="M69" i="42" s="1"/>
  <c r="K65" i="42"/>
  <c r="M65" i="42" s="1"/>
  <c r="K59" i="42"/>
  <c r="M59" i="42" s="1"/>
  <c r="K49" i="42"/>
  <c r="M49" i="42" s="1"/>
  <c r="K43" i="42"/>
  <c r="M43" i="42" s="1"/>
  <c r="K35" i="42"/>
  <c r="M35" i="42" s="1"/>
  <c r="K27" i="42"/>
  <c r="M27" i="42" s="1"/>
  <c r="C74" i="22"/>
  <c r="Q74" i="22" s="1"/>
  <c r="C62" i="22"/>
  <c r="Q62" i="22" s="1"/>
  <c r="C44" i="22"/>
  <c r="S44" i="22" s="1"/>
  <c r="C28" i="22"/>
  <c r="E28" i="22" s="1"/>
  <c r="F28" i="22" s="1"/>
  <c r="H28" i="22" s="1"/>
  <c r="F55" i="42"/>
  <c r="H55" i="42" s="1"/>
  <c r="C42" i="22"/>
  <c r="L42" i="22" s="1"/>
  <c r="U42" i="22" s="1"/>
  <c r="E20" i="42"/>
  <c r="G20" i="42" s="1"/>
  <c r="C102" i="43"/>
  <c r="E34" i="43"/>
  <c r="H34" i="43" s="1"/>
  <c r="D96" i="43"/>
  <c r="F96" i="43" s="1"/>
  <c r="K70" i="43"/>
  <c r="H4" i="48"/>
  <c r="E70" i="22"/>
  <c r="F70" i="22" s="1"/>
  <c r="G70" i="22" s="1"/>
  <c r="K84" i="42"/>
  <c r="M84" i="42" s="1"/>
  <c r="F102" i="42"/>
  <c r="H102" i="42" s="1"/>
  <c r="F94" i="42"/>
  <c r="H94" i="42" s="1"/>
  <c r="F86" i="42"/>
  <c r="H86" i="42" s="1"/>
  <c r="F78" i="42"/>
  <c r="H78" i="42" s="1"/>
  <c r="F70" i="42"/>
  <c r="H70" i="42" s="1"/>
  <c r="F62" i="42"/>
  <c r="H62" i="42" s="1"/>
  <c r="F54" i="42"/>
  <c r="H54" i="42" s="1"/>
  <c r="F46" i="42"/>
  <c r="H46" i="42" s="1"/>
  <c r="F38" i="42"/>
  <c r="H38" i="42" s="1"/>
  <c r="F30" i="42"/>
  <c r="H30" i="42" s="1"/>
  <c r="F26" i="42"/>
  <c r="H26" i="42" s="1"/>
  <c r="I98" i="42"/>
  <c r="I62" i="42"/>
  <c r="D88" i="43"/>
  <c r="F88" i="43" s="1"/>
  <c r="C100" i="43"/>
  <c r="C93" i="22"/>
  <c r="K93" i="22" s="1"/>
  <c r="X8" i="48"/>
  <c r="I102" i="43"/>
  <c r="C34" i="43"/>
  <c r="G34" i="43"/>
  <c r="J34" i="43" s="1"/>
  <c r="G96" i="43"/>
  <c r="J96" i="43" s="1"/>
  <c r="L70" i="43"/>
  <c r="E57" i="43"/>
  <c r="H57" i="43" s="1"/>
  <c r="G70" i="43"/>
  <c r="J70" i="43" s="1"/>
  <c r="D86" i="43"/>
  <c r="F86" i="43" s="1"/>
  <c r="K102" i="42"/>
  <c r="M102" i="42" s="1"/>
  <c r="K96" i="42"/>
  <c r="M96" i="42" s="1"/>
  <c r="K92" i="42"/>
  <c r="M92" i="42" s="1"/>
  <c r="K86" i="42"/>
  <c r="M86" i="42" s="1"/>
  <c r="K80" i="42"/>
  <c r="M80" i="42" s="1"/>
  <c r="K34" i="42"/>
  <c r="M34" i="42" s="1"/>
  <c r="F97" i="42"/>
  <c r="H97" i="42" s="1"/>
  <c r="F69" i="42"/>
  <c r="H69" i="42" s="1"/>
  <c r="F45" i="42"/>
  <c r="H45" i="42" s="1"/>
  <c r="I22" i="42"/>
  <c r="N94" i="42"/>
  <c r="I70" i="42"/>
  <c r="N54" i="42"/>
  <c r="I100" i="43"/>
  <c r="K100" i="43"/>
  <c r="L100" i="43"/>
  <c r="C101" i="22"/>
  <c r="S101" i="22" s="1"/>
  <c r="E3" i="42"/>
  <c r="F3" i="42" s="1"/>
  <c r="H3" i="42" s="1"/>
  <c r="M3" i="49"/>
  <c r="O3" i="49" s="1"/>
  <c r="M12" i="49"/>
  <c r="O12" i="49" s="1"/>
  <c r="Q12" i="49" s="1"/>
  <c r="M5" i="49"/>
  <c r="O5" i="49" s="1"/>
  <c r="Q5" i="49" s="1"/>
  <c r="M9" i="49"/>
  <c r="O9" i="49" s="1"/>
  <c r="Q9" i="49" s="1"/>
  <c r="M4" i="49"/>
  <c r="O4" i="49" s="1"/>
  <c r="M8" i="49"/>
  <c r="O8" i="49" s="1"/>
  <c r="Q8" i="49" s="1"/>
  <c r="M7" i="49"/>
  <c r="O7" i="49" s="1"/>
  <c r="Q7" i="49" s="1"/>
  <c r="M11" i="49"/>
  <c r="O11" i="49" s="1"/>
  <c r="Q11" i="49" s="1"/>
  <c r="M6" i="49"/>
  <c r="O6" i="49" s="1"/>
  <c r="Q6" i="49" s="1"/>
  <c r="M10" i="49"/>
  <c r="O10" i="49" s="1"/>
  <c r="Q10" i="49" s="1"/>
  <c r="E21" i="49"/>
  <c r="D21" i="49" s="1"/>
  <c r="L80" i="52"/>
  <c r="F80" i="52"/>
  <c r="K80" i="52"/>
  <c r="D80" i="52"/>
  <c r="E80" i="52" s="1"/>
  <c r="I80" i="52"/>
  <c r="C80" i="52"/>
  <c r="H80" i="52"/>
  <c r="J80" i="52" s="1"/>
  <c r="C52" i="53"/>
  <c r="H52" i="53"/>
  <c r="J52" i="53" s="1"/>
  <c r="L52" i="53"/>
  <c r="F52" i="53"/>
  <c r="D52" i="53"/>
  <c r="G52" i="53" s="1"/>
  <c r="K52" i="53"/>
  <c r="I52" i="53"/>
  <c r="L96" i="53"/>
  <c r="K96" i="53"/>
  <c r="E46" i="53"/>
  <c r="F58" i="52"/>
  <c r="G71" i="53"/>
  <c r="F36" i="51"/>
  <c r="H36" i="51" s="1"/>
  <c r="L63" i="52"/>
  <c r="L84" i="43"/>
  <c r="G43" i="53"/>
  <c r="E97" i="53"/>
  <c r="E31" i="43"/>
  <c r="H31" i="43" s="1"/>
  <c r="L65" i="53"/>
  <c r="H16" i="52"/>
  <c r="J16" i="52" s="1"/>
  <c r="E85" i="53"/>
  <c r="E86" i="52"/>
  <c r="F30" i="53"/>
  <c r="L30" i="53"/>
  <c r="K30" i="53"/>
  <c r="C30" i="53"/>
  <c r="D30" i="53"/>
  <c r="E30" i="53" s="1"/>
  <c r="I30" i="53"/>
  <c r="H30" i="53"/>
  <c r="J30" i="53" s="1"/>
  <c r="G77" i="43"/>
  <c r="J77" i="43" s="1"/>
  <c r="E77" i="43"/>
  <c r="H77" i="43" s="1"/>
  <c r="L77" i="43"/>
  <c r="C77" i="43"/>
  <c r="F66" i="53"/>
  <c r="H66" i="53"/>
  <c r="J66" i="53" s="1"/>
  <c r="K66" i="53"/>
  <c r="D66" i="53"/>
  <c r="E66" i="53" s="1"/>
  <c r="L66" i="53"/>
  <c r="I66" i="53"/>
  <c r="C66" i="53"/>
  <c r="G75" i="53"/>
  <c r="C96" i="43"/>
  <c r="H47" i="52"/>
  <c r="J47" i="52" s="1"/>
  <c r="H21" i="52"/>
  <c r="J21" i="52" s="1"/>
  <c r="C57" i="43"/>
  <c r="I96" i="43"/>
  <c r="G57" i="43"/>
  <c r="J57" i="43" s="1"/>
  <c r="H102" i="48"/>
  <c r="J102" i="48" s="1"/>
  <c r="L102" i="48" s="1"/>
  <c r="E101" i="49"/>
  <c r="D101" i="49" s="1"/>
  <c r="H100" i="48"/>
  <c r="J100" i="48" s="1"/>
  <c r="L100" i="48" s="1"/>
  <c r="E99" i="49"/>
  <c r="D99" i="49" s="1"/>
  <c r="H98" i="48"/>
  <c r="J98" i="48" s="1"/>
  <c r="L98" i="48" s="1"/>
  <c r="E97" i="49"/>
  <c r="D97" i="49" s="1"/>
  <c r="H96" i="48"/>
  <c r="J96" i="48" s="1"/>
  <c r="L96" i="48" s="1"/>
  <c r="E95" i="49"/>
  <c r="D95" i="49" s="1"/>
  <c r="H94" i="48"/>
  <c r="J94" i="48" s="1"/>
  <c r="L94" i="48" s="1"/>
  <c r="E93" i="49"/>
  <c r="D93" i="49" s="1"/>
  <c r="H92" i="48"/>
  <c r="J92" i="48" s="1"/>
  <c r="L92" i="48" s="1"/>
  <c r="E91" i="49"/>
  <c r="D91" i="49" s="1"/>
  <c r="H90" i="48"/>
  <c r="J90" i="48" s="1"/>
  <c r="L90" i="48" s="1"/>
  <c r="E89" i="49"/>
  <c r="D89" i="49" s="1"/>
  <c r="H88" i="48"/>
  <c r="J88" i="48" s="1"/>
  <c r="L88" i="48" s="1"/>
  <c r="E87" i="49"/>
  <c r="D87" i="49" s="1"/>
  <c r="H86" i="48"/>
  <c r="J86" i="48" s="1"/>
  <c r="L86" i="48" s="1"/>
  <c r="E85" i="49"/>
  <c r="D85" i="49" s="1"/>
  <c r="H84" i="48"/>
  <c r="J84" i="48" s="1"/>
  <c r="L84" i="48" s="1"/>
  <c r="E83" i="49"/>
  <c r="D83" i="49" s="1"/>
  <c r="H82" i="48"/>
  <c r="J82" i="48" s="1"/>
  <c r="L82" i="48" s="1"/>
  <c r="E81" i="49"/>
  <c r="D81" i="49" s="1"/>
  <c r="H80" i="48"/>
  <c r="J80" i="48" s="1"/>
  <c r="L80" i="48" s="1"/>
  <c r="E79" i="49"/>
  <c r="D79" i="49" s="1"/>
  <c r="H78" i="48"/>
  <c r="J78" i="48" s="1"/>
  <c r="L78" i="48" s="1"/>
  <c r="E77" i="49"/>
  <c r="D77" i="49" s="1"/>
  <c r="H76" i="48"/>
  <c r="J76" i="48" s="1"/>
  <c r="L76" i="48" s="1"/>
  <c r="E75" i="49"/>
  <c r="D75" i="49" s="1"/>
  <c r="H74" i="48"/>
  <c r="J74" i="48" s="1"/>
  <c r="L74" i="48" s="1"/>
  <c r="E73" i="49"/>
  <c r="D73" i="49" s="1"/>
  <c r="H72" i="48"/>
  <c r="J72" i="48" s="1"/>
  <c r="L72" i="48" s="1"/>
  <c r="E71" i="49"/>
  <c r="D71" i="49" s="1"/>
  <c r="H70" i="48"/>
  <c r="J70" i="48" s="1"/>
  <c r="L70" i="48" s="1"/>
  <c r="E69" i="49"/>
  <c r="D69" i="49" s="1"/>
  <c r="H68" i="48"/>
  <c r="J68" i="48" s="1"/>
  <c r="L68" i="48" s="1"/>
  <c r="E67" i="49"/>
  <c r="D67" i="49" s="1"/>
  <c r="H66" i="48"/>
  <c r="J66" i="48" s="1"/>
  <c r="L66" i="48" s="1"/>
  <c r="E65" i="49"/>
  <c r="D65" i="49" s="1"/>
  <c r="H64" i="48"/>
  <c r="J64" i="48" s="1"/>
  <c r="L64" i="48" s="1"/>
  <c r="E63" i="49"/>
  <c r="D63" i="49" s="1"/>
  <c r="H62" i="48"/>
  <c r="J62" i="48" s="1"/>
  <c r="L62" i="48" s="1"/>
  <c r="E61" i="49"/>
  <c r="D61" i="49" s="1"/>
  <c r="H60" i="48"/>
  <c r="J60" i="48" s="1"/>
  <c r="L60" i="48" s="1"/>
  <c r="E59" i="49"/>
  <c r="D59" i="49" s="1"/>
  <c r="H58" i="48"/>
  <c r="J58" i="48" s="1"/>
  <c r="L58" i="48" s="1"/>
  <c r="E57" i="49"/>
  <c r="D57" i="49" s="1"/>
  <c r="H56" i="48"/>
  <c r="J56" i="48" s="1"/>
  <c r="L56" i="48" s="1"/>
  <c r="E55" i="49"/>
  <c r="D55" i="49" s="1"/>
  <c r="H54" i="48"/>
  <c r="J54" i="48" s="1"/>
  <c r="L54" i="48" s="1"/>
  <c r="E53" i="49"/>
  <c r="D53" i="49" s="1"/>
  <c r="H52" i="48"/>
  <c r="J52" i="48" s="1"/>
  <c r="L52" i="48" s="1"/>
  <c r="E51" i="49"/>
  <c r="D51" i="49" s="1"/>
  <c r="H50" i="48"/>
  <c r="J50" i="48" s="1"/>
  <c r="L50" i="48" s="1"/>
  <c r="E49" i="49"/>
  <c r="D49" i="49" s="1"/>
  <c r="H48" i="48"/>
  <c r="J48" i="48" s="1"/>
  <c r="L48" i="48" s="1"/>
  <c r="E47" i="49"/>
  <c r="D47" i="49" s="1"/>
  <c r="H46" i="48"/>
  <c r="J46" i="48" s="1"/>
  <c r="L46" i="48" s="1"/>
  <c r="E45" i="49"/>
  <c r="D45" i="49" s="1"/>
  <c r="H44" i="48"/>
  <c r="J44" i="48" s="1"/>
  <c r="L44" i="48" s="1"/>
  <c r="E43" i="49"/>
  <c r="D43" i="49" s="1"/>
  <c r="H42" i="48"/>
  <c r="J42" i="48" s="1"/>
  <c r="L42" i="48" s="1"/>
  <c r="E41" i="49"/>
  <c r="D41" i="49" s="1"/>
  <c r="H40" i="48"/>
  <c r="J40" i="48" s="1"/>
  <c r="L40" i="48" s="1"/>
  <c r="E39" i="49"/>
  <c r="D39" i="49" s="1"/>
  <c r="H38" i="48"/>
  <c r="J38" i="48" s="1"/>
  <c r="L38" i="48" s="1"/>
  <c r="E37" i="49"/>
  <c r="D37" i="49" s="1"/>
  <c r="H36" i="48"/>
  <c r="J36" i="48" s="1"/>
  <c r="L36" i="48" s="1"/>
  <c r="E35" i="49"/>
  <c r="D35" i="49" s="1"/>
  <c r="H34" i="48"/>
  <c r="J34" i="48" s="1"/>
  <c r="L34" i="48" s="1"/>
  <c r="E33" i="49"/>
  <c r="D33" i="49" s="1"/>
  <c r="I2" i="42"/>
  <c r="J3" i="42" s="1"/>
  <c r="K3" i="42" s="1"/>
  <c r="M3" i="42" s="1"/>
  <c r="E38" i="53"/>
  <c r="E54" i="53"/>
  <c r="K96" i="43"/>
  <c r="E96" i="43"/>
  <c r="H96" i="43" s="1"/>
  <c r="G32" i="53"/>
  <c r="G62" i="53"/>
  <c r="C47" i="52"/>
  <c r="G53" i="53"/>
  <c r="F68" i="42"/>
  <c r="H68" i="42" s="1"/>
  <c r="F5" i="50"/>
  <c r="H5" i="50" s="1"/>
  <c r="G22" i="53"/>
  <c r="D9" i="52"/>
  <c r="H103" i="48"/>
  <c r="J103" i="48" s="1"/>
  <c r="L103" i="48" s="1"/>
  <c r="E102" i="49"/>
  <c r="D102" i="49" s="1"/>
  <c r="H101" i="48"/>
  <c r="J101" i="48" s="1"/>
  <c r="L101" i="48" s="1"/>
  <c r="E100" i="49"/>
  <c r="D100" i="49" s="1"/>
  <c r="H99" i="48"/>
  <c r="J99" i="48" s="1"/>
  <c r="L99" i="48" s="1"/>
  <c r="E98" i="49"/>
  <c r="D98" i="49" s="1"/>
  <c r="H97" i="48"/>
  <c r="J97" i="48" s="1"/>
  <c r="L97" i="48" s="1"/>
  <c r="E96" i="49"/>
  <c r="D96" i="49" s="1"/>
  <c r="H95" i="48"/>
  <c r="J95" i="48" s="1"/>
  <c r="L95" i="48" s="1"/>
  <c r="E94" i="49"/>
  <c r="D94" i="49" s="1"/>
  <c r="H93" i="48"/>
  <c r="J93" i="48" s="1"/>
  <c r="L93" i="48" s="1"/>
  <c r="E92" i="49"/>
  <c r="D92" i="49" s="1"/>
  <c r="H91" i="48"/>
  <c r="J91" i="48" s="1"/>
  <c r="L91" i="48" s="1"/>
  <c r="E90" i="49"/>
  <c r="D90" i="49" s="1"/>
  <c r="H89" i="48"/>
  <c r="J89" i="48" s="1"/>
  <c r="L89" i="48" s="1"/>
  <c r="E88" i="49"/>
  <c r="D88" i="49" s="1"/>
  <c r="H87" i="48"/>
  <c r="J87" i="48" s="1"/>
  <c r="L87" i="48" s="1"/>
  <c r="E86" i="49"/>
  <c r="D86" i="49" s="1"/>
  <c r="H85" i="48"/>
  <c r="J85" i="48" s="1"/>
  <c r="L85" i="48" s="1"/>
  <c r="E84" i="49"/>
  <c r="D84" i="49" s="1"/>
  <c r="H83" i="48"/>
  <c r="J83" i="48" s="1"/>
  <c r="L83" i="48" s="1"/>
  <c r="E82" i="49"/>
  <c r="D82" i="49" s="1"/>
  <c r="H81" i="48"/>
  <c r="J81" i="48" s="1"/>
  <c r="L81" i="48" s="1"/>
  <c r="E80" i="49"/>
  <c r="D80" i="49" s="1"/>
  <c r="H79" i="48"/>
  <c r="J79" i="48" s="1"/>
  <c r="L79" i="48" s="1"/>
  <c r="E78" i="49"/>
  <c r="D78" i="49" s="1"/>
  <c r="H77" i="48"/>
  <c r="J77" i="48" s="1"/>
  <c r="L77" i="48" s="1"/>
  <c r="E76" i="49"/>
  <c r="D76" i="49" s="1"/>
  <c r="H75" i="48"/>
  <c r="J75" i="48" s="1"/>
  <c r="L75" i="48" s="1"/>
  <c r="E74" i="49"/>
  <c r="D74" i="49" s="1"/>
  <c r="H73" i="48"/>
  <c r="J73" i="48" s="1"/>
  <c r="L73" i="48" s="1"/>
  <c r="E72" i="49"/>
  <c r="D72" i="49" s="1"/>
  <c r="H71" i="48"/>
  <c r="J71" i="48" s="1"/>
  <c r="L71" i="48" s="1"/>
  <c r="E70" i="49"/>
  <c r="D70" i="49" s="1"/>
  <c r="H69" i="48"/>
  <c r="J69" i="48" s="1"/>
  <c r="L69" i="48" s="1"/>
  <c r="E68" i="49"/>
  <c r="D68" i="49" s="1"/>
  <c r="H67" i="48"/>
  <c r="J67" i="48" s="1"/>
  <c r="L67" i="48" s="1"/>
  <c r="E66" i="49"/>
  <c r="D66" i="49" s="1"/>
  <c r="H65" i="48"/>
  <c r="J65" i="48" s="1"/>
  <c r="L65" i="48" s="1"/>
  <c r="E64" i="49"/>
  <c r="D64" i="49" s="1"/>
  <c r="H63" i="48"/>
  <c r="J63" i="48" s="1"/>
  <c r="L63" i="48" s="1"/>
  <c r="E62" i="49"/>
  <c r="D62" i="49" s="1"/>
  <c r="H61" i="48"/>
  <c r="J61" i="48" s="1"/>
  <c r="L61" i="48" s="1"/>
  <c r="E60" i="49"/>
  <c r="D60" i="49" s="1"/>
  <c r="H59" i="48"/>
  <c r="J59" i="48" s="1"/>
  <c r="L59" i="48" s="1"/>
  <c r="E58" i="49"/>
  <c r="D58" i="49" s="1"/>
  <c r="H57" i="48"/>
  <c r="J57" i="48" s="1"/>
  <c r="L57" i="48" s="1"/>
  <c r="E56" i="49"/>
  <c r="D56" i="49" s="1"/>
  <c r="H55" i="48"/>
  <c r="J55" i="48" s="1"/>
  <c r="L55" i="48" s="1"/>
  <c r="E54" i="49"/>
  <c r="D54" i="49" s="1"/>
  <c r="H53" i="48"/>
  <c r="J53" i="48" s="1"/>
  <c r="L53" i="48" s="1"/>
  <c r="E52" i="49"/>
  <c r="D52" i="49" s="1"/>
  <c r="H51" i="48"/>
  <c r="J51" i="48" s="1"/>
  <c r="L51" i="48" s="1"/>
  <c r="E50" i="49"/>
  <c r="D50" i="49" s="1"/>
  <c r="H49" i="48"/>
  <c r="J49" i="48" s="1"/>
  <c r="L49" i="48" s="1"/>
  <c r="E48" i="49"/>
  <c r="D48" i="49" s="1"/>
  <c r="H47" i="48"/>
  <c r="J47" i="48" s="1"/>
  <c r="L47" i="48" s="1"/>
  <c r="E46" i="49"/>
  <c r="D46" i="49" s="1"/>
  <c r="H45" i="48"/>
  <c r="J45" i="48" s="1"/>
  <c r="L45" i="48" s="1"/>
  <c r="E44" i="49"/>
  <c r="D44" i="49" s="1"/>
  <c r="H43" i="48"/>
  <c r="J43" i="48" s="1"/>
  <c r="L43" i="48" s="1"/>
  <c r="E42" i="49"/>
  <c r="D42" i="49" s="1"/>
  <c r="H41" i="48"/>
  <c r="J41" i="48" s="1"/>
  <c r="L41" i="48" s="1"/>
  <c r="E40" i="49"/>
  <c r="D40" i="49" s="1"/>
  <c r="H39" i="48"/>
  <c r="J39" i="48" s="1"/>
  <c r="L39" i="48" s="1"/>
  <c r="E38" i="49"/>
  <c r="D38" i="49" s="1"/>
  <c r="H37" i="48"/>
  <c r="J37" i="48" s="1"/>
  <c r="L37" i="48" s="1"/>
  <c r="E36" i="49"/>
  <c r="D36" i="49" s="1"/>
  <c r="H35" i="48"/>
  <c r="J35" i="48" s="1"/>
  <c r="L35" i="48" s="1"/>
  <c r="E34" i="49"/>
  <c r="D34" i="49" s="1"/>
  <c r="K94" i="51"/>
  <c r="M94" i="51" s="1"/>
  <c r="G95" i="51"/>
  <c r="K80" i="43"/>
  <c r="D80" i="43"/>
  <c r="F80" i="43" s="1"/>
  <c r="E23" i="49"/>
  <c r="D23" i="49" s="1"/>
  <c r="J10" i="42"/>
  <c r="C11" i="22" s="1"/>
  <c r="O79" i="22"/>
  <c r="K79" i="22"/>
  <c r="N79" i="22"/>
  <c r="E18" i="42"/>
  <c r="G18" i="42" s="1"/>
  <c r="I18" i="42"/>
  <c r="J18" i="42" s="1"/>
  <c r="C19" i="22" s="1"/>
  <c r="N30" i="42"/>
  <c r="I30" i="42"/>
  <c r="N38" i="42"/>
  <c r="I38" i="42"/>
  <c r="N50" i="42"/>
  <c r="I50" i="42"/>
  <c r="I64" i="42"/>
  <c r="N64" i="42"/>
  <c r="N74" i="42"/>
  <c r="I74" i="42"/>
  <c r="N90" i="42"/>
  <c r="I90" i="42"/>
  <c r="I102" i="42"/>
  <c r="N102" i="42"/>
  <c r="G23" i="42"/>
  <c r="F23" i="42"/>
  <c r="H23" i="42" s="1"/>
  <c r="G27" i="42"/>
  <c r="F27" i="42"/>
  <c r="H27" i="42" s="1"/>
  <c r="G35" i="42"/>
  <c r="F35" i="42"/>
  <c r="H35" i="42" s="1"/>
  <c r="G41" i="42"/>
  <c r="F41" i="42"/>
  <c r="H41" i="42" s="1"/>
  <c r="G47" i="42"/>
  <c r="F47" i="42"/>
  <c r="H47" i="42" s="1"/>
  <c r="G53" i="42"/>
  <c r="F53" i="42"/>
  <c r="H53" i="42" s="1"/>
  <c r="G57" i="42"/>
  <c r="F57" i="42"/>
  <c r="H57" i="42" s="1"/>
  <c r="G65" i="42"/>
  <c r="F65" i="42"/>
  <c r="H65" i="42" s="1"/>
  <c r="G73" i="42"/>
  <c r="F73" i="42"/>
  <c r="H73" i="42" s="1"/>
  <c r="G79" i="42"/>
  <c r="F79" i="42"/>
  <c r="H79" i="42" s="1"/>
  <c r="G85" i="42"/>
  <c r="F85" i="42"/>
  <c r="H85" i="42" s="1"/>
  <c r="G93" i="42"/>
  <c r="F93" i="42"/>
  <c r="H93" i="42" s="1"/>
  <c r="G101" i="42"/>
  <c r="F101" i="42"/>
  <c r="H101" i="42" s="1"/>
  <c r="L26" i="42"/>
  <c r="B26" i="43" s="1"/>
  <c r="C26" i="43" s="1"/>
  <c r="K26" i="42"/>
  <c r="M26" i="42" s="1"/>
  <c r="E30" i="43"/>
  <c r="H30" i="43" s="1"/>
  <c r="K30" i="43"/>
  <c r="K45" i="22"/>
  <c r="E45" i="22"/>
  <c r="F45" i="22" s="1"/>
  <c r="G45" i="22" s="1"/>
  <c r="L46" i="42"/>
  <c r="B46" i="43" s="1"/>
  <c r="K46" i="42"/>
  <c r="M46" i="42" s="1"/>
  <c r="L50" i="42"/>
  <c r="B50" i="43" s="1"/>
  <c r="D50" i="43" s="1"/>
  <c r="F50" i="43" s="1"/>
  <c r="K50" i="42"/>
  <c r="M50" i="42" s="1"/>
  <c r="L54" i="42"/>
  <c r="B54" i="43" s="1"/>
  <c r="K54" i="43" s="1"/>
  <c r="C55" i="22"/>
  <c r="I55" i="22" s="1"/>
  <c r="L58" i="42"/>
  <c r="B58" i="43" s="1"/>
  <c r="K58" i="43" s="1"/>
  <c r="C59" i="22"/>
  <c r="E59" i="22" s="1"/>
  <c r="F59" i="22" s="1"/>
  <c r="H59" i="22" s="1"/>
  <c r="K58" i="42"/>
  <c r="M58" i="42" s="1"/>
  <c r="L62" i="42"/>
  <c r="B62" i="43" s="1"/>
  <c r="G62" i="43" s="1"/>
  <c r="J62" i="43" s="1"/>
  <c r="C63" i="22"/>
  <c r="S63" i="22" s="1"/>
  <c r="L66" i="42"/>
  <c r="B66" i="43" s="1"/>
  <c r="K66" i="43" s="1"/>
  <c r="C67" i="22"/>
  <c r="K67" i="22" s="1"/>
  <c r="K66" i="42"/>
  <c r="M66" i="42" s="1"/>
  <c r="L74" i="42"/>
  <c r="B74" i="43" s="1"/>
  <c r="K74" i="43" s="1"/>
  <c r="C75" i="22"/>
  <c r="S75" i="22" s="1"/>
  <c r="L78" i="42"/>
  <c r="B78" i="43" s="1"/>
  <c r="K78" i="42"/>
  <c r="M78" i="42" s="1"/>
  <c r="L81" i="42"/>
  <c r="B81" i="43" s="1"/>
  <c r="C82" i="22"/>
  <c r="L89" i="42"/>
  <c r="B89" i="43" s="1"/>
  <c r="C90" i="22"/>
  <c r="E90" i="22" s="1"/>
  <c r="F90" i="22" s="1"/>
  <c r="H90" i="22" s="1"/>
  <c r="L93" i="42"/>
  <c r="B93" i="43" s="1"/>
  <c r="C94" i="22"/>
  <c r="D94" i="22" s="1"/>
  <c r="L97" i="42"/>
  <c r="B97" i="43" s="1"/>
  <c r="C98" i="22"/>
  <c r="D98" i="22" s="1"/>
  <c r="K97" i="42"/>
  <c r="M97" i="42" s="1"/>
  <c r="L101" i="42"/>
  <c r="B101" i="43" s="1"/>
  <c r="C102" i="22"/>
  <c r="K102" i="22" s="1"/>
  <c r="I6" i="42"/>
  <c r="N6" i="42" s="1"/>
  <c r="E7" i="42"/>
  <c r="G7" i="42" s="1"/>
  <c r="I30" i="43"/>
  <c r="C30" i="43"/>
  <c r="G30" i="43"/>
  <c r="J30" i="43" s="1"/>
  <c r="I34" i="43"/>
  <c r="K34" i="43"/>
  <c r="D34" i="43"/>
  <c r="F34" i="43" s="1"/>
  <c r="D70" i="43"/>
  <c r="F70" i="43" s="1"/>
  <c r="G99" i="43"/>
  <c r="J99" i="43" s="1"/>
  <c r="K65" i="43"/>
  <c r="E70" i="43"/>
  <c r="H70" i="43" s="1"/>
  <c r="C70" i="43"/>
  <c r="K70" i="42"/>
  <c r="M70" i="42" s="1"/>
  <c r="K54" i="42"/>
  <c r="M54" i="42" s="1"/>
  <c r="K30" i="42"/>
  <c r="M30" i="42" s="1"/>
  <c r="K101" i="42"/>
  <c r="M101" i="42" s="1"/>
  <c r="K89" i="42"/>
  <c r="M89" i="42" s="1"/>
  <c r="F89" i="42"/>
  <c r="H89" i="42" s="1"/>
  <c r="F77" i="42"/>
  <c r="H77" i="42" s="1"/>
  <c r="F61" i="42"/>
  <c r="H61" i="42" s="1"/>
  <c r="F49" i="42"/>
  <c r="H49" i="42" s="1"/>
  <c r="F37" i="42"/>
  <c r="H37" i="42" s="1"/>
  <c r="F25" i="42"/>
  <c r="H25" i="42" s="1"/>
  <c r="N96" i="42"/>
  <c r="I86" i="42"/>
  <c r="N78" i="42"/>
  <c r="I66" i="42"/>
  <c r="N58" i="42"/>
  <c r="I34" i="42"/>
  <c r="E6" i="42"/>
  <c r="G6" i="42" s="1"/>
  <c r="S79" i="22"/>
  <c r="D79" i="22"/>
  <c r="P79" i="22" s="1"/>
  <c r="C71" i="22"/>
  <c r="S71" i="22" s="1"/>
  <c r="G100" i="52"/>
  <c r="G82" i="52"/>
  <c r="E72" i="52"/>
  <c r="H100" i="52"/>
  <c r="J100" i="52" s="1"/>
  <c r="K99" i="52"/>
  <c r="D99" i="52"/>
  <c r="H98" i="52"/>
  <c r="J98" i="52" s="1"/>
  <c r="K97" i="52"/>
  <c r="D97" i="52"/>
  <c r="G97" i="52" s="1"/>
  <c r="H96" i="52"/>
  <c r="J96" i="52" s="1"/>
  <c r="I100" i="52"/>
  <c r="C100" i="52"/>
  <c r="F99" i="52"/>
  <c r="I98" i="52"/>
  <c r="C98" i="52"/>
  <c r="F97" i="52"/>
  <c r="I96" i="52"/>
  <c r="C96" i="52"/>
  <c r="K35" i="52"/>
  <c r="D35" i="52"/>
  <c r="G35" i="52" s="1"/>
  <c r="H34" i="52"/>
  <c r="J34" i="52" s="1"/>
  <c r="K33" i="52"/>
  <c r="D33" i="52"/>
  <c r="G33" i="52" s="1"/>
  <c r="H32" i="52"/>
  <c r="J32" i="52" s="1"/>
  <c r="K31" i="52"/>
  <c r="D31" i="52"/>
  <c r="G31" i="52" s="1"/>
  <c r="H30" i="52"/>
  <c r="J30" i="52" s="1"/>
  <c r="K29" i="52"/>
  <c r="D29" i="52"/>
  <c r="I35" i="52"/>
  <c r="C35" i="52"/>
  <c r="F34" i="52"/>
  <c r="I33" i="52"/>
  <c r="C33" i="52"/>
  <c r="F32" i="52"/>
  <c r="I31" i="52"/>
  <c r="C31" i="52"/>
  <c r="F30" i="52"/>
  <c r="I29" i="52"/>
  <c r="C29" i="52"/>
  <c r="L102" i="43"/>
  <c r="D102" i="43"/>
  <c r="F102" i="43" s="1"/>
  <c r="G102" i="43"/>
  <c r="J102" i="43" s="1"/>
  <c r="I47" i="43"/>
  <c r="K41" i="43"/>
  <c r="L47" i="43"/>
  <c r="I73" i="43"/>
  <c r="D59" i="43"/>
  <c r="F59" i="43" s="1"/>
  <c r="C69" i="43"/>
  <c r="C39" i="43"/>
  <c r="G31" i="43"/>
  <c r="J31" i="43" s="1"/>
  <c r="K75" i="43"/>
  <c r="K57" i="43"/>
  <c r="C59" i="43"/>
  <c r="E27" i="43"/>
  <c r="H27" i="43" s="1"/>
  <c r="L27" i="43"/>
  <c r="D23" i="43"/>
  <c r="F23" i="43" s="1"/>
  <c r="K77" i="43"/>
  <c r="D77" i="43"/>
  <c r="F77" i="43" s="1"/>
  <c r="I77" i="43"/>
  <c r="C75" i="43"/>
  <c r="L69" i="43"/>
  <c r="I59" i="43"/>
  <c r="L51" i="43"/>
  <c r="D51" i="43"/>
  <c r="F51" i="43" s="1"/>
  <c r="G47" i="43"/>
  <c r="J47" i="43" s="1"/>
  <c r="I39" i="43"/>
  <c r="I67" i="43"/>
  <c r="E67" i="43"/>
  <c r="H67" i="43" s="1"/>
  <c r="D61" i="43"/>
  <c r="F61" i="43" s="1"/>
  <c r="L61" i="43"/>
  <c r="K61" i="43"/>
  <c r="C49" i="43"/>
  <c r="I43" i="43"/>
  <c r="E43" i="43"/>
  <c r="H43" i="43" s="1"/>
  <c r="G35" i="43"/>
  <c r="J35" i="43" s="1"/>
  <c r="E35" i="43"/>
  <c r="H35" i="43" s="1"/>
  <c r="D35" i="43"/>
  <c r="F35" i="43" s="1"/>
  <c r="G59" i="43"/>
  <c r="J59" i="43" s="1"/>
  <c r="E75" i="43"/>
  <c r="H75" i="43" s="1"/>
  <c r="I88" i="43"/>
  <c r="K88" i="43"/>
  <c r="G100" i="43"/>
  <c r="J100" i="43" s="1"/>
  <c r="D100" i="43"/>
  <c r="F100" i="43" s="1"/>
  <c r="I92" i="43"/>
  <c r="D57" i="43"/>
  <c r="F57" i="43" s="1"/>
  <c r="E70" i="53"/>
  <c r="E58" i="53"/>
  <c r="E98" i="53"/>
  <c r="E78" i="53"/>
  <c r="E52" i="53"/>
  <c r="E99" i="53"/>
  <c r="F46" i="52"/>
  <c r="I46" i="52"/>
  <c r="D92" i="43"/>
  <c r="F92" i="43" s="1"/>
  <c r="F30" i="50"/>
  <c r="H30" i="50" s="1"/>
  <c r="F28" i="50"/>
  <c r="H28" i="50" s="1"/>
  <c r="F26" i="50"/>
  <c r="H26" i="50" s="1"/>
  <c r="F24" i="50"/>
  <c r="H24" i="50" s="1"/>
  <c r="F22" i="50"/>
  <c r="H22" i="50" s="1"/>
  <c r="F20" i="50"/>
  <c r="H20" i="50" s="1"/>
  <c r="F18" i="50"/>
  <c r="H18" i="50" s="1"/>
  <c r="H16" i="53"/>
  <c r="J16" i="53" s="1"/>
  <c r="E84" i="43"/>
  <c r="H84" i="43" s="1"/>
  <c r="N7" i="42"/>
  <c r="G59" i="53"/>
  <c r="F15" i="53"/>
  <c r="K16" i="53"/>
  <c r="D15" i="53"/>
  <c r="L64" i="52"/>
  <c r="I64" i="52"/>
  <c r="H64" i="52"/>
  <c r="J64" i="52" s="1"/>
  <c r="E78" i="52"/>
  <c r="D65" i="43"/>
  <c r="F65" i="43" s="1"/>
  <c r="E44" i="53"/>
  <c r="E72" i="53"/>
  <c r="G82" i="53"/>
  <c r="E18" i="53"/>
  <c r="F43" i="52"/>
  <c r="K15" i="50"/>
  <c r="M15" i="50" s="1"/>
  <c r="D14" i="53"/>
  <c r="G84" i="43"/>
  <c r="J84" i="43" s="1"/>
  <c r="C84" i="43"/>
  <c r="L65" i="43"/>
  <c r="G67" i="53"/>
  <c r="G91" i="53"/>
  <c r="E91" i="53"/>
  <c r="G63" i="53"/>
  <c r="E63" i="53"/>
  <c r="E45" i="53"/>
  <c r="G45" i="53"/>
  <c r="E19" i="53"/>
  <c r="G19" i="53"/>
  <c r="F16" i="53"/>
  <c r="K14" i="53"/>
  <c r="S70" i="22"/>
  <c r="I79" i="22"/>
  <c r="Q79" i="22"/>
  <c r="L79" i="22"/>
  <c r="U79" i="22" s="1"/>
  <c r="L15" i="53"/>
  <c r="I15" i="53"/>
  <c r="G55" i="53"/>
  <c r="C92" i="43"/>
  <c r="I65" i="43"/>
  <c r="G65" i="43"/>
  <c r="J65" i="43" s="1"/>
  <c r="I43" i="52"/>
  <c r="F29" i="50"/>
  <c r="H29" i="50" s="1"/>
  <c r="F27" i="50"/>
  <c r="H27" i="50" s="1"/>
  <c r="F25" i="50"/>
  <c r="H25" i="50" s="1"/>
  <c r="F23" i="50"/>
  <c r="H23" i="50" s="1"/>
  <c r="F21" i="50"/>
  <c r="H21" i="50" s="1"/>
  <c r="F19" i="50"/>
  <c r="H19" i="50" s="1"/>
  <c r="L16" i="53"/>
  <c r="H14" i="53"/>
  <c r="J14" i="53" s="1"/>
  <c r="I84" i="43"/>
  <c r="H29" i="31"/>
  <c r="G38" i="52"/>
  <c r="C16" i="53"/>
  <c r="C14" i="53"/>
  <c r="F45" i="53"/>
  <c r="L45" i="53"/>
  <c r="K45" i="53"/>
  <c r="F71" i="53"/>
  <c r="H71" i="53"/>
  <c r="J71" i="53" s="1"/>
  <c r="L76" i="52"/>
  <c r="K76" i="52"/>
  <c r="H79" i="53"/>
  <c r="J79" i="53" s="1"/>
  <c r="K75" i="53"/>
  <c r="C75" i="53"/>
  <c r="L81" i="53"/>
  <c r="D77" i="53"/>
  <c r="I77" i="53"/>
  <c r="L73" i="53"/>
  <c r="K75" i="42"/>
  <c r="M75" i="42" s="1"/>
  <c r="F87" i="42"/>
  <c r="H87" i="42" s="1"/>
  <c r="I42" i="42"/>
  <c r="G51" i="43"/>
  <c r="J51" i="43" s="1"/>
  <c r="F3" i="50"/>
  <c r="H3" i="50" s="1"/>
  <c r="L39" i="51"/>
  <c r="B39" i="52" s="1"/>
  <c r="K88" i="51"/>
  <c r="M88" i="51" s="1"/>
  <c r="F91" i="51"/>
  <c r="H91" i="51" s="1"/>
  <c r="E4" i="42"/>
  <c r="G4" i="42" s="1"/>
  <c r="E92" i="52"/>
  <c r="G64" i="52"/>
  <c r="I30" i="22"/>
  <c r="E30" i="22"/>
  <c r="F30" i="22" s="1"/>
  <c r="H30" i="22" s="1"/>
  <c r="D30" i="22"/>
  <c r="J30" i="22" s="1"/>
  <c r="N24" i="42"/>
  <c r="I24" i="42"/>
  <c r="N48" i="42"/>
  <c r="I48" i="42"/>
  <c r="I80" i="43"/>
  <c r="I41" i="43"/>
  <c r="L49" i="43"/>
  <c r="D49" i="43"/>
  <c r="F49" i="43" s="1"/>
  <c r="C41" i="43"/>
  <c r="K64" i="42"/>
  <c r="M64" i="42" s="1"/>
  <c r="K83" i="42"/>
  <c r="M83" i="42" s="1"/>
  <c r="K41" i="42"/>
  <c r="M41" i="42" s="1"/>
  <c r="N80" i="22"/>
  <c r="E80" i="22"/>
  <c r="F80" i="22" s="1"/>
  <c r="G80" i="22" s="1"/>
  <c r="L80" i="22"/>
  <c r="U80" i="22" s="1"/>
  <c r="F60" i="42"/>
  <c r="H60" i="42" s="1"/>
  <c r="I28" i="42"/>
  <c r="N84" i="42"/>
  <c r="N52" i="42"/>
  <c r="L45" i="22"/>
  <c r="U45" i="22" s="1"/>
  <c r="O45" i="22"/>
  <c r="Q45" i="22"/>
  <c r="C84" i="22"/>
  <c r="N23" i="42"/>
  <c r="I23" i="42"/>
  <c r="J23" i="42" s="1"/>
  <c r="L23" i="42" s="1"/>
  <c r="B23" i="43" s="1"/>
  <c r="K23" i="43" s="1"/>
  <c r="G24" i="42"/>
  <c r="F24" i="42"/>
  <c r="H24" i="42" s="1"/>
  <c r="G32" i="42"/>
  <c r="F32" i="42"/>
  <c r="H32" i="42" s="1"/>
  <c r="G36" i="42"/>
  <c r="G39" i="42"/>
  <c r="F39" i="42"/>
  <c r="H39" i="42" s="1"/>
  <c r="G43" i="42"/>
  <c r="F43" i="42"/>
  <c r="H43" i="42" s="1"/>
  <c r="G51" i="42"/>
  <c r="F51" i="42"/>
  <c r="H51" i="42" s="1"/>
  <c r="G59" i="42"/>
  <c r="F59" i="42"/>
  <c r="H59" i="42" s="1"/>
  <c r="G63" i="42"/>
  <c r="F63" i="42"/>
  <c r="H63" i="42" s="1"/>
  <c r="G67" i="42"/>
  <c r="F67" i="42"/>
  <c r="H67" i="42" s="1"/>
  <c r="G71" i="42"/>
  <c r="F71" i="42"/>
  <c r="H71" i="42" s="1"/>
  <c r="G75" i="42"/>
  <c r="F75" i="42"/>
  <c r="H75" i="42" s="1"/>
  <c r="G83" i="42"/>
  <c r="F83" i="42"/>
  <c r="H83" i="42" s="1"/>
  <c r="G91" i="42"/>
  <c r="F91" i="42"/>
  <c r="H91" i="42" s="1"/>
  <c r="G95" i="42"/>
  <c r="F95" i="42"/>
  <c r="H95" i="42" s="1"/>
  <c r="G99" i="42"/>
  <c r="F99" i="42"/>
  <c r="H99" i="42" s="1"/>
  <c r="L24" i="42"/>
  <c r="B24" i="43" s="1"/>
  <c r="G24" i="43" s="1"/>
  <c r="J24" i="43" s="1"/>
  <c r="C25" i="22"/>
  <c r="D25" i="22" s="1"/>
  <c r="M25" i="22" s="1"/>
  <c r="L28" i="42"/>
  <c r="B28" i="43" s="1"/>
  <c r="E28" i="43" s="1"/>
  <c r="H28" i="43" s="1"/>
  <c r="C29" i="22"/>
  <c r="K28" i="42"/>
  <c r="M28" i="42" s="1"/>
  <c r="L32" i="42"/>
  <c r="B32" i="43" s="1"/>
  <c r="C33" i="22"/>
  <c r="Q33" i="22" s="1"/>
  <c r="L36" i="42"/>
  <c r="B36" i="43" s="1"/>
  <c r="C37" i="22"/>
  <c r="Q37" i="22" s="1"/>
  <c r="K36" i="42"/>
  <c r="M36" i="42" s="1"/>
  <c r="L40" i="42"/>
  <c r="B40" i="43" s="1"/>
  <c r="C41" i="22"/>
  <c r="S41" i="22" s="1"/>
  <c r="L44" i="42"/>
  <c r="B44" i="43" s="1"/>
  <c r="K44" i="42"/>
  <c r="M44" i="42" s="1"/>
  <c r="L48" i="42"/>
  <c r="B48" i="43" s="1"/>
  <c r="C49" i="22"/>
  <c r="L49" i="22" s="1"/>
  <c r="U49" i="22" s="1"/>
  <c r="L55" i="42"/>
  <c r="B55" i="43" s="1"/>
  <c r="K55" i="42"/>
  <c r="M55" i="42" s="1"/>
  <c r="C56" i="22"/>
  <c r="N56" i="22" s="1"/>
  <c r="L63" i="42"/>
  <c r="B63" i="43" s="1"/>
  <c r="K63" i="42"/>
  <c r="M63" i="42" s="1"/>
  <c r="L71" i="42"/>
  <c r="B71" i="43" s="1"/>
  <c r="K71" i="43" s="1"/>
  <c r="K71" i="42"/>
  <c r="M71" i="42" s="1"/>
  <c r="L79" i="42"/>
  <c r="B79" i="43" s="1"/>
  <c r="K79" i="42"/>
  <c r="M79" i="42" s="1"/>
  <c r="L82" i="42"/>
  <c r="B82" i="43" s="1"/>
  <c r="K82" i="43" s="1"/>
  <c r="C83" i="22"/>
  <c r="N83" i="22" s="1"/>
  <c r="K82" i="42"/>
  <c r="M82" i="42" s="1"/>
  <c r="C86" i="43"/>
  <c r="I86" i="43"/>
  <c r="L86" i="43"/>
  <c r="L90" i="42"/>
  <c r="B90" i="43" s="1"/>
  <c r="D90" i="43" s="1"/>
  <c r="F90" i="43" s="1"/>
  <c r="K90" i="42"/>
  <c r="M90" i="42" s="1"/>
  <c r="L94" i="42"/>
  <c r="B94" i="43" s="1"/>
  <c r="L94" i="43" s="1"/>
  <c r="C95" i="22"/>
  <c r="K95" i="22" s="1"/>
  <c r="L98" i="42"/>
  <c r="B98" i="43" s="1"/>
  <c r="D98" i="43" s="1"/>
  <c r="F98" i="43" s="1"/>
  <c r="K98" i="42"/>
  <c r="M98" i="42" s="1"/>
  <c r="N36" i="42"/>
  <c r="I36" i="42"/>
  <c r="N44" i="42"/>
  <c r="I44" i="42"/>
  <c r="I56" i="42"/>
  <c r="N56" i="42"/>
  <c r="I60" i="42"/>
  <c r="N60" i="42"/>
  <c r="I72" i="42"/>
  <c r="N72" i="42"/>
  <c r="I76" i="42"/>
  <c r="N76" i="42"/>
  <c r="I88" i="42"/>
  <c r="N88" i="42"/>
  <c r="G29" i="42"/>
  <c r="F29" i="42"/>
  <c r="H29" i="42" s="1"/>
  <c r="G44" i="42"/>
  <c r="F44" i="42"/>
  <c r="H44" i="42" s="1"/>
  <c r="G52" i="42"/>
  <c r="F52" i="42"/>
  <c r="H52" i="42" s="1"/>
  <c r="G56" i="42"/>
  <c r="F56" i="42"/>
  <c r="H56" i="42" s="1"/>
  <c r="G80" i="42"/>
  <c r="F80" i="42"/>
  <c r="H80" i="42" s="1"/>
  <c r="L25" i="42"/>
  <c r="B25" i="43" s="1"/>
  <c r="K25" i="42"/>
  <c r="M25" i="42" s="1"/>
  <c r="L33" i="42"/>
  <c r="B33" i="43" s="1"/>
  <c r="C34" i="22"/>
  <c r="S34" i="22" s="1"/>
  <c r="L45" i="42"/>
  <c r="B45" i="43" s="1"/>
  <c r="C46" i="22"/>
  <c r="O46" i="22" s="1"/>
  <c r="K45" i="42"/>
  <c r="M45" i="42" s="1"/>
  <c r="L60" i="42"/>
  <c r="B60" i="43" s="1"/>
  <c r="E60" i="43" s="1"/>
  <c r="H60" i="43" s="1"/>
  <c r="C61" i="22"/>
  <c r="S61" i="22" s="1"/>
  <c r="K60" i="42"/>
  <c r="M60" i="42" s="1"/>
  <c r="L68" i="42"/>
  <c r="B68" i="43" s="1"/>
  <c r="K68" i="42"/>
  <c r="M68" i="42" s="1"/>
  <c r="D99" i="43"/>
  <c r="F99" i="43" s="1"/>
  <c r="E99" i="43"/>
  <c r="H99" i="43" s="1"/>
  <c r="I8" i="42"/>
  <c r="J8" i="42" s="1"/>
  <c r="E8" i="42"/>
  <c r="G8" i="42" s="1"/>
  <c r="E9" i="42"/>
  <c r="G9" i="42" s="1"/>
  <c r="G80" i="43"/>
  <c r="J80" i="43" s="1"/>
  <c r="L80" i="43"/>
  <c r="E41" i="43"/>
  <c r="H41" i="43" s="1"/>
  <c r="K83" i="43"/>
  <c r="K49" i="43"/>
  <c r="K99" i="42"/>
  <c r="M99" i="42" s="1"/>
  <c r="F92" i="42"/>
  <c r="H92" i="42" s="1"/>
  <c r="N100" i="42"/>
  <c r="N68" i="42"/>
  <c r="E5" i="42"/>
  <c r="G5" i="42" s="1"/>
  <c r="I27" i="42"/>
  <c r="I99" i="42"/>
  <c r="I95" i="42"/>
  <c r="I91" i="42"/>
  <c r="I87" i="42"/>
  <c r="I83" i="42"/>
  <c r="I79" i="42"/>
  <c r="I75" i="42"/>
  <c r="I71" i="42"/>
  <c r="I67" i="42"/>
  <c r="I63" i="42"/>
  <c r="I59" i="42"/>
  <c r="I55" i="42"/>
  <c r="I51" i="42"/>
  <c r="I47" i="42"/>
  <c r="I43" i="42"/>
  <c r="I39" i="42"/>
  <c r="I35" i="42"/>
  <c r="I31" i="42"/>
  <c r="C60" i="22"/>
  <c r="I20" i="42"/>
  <c r="N20" i="42" s="1"/>
  <c r="N32" i="42"/>
  <c r="I32" i="42"/>
  <c r="I92" i="42"/>
  <c r="N92" i="42"/>
  <c r="G33" i="42"/>
  <c r="F33" i="42"/>
  <c r="H33" i="42" s="1"/>
  <c r="G40" i="42"/>
  <c r="F40" i="42"/>
  <c r="H40" i="42" s="1"/>
  <c r="G48" i="42"/>
  <c r="F48" i="42"/>
  <c r="H48" i="42" s="1"/>
  <c r="G64" i="42"/>
  <c r="F64" i="42"/>
  <c r="H64" i="42" s="1"/>
  <c r="G72" i="42"/>
  <c r="F72" i="42"/>
  <c r="H72" i="42" s="1"/>
  <c r="G76" i="42"/>
  <c r="F76" i="42"/>
  <c r="H76" i="42" s="1"/>
  <c r="G84" i="42"/>
  <c r="F84" i="42"/>
  <c r="H84" i="42" s="1"/>
  <c r="G88" i="42"/>
  <c r="F88" i="42"/>
  <c r="H88" i="42" s="1"/>
  <c r="G96" i="42"/>
  <c r="F96" i="42"/>
  <c r="H96" i="42" s="1"/>
  <c r="L29" i="42"/>
  <c r="B29" i="43" s="1"/>
  <c r="K29" i="42"/>
  <c r="M29" i="42" s="1"/>
  <c r="L37" i="42"/>
  <c r="B37" i="43" s="1"/>
  <c r="K37" i="42"/>
  <c r="M37" i="42" s="1"/>
  <c r="L52" i="42"/>
  <c r="B52" i="43" s="1"/>
  <c r="E52" i="43" s="1"/>
  <c r="H52" i="43" s="1"/>
  <c r="K52" i="42"/>
  <c r="M52" i="42" s="1"/>
  <c r="C64" i="43"/>
  <c r="I64" i="43"/>
  <c r="K64" i="43"/>
  <c r="L91" i="42"/>
  <c r="B91" i="43" s="1"/>
  <c r="C92" i="22"/>
  <c r="D92" i="22" s="1"/>
  <c r="P92" i="22" s="1"/>
  <c r="L95" i="42"/>
  <c r="B95" i="43" s="1"/>
  <c r="C96" i="22"/>
  <c r="K95" i="42"/>
  <c r="M95" i="42" s="1"/>
  <c r="C80" i="43"/>
  <c r="D83" i="43"/>
  <c r="F83" i="43" s="1"/>
  <c r="G41" i="43"/>
  <c r="J41" i="43" s="1"/>
  <c r="E80" i="43"/>
  <c r="H80" i="43" s="1"/>
  <c r="K99" i="43"/>
  <c r="L83" i="43"/>
  <c r="E49" i="43"/>
  <c r="H49" i="43" s="1"/>
  <c r="C38" i="22"/>
  <c r="S38" i="22" s="1"/>
  <c r="D80" i="22"/>
  <c r="R80" i="22" s="1"/>
  <c r="K56" i="42"/>
  <c r="M56" i="42" s="1"/>
  <c r="K33" i="42"/>
  <c r="M33" i="42" s="1"/>
  <c r="F100" i="42"/>
  <c r="H100" i="42" s="1"/>
  <c r="I40" i="42"/>
  <c r="N80" i="42"/>
  <c r="I4" i="42"/>
  <c r="J5" i="42" s="1"/>
  <c r="L5" i="42" s="1"/>
  <c r="B5" i="43" s="1"/>
  <c r="I99" i="43"/>
  <c r="D45" i="22"/>
  <c r="J45" i="22" s="1"/>
  <c r="J17" i="42"/>
  <c r="L17" i="42" s="1"/>
  <c r="B17" i="43" s="1"/>
  <c r="E13" i="42"/>
  <c r="G13" i="42" s="1"/>
  <c r="I21" i="42"/>
  <c r="J13" i="42"/>
  <c r="L13" i="42" s="1"/>
  <c r="B13" i="43" s="1"/>
  <c r="J14" i="42"/>
  <c r="L14" i="42" s="1"/>
  <c r="B14" i="43" s="1"/>
  <c r="E14" i="42"/>
  <c r="G14" i="42" s="1"/>
  <c r="K28" i="52"/>
  <c r="H28" i="52"/>
  <c r="J28" i="52" s="1"/>
  <c r="F47" i="53"/>
  <c r="H47" i="53"/>
  <c r="J47" i="53" s="1"/>
  <c r="I47" i="53"/>
  <c r="D47" i="53"/>
  <c r="C47" i="53"/>
  <c r="K47" i="53"/>
  <c r="L47" i="53"/>
  <c r="L68" i="52"/>
  <c r="I68" i="52"/>
  <c r="D68" i="52"/>
  <c r="E68" i="52" s="1"/>
  <c r="C68" i="52"/>
  <c r="H68" i="52"/>
  <c r="J68" i="52" s="1"/>
  <c r="F68" i="52"/>
  <c r="K68" i="52"/>
  <c r="I23" i="52"/>
  <c r="K23" i="52"/>
  <c r="L13" i="52"/>
  <c r="D13" i="52"/>
  <c r="E13" i="52" s="1"/>
  <c r="H13" i="52"/>
  <c r="J13" i="52" s="1"/>
  <c r="L86" i="53"/>
  <c r="D86" i="53"/>
  <c r="G86" i="53" s="1"/>
  <c r="K86" i="53"/>
  <c r="I86" i="53"/>
  <c r="H86" i="53"/>
  <c r="J86" i="53" s="1"/>
  <c r="C86" i="53"/>
  <c r="F86" i="53"/>
  <c r="I58" i="52"/>
  <c r="G24" i="53"/>
  <c r="G34" i="53"/>
  <c r="G42" i="53"/>
  <c r="E12" i="53"/>
  <c r="E64" i="53"/>
  <c r="K58" i="52"/>
  <c r="K47" i="52"/>
  <c r="K63" i="52"/>
  <c r="G83" i="53"/>
  <c r="G69" i="53"/>
  <c r="E23" i="53"/>
  <c r="E37" i="53"/>
  <c r="E35" i="52"/>
  <c r="S80" i="22"/>
  <c r="E12" i="42"/>
  <c r="G12" i="42" s="1"/>
  <c r="E31" i="49"/>
  <c r="D31" i="49" s="1"/>
  <c r="F34" i="51"/>
  <c r="H34" i="51" s="1"/>
  <c r="L83" i="51"/>
  <c r="B83" i="52" s="1"/>
  <c r="F87" i="51"/>
  <c r="H87" i="51" s="1"/>
  <c r="L91" i="51"/>
  <c r="B91" i="52" s="1"/>
  <c r="L95" i="51"/>
  <c r="B95" i="52" s="1"/>
  <c r="F97" i="51"/>
  <c r="H97" i="51" s="1"/>
  <c r="E15" i="42"/>
  <c r="K46" i="52"/>
  <c r="K54" i="52"/>
  <c r="I31" i="43"/>
  <c r="N17" i="42"/>
  <c r="E17" i="42"/>
  <c r="N16" i="42"/>
  <c r="N13" i="42"/>
  <c r="N10" i="42"/>
  <c r="K56" i="43"/>
  <c r="L56" i="43"/>
  <c r="I56" i="43"/>
  <c r="C56" i="43"/>
  <c r="G56" i="43"/>
  <c r="J56" i="43" s="1"/>
  <c r="G80" i="52"/>
  <c r="G30" i="53"/>
  <c r="F57" i="52"/>
  <c r="L43" i="52"/>
  <c r="C43" i="52"/>
  <c r="G16" i="53"/>
  <c r="E16" i="53"/>
  <c r="L17" i="52"/>
  <c r="F17" i="52"/>
  <c r="K17" i="52"/>
  <c r="K92" i="43"/>
  <c r="L92" i="43"/>
  <c r="E92" i="43"/>
  <c r="H92" i="43" s="1"/>
  <c r="K102" i="43"/>
  <c r="E41" i="53"/>
  <c r="G41" i="53"/>
  <c r="E56" i="43"/>
  <c r="H56" i="43" s="1"/>
  <c r="H54" i="52"/>
  <c r="J54" i="52" s="1"/>
  <c r="D56" i="43"/>
  <c r="F56" i="43" s="1"/>
  <c r="K24" i="52"/>
  <c r="H24" i="52"/>
  <c r="J24" i="52" s="1"/>
  <c r="E73" i="53"/>
  <c r="G73" i="53"/>
  <c r="E11" i="53"/>
  <c r="G11" i="53"/>
  <c r="G14" i="50"/>
  <c r="F14" i="50"/>
  <c r="H14" i="50" s="1"/>
  <c r="G66" i="50"/>
  <c r="F66" i="50"/>
  <c r="H66" i="50" s="1"/>
  <c r="L87" i="50"/>
  <c r="B87" i="53" s="1"/>
  <c r="K87" i="50"/>
  <c r="M87" i="50" s="1"/>
  <c r="L88" i="50"/>
  <c r="B88" i="53" s="1"/>
  <c r="K88" i="50"/>
  <c r="M88" i="50" s="1"/>
  <c r="H90" i="53"/>
  <c r="J90" i="53" s="1"/>
  <c r="K90" i="53"/>
  <c r="I90" i="53"/>
  <c r="F90" i="53"/>
  <c r="C90" i="53"/>
  <c r="H91" i="53"/>
  <c r="J91" i="53" s="1"/>
  <c r="K91" i="53"/>
  <c r="I91" i="53"/>
  <c r="F91" i="53"/>
  <c r="H92" i="53"/>
  <c r="J92" i="53" s="1"/>
  <c r="K92" i="53"/>
  <c r="C92" i="53"/>
  <c r="F92" i="53"/>
  <c r="I92" i="53"/>
  <c r="L93" i="50"/>
  <c r="B93" i="53" s="1"/>
  <c r="K93" i="50"/>
  <c r="M93" i="50" s="1"/>
  <c r="L94" i="50"/>
  <c r="B94" i="53" s="1"/>
  <c r="K94" i="50"/>
  <c r="M94" i="50" s="1"/>
  <c r="L95" i="50"/>
  <c r="B95" i="53" s="1"/>
  <c r="K95" i="50"/>
  <c r="M95" i="50" s="1"/>
  <c r="F96" i="53"/>
  <c r="H96" i="53"/>
  <c r="J96" i="53" s="1"/>
  <c r="I96" i="53"/>
  <c r="D96" i="53"/>
  <c r="G96" i="53" s="1"/>
  <c r="C96" i="53"/>
  <c r="G98" i="50"/>
  <c r="F98" i="50"/>
  <c r="H98" i="50" s="1"/>
  <c r="G99" i="50"/>
  <c r="F99" i="50"/>
  <c r="H99" i="50" s="1"/>
  <c r="E11" i="42"/>
  <c r="G11" i="42" s="1"/>
  <c r="I11" i="42"/>
  <c r="J11" i="42" s="1"/>
  <c r="C12" i="22" s="1"/>
  <c r="I15" i="42"/>
  <c r="J15" i="42" s="1"/>
  <c r="E19" i="42"/>
  <c r="G19" i="42" s="1"/>
  <c r="I19" i="42"/>
  <c r="N26" i="42"/>
  <c r="I26" i="42"/>
  <c r="F32" i="51"/>
  <c r="H32" i="51" s="1"/>
  <c r="G32" i="51"/>
  <c r="F85" i="51"/>
  <c r="H85" i="51" s="1"/>
  <c r="G85" i="51"/>
  <c r="L95" i="52"/>
  <c r="F95" i="52"/>
  <c r="H95" i="52"/>
  <c r="J95" i="52" s="1"/>
  <c r="I95" i="52"/>
  <c r="K95" i="52"/>
  <c r="C95" i="52"/>
  <c r="D95" i="52"/>
  <c r="G95" i="52" s="1"/>
  <c r="H60" i="52"/>
  <c r="J60" i="52" s="1"/>
  <c r="F60" i="52"/>
  <c r="G33" i="53"/>
  <c r="E33" i="53"/>
  <c r="H26" i="48"/>
  <c r="J26" i="48" s="1"/>
  <c r="L26" i="48" s="1"/>
  <c r="E25" i="49"/>
  <c r="D25" i="49" s="1"/>
  <c r="I51" i="22"/>
  <c r="O51" i="22"/>
  <c r="L51" i="22"/>
  <c r="U51" i="22" s="1"/>
  <c r="E51" i="22"/>
  <c r="F51" i="22" s="1"/>
  <c r="G51" i="22" s="1"/>
  <c r="L54" i="52"/>
  <c r="C46" i="52"/>
  <c r="L46" i="52"/>
  <c r="E80" i="53"/>
  <c r="G80" i="53"/>
  <c r="K25" i="52"/>
  <c r="H25" i="52"/>
  <c r="J25" i="52" s="1"/>
  <c r="I25" i="52"/>
  <c r="L12" i="52"/>
  <c r="F12" i="52"/>
  <c r="K12" i="52"/>
  <c r="I83" i="43"/>
  <c r="E83" i="43"/>
  <c r="H83" i="43" s="1"/>
  <c r="G83" i="43"/>
  <c r="J83" i="43" s="1"/>
  <c r="Q51" i="22"/>
  <c r="I31" i="31"/>
  <c r="J31" i="31" s="1"/>
  <c r="K31" i="31" s="1"/>
  <c r="H31" i="31"/>
  <c r="N30" i="22"/>
  <c r="H30" i="48"/>
  <c r="J30" i="48" s="1"/>
  <c r="L30" i="48" s="1"/>
  <c r="E29" i="49"/>
  <c r="D29" i="49" s="1"/>
  <c r="K89" i="51"/>
  <c r="M89" i="51" s="1"/>
  <c r="L89" i="51"/>
  <c r="B89" i="52" s="1"/>
  <c r="E40" i="53"/>
  <c r="E8" i="53"/>
  <c r="E56" i="53"/>
  <c r="C7" i="52"/>
  <c r="K16" i="52"/>
  <c r="E57" i="53"/>
  <c r="E9" i="53"/>
  <c r="G30" i="52"/>
  <c r="K30" i="22"/>
  <c r="N45" i="22"/>
  <c r="H20" i="31"/>
  <c r="I20" i="31"/>
  <c r="J20" i="31" s="1"/>
  <c r="K20" i="31" s="1"/>
  <c r="L84" i="51"/>
  <c r="B84" i="52" s="1"/>
  <c r="K84" i="51"/>
  <c r="M84" i="51" s="1"/>
  <c r="S45" i="22"/>
  <c r="I45" i="22"/>
  <c r="G6" i="50"/>
  <c r="F6" i="50"/>
  <c r="H6" i="50" s="1"/>
  <c r="L88" i="43"/>
  <c r="C88" i="43"/>
  <c r="C47" i="22"/>
  <c r="C97" i="22"/>
  <c r="C89" i="22"/>
  <c r="S89" i="22" s="1"/>
  <c r="C81" i="22"/>
  <c r="N81" i="22" s="1"/>
  <c r="C35" i="22"/>
  <c r="C31" i="22"/>
  <c r="N31" i="22" s="1"/>
  <c r="C27" i="22"/>
  <c r="N27" i="22" s="1"/>
  <c r="C85" i="22"/>
  <c r="K97" i="51"/>
  <c r="M97" i="51" s="1"/>
  <c r="G9" i="44"/>
  <c r="G36" i="52"/>
  <c r="G88" i="52"/>
  <c r="G74" i="52"/>
  <c r="E97" i="52"/>
  <c r="H75" i="52"/>
  <c r="J75" i="52" s="1"/>
  <c r="L75" i="52"/>
  <c r="C54" i="52"/>
  <c r="D54" i="52"/>
  <c r="F54" i="52"/>
  <c r="L51" i="52"/>
  <c r="C51" i="52"/>
  <c r="L50" i="52"/>
  <c r="F50" i="52"/>
  <c r="E9" i="52"/>
  <c r="G9" i="52"/>
  <c r="H27" i="52"/>
  <c r="J27" i="52" s="1"/>
  <c r="C27" i="52"/>
  <c r="L47" i="52"/>
  <c r="I47" i="52"/>
  <c r="F47" i="52"/>
  <c r="H46" i="52"/>
  <c r="J46" i="52" s="1"/>
  <c r="D46" i="52"/>
  <c r="K11" i="52"/>
  <c r="C11" i="52"/>
  <c r="I65" i="53"/>
  <c r="H65" i="53"/>
  <c r="J65" i="53" s="1"/>
  <c r="G68" i="53"/>
  <c r="E68" i="53"/>
  <c r="K21" i="52"/>
  <c r="I21" i="52"/>
  <c r="K79" i="52"/>
  <c r="H58" i="52"/>
  <c r="J58" i="52" s="1"/>
  <c r="C58" i="52"/>
  <c r="L57" i="52"/>
  <c r="H57" i="52"/>
  <c r="J57" i="52" s="1"/>
  <c r="D57" i="52"/>
  <c r="C57" i="52"/>
  <c r="K57" i="52"/>
  <c r="E60" i="53"/>
  <c r="G60" i="53"/>
  <c r="L6" i="50"/>
  <c r="B6" i="53" s="1"/>
  <c r="K6" i="50"/>
  <c r="M6" i="50" s="1"/>
  <c r="D14" i="52"/>
  <c r="H12" i="52"/>
  <c r="J12" i="52" s="1"/>
  <c r="C25" i="52"/>
  <c r="F28" i="52"/>
  <c r="K9" i="52"/>
  <c r="K13" i="52"/>
  <c r="I60" i="52"/>
  <c r="L31" i="43"/>
  <c r="E79" i="53"/>
  <c r="G21" i="53"/>
  <c r="E31" i="53"/>
  <c r="L14" i="52"/>
  <c r="K84" i="43"/>
  <c r="E88" i="43"/>
  <c r="H88" i="43" s="1"/>
  <c r="D70" i="22"/>
  <c r="M70" i="22" s="1"/>
  <c r="F9" i="52"/>
  <c r="F13" i="52"/>
  <c r="K31" i="43"/>
  <c r="G51" i="53"/>
  <c r="G61" i="53"/>
  <c r="E31" i="52"/>
  <c r="I57" i="43"/>
  <c r="H28" i="48"/>
  <c r="J28" i="48" s="1"/>
  <c r="L28" i="48" s="1"/>
  <c r="E27" i="49"/>
  <c r="D27" i="49" s="1"/>
  <c r="Q30" i="22"/>
  <c r="O30" i="22"/>
  <c r="L30" i="22"/>
  <c r="U30" i="22" s="1"/>
  <c r="S30" i="22"/>
  <c r="L7" i="50"/>
  <c r="B7" i="53" s="1"/>
  <c r="K7" i="50"/>
  <c r="M7" i="50" s="1"/>
  <c r="G64" i="43"/>
  <c r="J64" i="43" s="1"/>
  <c r="D64" i="43"/>
  <c r="F64" i="43" s="1"/>
  <c r="C91" i="22"/>
  <c r="G35" i="51"/>
  <c r="G89" i="51"/>
  <c r="K99" i="51"/>
  <c r="M99" i="51" s="1"/>
  <c r="G101" i="51"/>
  <c r="C65" i="22"/>
  <c r="C50" i="22"/>
  <c r="C103" i="22"/>
  <c r="C72" i="22"/>
  <c r="F83" i="51"/>
  <c r="H83" i="51" s="1"/>
  <c r="K85" i="51"/>
  <c r="M85" i="51" s="1"/>
  <c r="K86" i="51"/>
  <c r="M86" i="51" s="1"/>
  <c r="L93" i="51"/>
  <c r="B93" i="52" s="1"/>
  <c r="F99" i="51"/>
  <c r="H99" i="51" s="1"/>
  <c r="C57" i="22"/>
  <c r="C53" i="22"/>
  <c r="C99" i="22"/>
  <c r="C87" i="22"/>
  <c r="C69" i="22"/>
  <c r="H67" i="52"/>
  <c r="J67" i="52" s="1"/>
  <c r="D67" i="52"/>
  <c r="L67" i="52"/>
  <c r="C67" i="52"/>
  <c r="K67" i="52"/>
  <c r="I67" i="52"/>
  <c r="F67" i="52"/>
  <c r="L42" i="52"/>
  <c r="C42" i="52"/>
  <c r="F42" i="52"/>
  <c r="I42" i="52"/>
  <c r="H42" i="52"/>
  <c r="J42" i="52" s="1"/>
  <c r="D42" i="52"/>
  <c r="K42" i="52"/>
  <c r="I71" i="52"/>
  <c r="K71" i="52"/>
  <c r="L71" i="52"/>
  <c r="C71" i="52"/>
  <c r="C65" i="53"/>
  <c r="F65" i="53"/>
  <c r="D58" i="52"/>
  <c r="F75" i="52"/>
  <c r="I75" i="52"/>
  <c r="D43" i="52"/>
  <c r="H43" i="52"/>
  <c r="J43" i="52" s="1"/>
  <c r="D50" i="52"/>
  <c r="D51" i="52"/>
  <c r="H51" i="52"/>
  <c r="J51" i="52" s="1"/>
  <c r="C63" i="52"/>
  <c r="I79" i="52"/>
  <c r="C79" i="52"/>
  <c r="F50" i="53"/>
  <c r="H50" i="53"/>
  <c r="J50" i="53" s="1"/>
  <c r="K50" i="53"/>
  <c r="I50" i="53"/>
  <c r="C50" i="53"/>
  <c r="L50" i="53"/>
  <c r="K75" i="52"/>
  <c r="C75" i="52"/>
  <c r="I50" i="52"/>
  <c r="H50" i="52"/>
  <c r="J50" i="52" s="1"/>
  <c r="F51" i="52"/>
  <c r="I51" i="52"/>
  <c r="I10" i="52"/>
  <c r="D10" i="52"/>
  <c r="E10" i="52" s="1"/>
  <c r="C10" i="52"/>
  <c r="C89" i="53"/>
  <c r="D89" i="53"/>
  <c r="K89" i="53"/>
  <c r="F89" i="53"/>
  <c r="H89" i="53"/>
  <c r="J89" i="53" s="1"/>
  <c r="G66" i="53"/>
  <c r="D65" i="53"/>
  <c r="D75" i="52"/>
  <c r="K50" i="52"/>
  <c r="I19" i="52"/>
  <c r="H19" i="52"/>
  <c r="J19" i="52" s="1"/>
  <c r="C19" i="52"/>
  <c r="L19" i="52"/>
  <c r="G6" i="48"/>
  <c r="H5" i="48"/>
  <c r="F76" i="53"/>
  <c r="K76" i="53"/>
  <c r="I76" i="53"/>
  <c r="C76" i="53"/>
  <c r="L76" i="53"/>
  <c r="I11" i="52"/>
  <c r="K20" i="52"/>
  <c r="H23" i="52"/>
  <c r="J23" i="52" s="1"/>
  <c r="K60" i="52"/>
  <c r="D11" i="52"/>
  <c r="E11" i="52" s="1"/>
  <c r="K15" i="52"/>
  <c r="C60" i="52"/>
  <c r="G39" i="53"/>
  <c r="E90" i="53"/>
  <c r="G49" i="53"/>
  <c r="G94" i="52"/>
  <c r="L60" i="52"/>
  <c r="O80" i="22"/>
  <c r="S51" i="22"/>
  <c r="I32" i="31"/>
  <c r="J32" i="31" s="1"/>
  <c r="K32" i="31" s="1"/>
  <c r="E32" i="49"/>
  <c r="D32" i="49" s="1"/>
  <c r="E28" i="49"/>
  <c r="D28" i="49" s="1"/>
  <c r="E24" i="49"/>
  <c r="D24" i="49" s="1"/>
  <c r="I15" i="52"/>
  <c r="H8" i="52"/>
  <c r="J8" i="52" s="1"/>
  <c r="C23" i="52"/>
  <c r="D15" i="52"/>
  <c r="G15" i="52" s="1"/>
  <c r="D17" i="52"/>
  <c r="D60" i="52"/>
  <c r="I80" i="22"/>
  <c r="H15" i="31"/>
  <c r="N51" i="22"/>
  <c r="E30" i="49"/>
  <c r="D30" i="49" s="1"/>
  <c r="E26" i="49"/>
  <c r="D26" i="49" s="1"/>
  <c r="E22" i="49"/>
  <c r="D22" i="49" s="1"/>
  <c r="C15" i="52"/>
  <c r="H17" i="52"/>
  <c r="J17" i="52" s="1"/>
  <c r="F20" i="52"/>
  <c r="G76" i="52"/>
  <c r="E33" i="52"/>
  <c r="E86" i="43"/>
  <c r="H86" i="43" s="1"/>
  <c r="D51" i="22"/>
  <c r="J51" i="22" s="1"/>
  <c r="L38" i="42"/>
  <c r="B38" i="43" s="1"/>
  <c r="C39" i="22"/>
  <c r="L42" i="42"/>
  <c r="B42" i="43" s="1"/>
  <c r="C43" i="22"/>
  <c r="L53" i="42"/>
  <c r="B53" i="43" s="1"/>
  <c r="C54" i="22"/>
  <c r="L72" i="42"/>
  <c r="B72" i="43" s="1"/>
  <c r="C73" i="22"/>
  <c r="L76" i="42"/>
  <c r="B76" i="43" s="1"/>
  <c r="C77" i="22"/>
  <c r="L87" i="42"/>
  <c r="B87" i="43" s="1"/>
  <c r="C88" i="22"/>
  <c r="G31" i="51"/>
  <c r="G39" i="51"/>
  <c r="G93" i="51"/>
  <c r="G29" i="51"/>
  <c r="F30" i="51"/>
  <c r="H30" i="51" s="1"/>
  <c r="G37" i="51"/>
  <c r="F38" i="51"/>
  <c r="H38" i="51" s="1"/>
  <c r="L87" i="51"/>
  <c r="B87" i="52" s="1"/>
  <c r="K96" i="51"/>
  <c r="M96" i="51" s="1"/>
  <c r="L101" i="51"/>
  <c r="B101" i="52" s="1"/>
  <c r="G33" i="51"/>
  <c r="I69" i="52"/>
  <c r="F69" i="52"/>
  <c r="H69" i="52"/>
  <c r="J69" i="52" s="1"/>
  <c r="D69" i="52"/>
  <c r="E69" i="52" s="1"/>
  <c r="L69" i="52"/>
  <c r="C69" i="52"/>
  <c r="K69" i="52"/>
  <c r="L53" i="52"/>
  <c r="D53" i="52"/>
  <c r="I53" i="52"/>
  <c r="F53" i="52"/>
  <c r="C53" i="52"/>
  <c r="K53" i="52"/>
  <c r="H53" i="52"/>
  <c r="J53" i="52" s="1"/>
  <c r="K52" i="52"/>
  <c r="D52" i="52"/>
  <c r="E52" i="52" s="1"/>
  <c r="F52" i="52"/>
  <c r="I52" i="52"/>
  <c r="H52" i="52"/>
  <c r="J52" i="52" s="1"/>
  <c r="C52" i="52"/>
  <c r="L52" i="52"/>
  <c r="C45" i="52"/>
  <c r="K45" i="52"/>
  <c r="I45" i="52"/>
  <c r="F45" i="52"/>
  <c r="H45" i="52"/>
  <c r="J45" i="52" s="1"/>
  <c r="D45" i="52"/>
  <c r="L45" i="52"/>
  <c r="L44" i="52"/>
  <c r="K44" i="52"/>
  <c r="F44" i="52"/>
  <c r="C44" i="52"/>
  <c r="H44" i="52"/>
  <c r="J44" i="52" s="1"/>
  <c r="I44" i="52"/>
  <c r="D44" i="52"/>
  <c r="C22" i="52"/>
  <c r="L22" i="52"/>
  <c r="I22" i="52"/>
  <c r="K22" i="52"/>
  <c r="H22" i="52"/>
  <c r="J22" i="52" s="1"/>
  <c r="D22" i="52"/>
  <c r="F22" i="52"/>
  <c r="I73" i="52"/>
  <c r="F73" i="52"/>
  <c r="H73" i="52"/>
  <c r="J73" i="52" s="1"/>
  <c r="D73" i="52"/>
  <c r="G73" i="52" s="1"/>
  <c r="L73" i="52"/>
  <c r="C73" i="52"/>
  <c r="K73" i="52"/>
  <c r="L59" i="52"/>
  <c r="C59" i="52"/>
  <c r="K59" i="52"/>
  <c r="I59" i="52"/>
  <c r="F59" i="52"/>
  <c r="H59" i="52"/>
  <c r="J59" i="52" s="1"/>
  <c r="D59" i="52"/>
  <c r="L26" i="52"/>
  <c r="C26" i="52"/>
  <c r="I26" i="52"/>
  <c r="K26" i="52"/>
  <c r="F26" i="52"/>
  <c r="H26" i="52"/>
  <c r="J26" i="52" s="1"/>
  <c r="D26" i="52"/>
  <c r="E26" i="52" s="1"/>
  <c r="I77" i="52"/>
  <c r="F77" i="52"/>
  <c r="H77" i="52"/>
  <c r="J77" i="52" s="1"/>
  <c r="D77" i="52"/>
  <c r="L77" i="52"/>
  <c r="C77" i="52"/>
  <c r="K77" i="52"/>
  <c r="I61" i="52"/>
  <c r="F61" i="52"/>
  <c r="H61" i="52"/>
  <c r="J61" i="52" s="1"/>
  <c r="D61" i="52"/>
  <c r="L61" i="52"/>
  <c r="C61" i="52"/>
  <c r="K61" i="52"/>
  <c r="C49" i="52"/>
  <c r="K49" i="52"/>
  <c r="I49" i="52"/>
  <c r="F49" i="52"/>
  <c r="H49" i="52"/>
  <c r="J49" i="52" s="1"/>
  <c r="D49" i="52"/>
  <c r="E49" i="52" s="1"/>
  <c r="L49" i="52"/>
  <c r="F48" i="52"/>
  <c r="C48" i="52"/>
  <c r="H48" i="52"/>
  <c r="J48" i="52" s="1"/>
  <c r="I48" i="52"/>
  <c r="D48" i="52"/>
  <c r="E48" i="52" s="1"/>
  <c r="L48" i="52"/>
  <c r="K48" i="52"/>
  <c r="L41" i="52"/>
  <c r="C41" i="52"/>
  <c r="K41" i="52"/>
  <c r="I41" i="52"/>
  <c r="F41" i="52"/>
  <c r="H41" i="52"/>
  <c r="J41" i="52" s="1"/>
  <c r="D41" i="52"/>
  <c r="F40" i="52"/>
  <c r="C40" i="52"/>
  <c r="H40" i="52"/>
  <c r="J40" i="52" s="1"/>
  <c r="I40" i="52"/>
  <c r="D40" i="52"/>
  <c r="L40" i="52"/>
  <c r="K40" i="52"/>
  <c r="I81" i="52"/>
  <c r="F81" i="52"/>
  <c r="H81" i="52"/>
  <c r="J81" i="52" s="1"/>
  <c r="D81" i="52"/>
  <c r="L81" i="52"/>
  <c r="C81" i="52"/>
  <c r="K81" i="52"/>
  <c r="I65" i="52"/>
  <c r="F65" i="52"/>
  <c r="H65" i="52"/>
  <c r="J65" i="52" s="1"/>
  <c r="D65" i="52"/>
  <c r="L65" i="52"/>
  <c r="C65" i="52"/>
  <c r="K65" i="52"/>
  <c r="D56" i="52"/>
  <c r="K56" i="52"/>
  <c r="L56" i="52"/>
  <c r="F56" i="52"/>
  <c r="I56" i="52"/>
  <c r="H56" i="52"/>
  <c r="J56" i="52" s="1"/>
  <c r="C56" i="52"/>
  <c r="L55" i="52"/>
  <c r="F55" i="52"/>
  <c r="D55" i="52"/>
  <c r="H55" i="52"/>
  <c r="J55" i="52" s="1"/>
  <c r="I55" i="52"/>
  <c r="K55" i="52"/>
  <c r="C55" i="52"/>
  <c r="K18" i="52"/>
  <c r="L18" i="52"/>
  <c r="F18" i="52"/>
  <c r="H18" i="52"/>
  <c r="J18" i="52" s="1"/>
  <c r="D18" i="52"/>
  <c r="C18" i="52"/>
  <c r="I18" i="52"/>
  <c r="L25" i="52"/>
  <c r="F25" i="52"/>
  <c r="D25" i="52"/>
  <c r="G25" i="52" s="1"/>
  <c r="L21" i="52"/>
  <c r="D21" i="52"/>
  <c r="E21" i="52" s="1"/>
  <c r="F21" i="52"/>
  <c r="I17" i="52"/>
  <c r="C17" i="52"/>
  <c r="F15" i="52"/>
  <c r="H15" i="52"/>
  <c r="J15" i="52" s="1"/>
  <c r="F11" i="52"/>
  <c r="H11" i="52"/>
  <c r="J11" i="52" s="1"/>
  <c r="I8" i="52"/>
  <c r="L8" i="52"/>
  <c r="F8" i="52"/>
  <c r="K8" i="52"/>
  <c r="C8" i="52"/>
  <c r="C6" i="52"/>
  <c r="D6" i="52"/>
  <c r="E6" i="52" s="1"/>
  <c r="G99" i="52"/>
  <c r="E99" i="52"/>
  <c r="D63" i="52"/>
  <c r="H63" i="52"/>
  <c r="J63" i="52" s="1"/>
  <c r="D71" i="52"/>
  <c r="H71" i="52"/>
  <c r="J71" i="52" s="1"/>
  <c r="D79" i="52"/>
  <c r="H79" i="52"/>
  <c r="J79" i="52" s="1"/>
  <c r="I13" i="52"/>
  <c r="C13" i="52"/>
  <c r="C12" i="52"/>
  <c r="D12" i="52"/>
  <c r="I12" i="52"/>
  <c r="F63" i="52"/>
  <c r="F71" i="52"/>
  <c r="F79" i="52"/>
  <c r="F27" i="52"/>
  <c r="L27" i="52"/>
  <c r="D27" i="52"/>
  <c r="L23" i="52"/>
  <c r="F23" i="52"/>
  <c r="D23" i="52"/>
  <c r="D19" i="52"/>
  <c r="K19" i="52"/>
  <c r="F19" i="52"/>
  <c r="D16" i="52"/>
  <c r="I16" i="52"/>
  <c r="C16" i="52"/>
  <c r="L16" i="52"/>
  <c r="C9" i="52"/>
  <c r="I9" i="52"/>
  <c r="D7" i="52"/>
  <c r="E7" i="52" s="1"/>
  <c r="H7" i="52"/>
  <c r="I7" i="52"/>
  <c r="D28" i="52"/>
  <c r="L28" i="52"/>
  <c r="C28" i="52"/>
  <c r="I28" i="52"/>
  <c r="I24" i="52"/>
  <c r="D24" i="52"/>
  <c r="L24" i="52"/>
  <c r="C24" i="52"/>
  <c r="D20" i="52"/>
  <c r="L20" i="52"/>
  <c r="C20" i="52"/>
  <c r="I20" i="52"/>
  <c r="K14" i="52"/>
  <c r="F14" i="52"/>
  <c r="H14" i="52"/>
  <c r="J14" i="52" s="1"/>
  <c r="F10" i="52"/>
  <c r="L10" i="52"/>
  <c r="K10" i="52"/>
  <c r="H10" i="52"/>
  <c r="J10" i="52" s="1"/>
  <c r="E98" i="52"/>
  <c r="G98" i="52"/>
  <c r="G68" i="52"/>
  <c r="E64" i="43"/>
  <c r="H64" i="43" s="1"/>
  <c r="E92" i="53"/>
  <c r="E100" i="53"/>
  <c r="L64" i="43"/>
  <c r="N5" i="42"/>
  <c r="H13" i="31"/>
  <c r="L85" i="42"/>
  <c r="B85" i="43" s="1"/>
  <c r="C86" i="22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C26" i="22"/>
  <c r="C64" i="22"/>
  <c r="C66" i="22"/>
  <c r="C68" i="22"/>
  <c r="C76" i="22"/>
  <c r="F4" i="51"/>
  <c r="F5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C36" i="22"/>
  <c r="C52" i="22"/>
  <c r="C58" i="22"/>
  <c r="C100" i="22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B102" i="52" s="1"/>
  <c r="G76" i="53"/>
  <c r="E76" i="53"/>
  <c r="K3" i="51"/>
  <c r="M3" i="51" s="1"/>
  <c r="C3" i="52"/>
  <c r="D3" i="52"/>
  <c r="E3" i="52" s="1"/>
  <c r="H3" i="51"/>
  <c r="C4" i="51"/>
  <c r="C5" i="51" s="1"/>
  <c r="C5" i="42"/>
  <c r="L10" i="40"/>
  <c r="N10" i="40" s="1"/>
  <c r="K11" i="40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D4" i="53"/>
  <c r="E4" i="53" s="1"/>
  <c r="C4" i="53"/>
  <c r="G69" i="52"/>
  <c r="E47" i="52"/>
  <c r="G47" i="52"/>
  <c r="E15" i="52"/>
  <c r="E90" i="52"/>
  <c r="G90" i="52"/>
  <c r="E34" i="52"/>
  <c r="G34" i="52"/>
  <c r="G29" i="52"/>
  <c r="E29" i="52"/>
  <c r="G49" i="52"/>
  <c r="G37" i="52"/>
  <c r="E37" i="52"/>
  <c r="L4" i="51"/>
  <c r="B4" i="52" s="1"/>
  <c r="E16" i="42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L12" i="40"/>
  <c r="N12" i="40" s="1"/>
  <c r="Q11" i="40"/>
  <c r="Q13" i="40" s="1"/>
  <c r="N14" i="42"/>
  <c r="N12" i="42"/>
  <c r="H79" i="22"/>
  <c r="G79" i="22"/>
  <c r="M48" i="22"/>
  <c r="L11" i="40"/>
  <c r="N11" i="40" s="1"/>
  <c r="G5" i="40"/>
  <c r="G2" i="40"/>
  <c r="C23" i="43" l="1"/>
  <c r="G23" i="43"/>
  <c r="J23" i="43" s="1"/>
  <c r="C24" i="22"/>
  <c r="K23" i="42"/>
  <c r="M23" i="42" s="1"/>
  <c r="L23" i="43"/>
  <c r="E23" i="43"/>
  <c r="H23" i="43" s="1"/>
  <c r="Q70" i="22"/>
  <c r="D20" i="49"/>
  <c r="N70" i="22"/>
  <c r="I70" i="22"/>
  <c r="L70" i="22"/>
  <c r="U70" i="22" s="1"/>
  <c r="K70" i="22"/>
  <c r="J4" i="48"/>
  <c r="J5" i="48" s="1"/>
  <c r="I74" i="43"/>
  <c r="J22" i="42"/>
  <c r="N22" i="42"/>
  <c r="F6" i="52"/>
  <c r="N21" i="42"/>
  <c r="J21" i="42"/>
  <c r="K59" i="22"/>
  <c r="I90" i="22"/>
  <c r="L4" i="48"/>
  <c r="L44" i="22"/>
  <c r="U44" i="22" s="1"/>
  <c r="O78" i="22"/>
  <c r="L32" i="22"/>
  <c r="U32" i="22" s="1"/>
  <c r="O90" i="22"/>
  <c r="E40" i="22"/>
  <c r="F40" i="22" s="1"/>
  <c r="H40" i="22" s="1"/>
  <c r="S90" i="22"/>
  <c r="E48" i="22"/>
  <c r="F48" i="22" s="1"/>
  <c r="H48" i="22" s="1"/>
  <c r="N62" i="22"/>
  <c r="K40" i="22"/>
  <c r="I42" i="22"/>
  <c r="O28" i="22"/>
  <c r="I40" i="22"/>
  <c r="D40" i="22"/>
  <c r="T40" i="22" s="1"/>
  <c r="O48" i="22"/>
  <c r="P48" i="22"/>
  <c r="E75" i="22"/>
  <c r="F75" i="22" s="1"/>
  <c r="H75" i="22" s="1"/>
  <c r="S48" i="22"/>
  <c r="J19" i="42"/>
  <c r="L19" i="42" s="1"/>
  <c r="B19" i="43" s="1"/>
  <c r="N40" i="22"/>
  <c r="Q40" i="22"/>
  <c r="L98" i="22"/>
  <c r="U98" i="22" s="1"/>
  <c r="I44" i="22"/>
  <c r="O40" i="22"/>
  <c r="E55" i="22"/>
  <c r="F55" i="22" s="1"/>
  <c r="H55" i="22" s="1"/>
  <c r="I78" i="22"/>
  <c r="E62" i="22"/>
  <c r="F62" i="22" s="1"/>
  <c r="G62" i="22" s="1"/>
  <c r="S28" i="22"/>
  <c r="Q41" i="22"/>
  <c r="Q78" i="22"/>
  <c r="I92" i="22"/>
  <c r="O62" i="22"/>
  <c r="L11" i="42"/>
  <c r="B11" i="43" s="1"/>
  <c r="E32" i="22"/>
  <c r="F32" i="22" s="1"/>
  <c r="H32" i="22" s="1"/>
  <c r="O95" i="22"/>
  <c r="D32" i="22"/>
  <c r="T32" i="22" s="1"/>
  <c r="N32" i="22"/>
  <c r="D78" i="22"/>
  <c r="M78" i="22" s="1"/>
  <c r="I32" i="22"/>
  <c r="O42" i="22"/>
  <c r="K42" i="22"/>
  <c r="K28" i="22"/>
  <c r="L28" i="22"/>
  <c r="U28" i="22" s="1"/>
  <c r="E78" i="22"/>
  <c r="F78" i="22" s="1"/>
  <c r="G78" i="22" s="1"/>
  <c r="D62" i="22"/>
  <c r="M62" i="22" s="1"/>
  <c r="Q42" i="22"/>
  <c r="G54" i="43"/>
  <c r="J54" i="43" s="1"/>
  <c r="O24" i="22"/>
  <c r="D24" i="22"/>
  <c r="P24" i="22" s="1"/>
  <c r="M45" i="22"/>
  <c r="S78" i="22"/>
  <c r="S32" i="22"/>
  <c r="K32" i="22"/>
  <c r="Q32" i="22"/>
  <c r="N42" i="22"/>
  <c r="E42" i="22"/>
  <c r="F42" i="22" s="1"/>
  <c r="G42" i="22" s="1"/>
  <c r="D42" i="22"/>
  <c r="R42" i="22" s="1"/>
  <c r="S42" i="22"/>
  <c r="O61" i="22"/>
  <c r="G28" i="22"/>
  <c r="I41" i="22"/>
  <c r="I28" i="22"/>
  <c r="N28" i="22"/>
  <c r="D28" i="22"/>
  <c r="T28" i="22" s="1"/>
  <c r="Q28" i="22"/>
  <c r="L78" i="22"/>
  <c r="U78" i="22" s="1"/>
  <c r="N78" i="22"/>
  <c r="E49" i="22"/>
  <c r="F49" i="22" s="1"/>
  <c r="H49" i="22" s="1"/>
  <c r="S62" i="22"/>
  <c r="I62" i="22"/>
  <c r="K62" i="22"/>
  <c r="L62" i="22"/>
  <c r="U62" i="22" s="1"/>
  <c r="G26" i="43"/>
  <c r="J26" i="43" s="1"/>
  <c r="K24" i="22"/>
  <c r="L24" i="22" s="1"/>
  <c r="U24" i="22" s="1"/>
  <c r="Q24" i="22"/>
  <c r="S24" i="22" s="1"/>
  <c r="E24" i="22"/>
  <c r="F24" i="22" s="1"/>
  <c r="G24" i="22" s="1"/>
  <c r="I24" i="22"/>
  <c r="N11" i="42"/>
  <c r="G40" i="22"/>
  <c r="L41" i="22"/>
  <c r="U41" i="22" s="1"/>
  <c r="I63" i="22"/>
  <c r="I49" i="22"/>
  <c r="O71" i="22"/>
  <c r="C58" i="43"/>
  <c r="E50" i="43"/>
  <c r="H50" i="43" s="1"/>
  <c r="Q102" i="22"/>
  <c r="E67" i="22"/>
  <c r="F67" i="22" s="1"/>
  <c r="G67" i="22" s="1"/>
  <c r="R48" i="22"/>
  <c r="N18" i="42"/>
  <c r="N19" i="42"/>
  <c r="L90" i="43"/>
  <c r="N44" i="22"/>
  <c r="E41" i="22"/>
  <c r="F41" i="22" s="1"/>
  <c r="G41" i="22" s="1"/>
  <c r="I62" i="43"/>
  <c r="K44" i="22"/>
  <c r="K62" i="43"/>
  <c r="E101" i="22"/>
  <c r="F101" i="22" s="1"/>
  <c r="G101" i="22" s="1"/>
  <c r="Q93" i="22"/>
  <c r="E98" i="22"/>
  <c r="F98" i="22" s="1"/>
  <c r="G98" i="22" s="1"/>
  <c r="Q44" i="22"/>
  <c r="L48" i="22"/>
  <c r="U48" i="22" s="1"/>
  <c r="K48" i="22"/>
  <c r="D49" i="22"/>
  <c r="P49" i="22" s="1"/>
  <c r="Q49" i="22"/>
  <c r="O38" i="22"/>
  <c r="D75" i="22"/>
  <c r="R75" i="22" s="1"/>
  <c r="I66" i="43"/>
  <c r="L101" i="22"/>
  <c r="U101" i="22" s="1"/>
  <c r="O98" i="22"/>
  <c r="L94" i="22"/>
  <c r="U94" i="22" s="1"/>
  <c r="I74" i="22"/>
  <c r="T48" i="22"/>
  <c r="M40" i="22"/>
  <c r="L18" i="42"/>
  <c r="B18" i="43" s="1"/>
  <c r="K19" i="43" s="1"/>
  <c r="J80" i="22"/>
  <c r="G90" i="22"/>
  <c r="O44" i="22"/>
  <c r="M80" i="22"/>
  <c r="C24" i="43"/>
  <c r="E62" i="43"/>
  <c r="H62" i="43" s="1"/>
  <c r="G66" i="43"/>
  <c r="J66" i="43" s="1"/>
  <c r="K74" i="22"/>
  <c r="N90" i="22"/>
  <c r="N101" i="22"/>
  <c r="E93" i="22"/>
  <c r="F93" i="22" s="1"/>
  <c r="K71" i="22"/>
  <c r="L37" i="22"/>
  <c r="U37" i="22" s="1"/>
  <c r="I59" i="22"/>
  <c r="K101" i="22"/>
  <c r="T45" i="22"/>
  <c r="I48" i="22"/>
  <c r="Q48" i="22"/>
  <c r="N48" i="22"/>
  <c r="L3" i="42"/>
  <c r="B3" i="43" s="1"/>
  <c r="D3" i="43" s="1"/>
  <c r="R79" i="22"/>
  <c r="K90" i="22"/>
  <c r="I75" i="22"/>
  <c r="I101" i="22"/>
  <c r="S98" i="22"/>
  <c r="Q98" i="22"/>
  <c r="M79" i="22"/>
  <c r="K94" i="22"/>
  <c r="L62" i="43"/>
  <c r="E44" i="22"/>
  <c r="F44" i="22" s="1"/>
  <c r="D44" i="22"/>
  <c r="N74" i="22"/>
  <c r="D74" i="22"/>
  <c r="S74" i="22"/>
  <c r="O74" i="22"/>
  <c r="E74" i="22"/>
  <c r="F74" i="22" s="1"/>
  <c r="L74" i="22"/>
  <c r="U74" i="22" s="1"/>
  <c r="R98" i="22"/>
  <c r="M98" i="22"/>
  <c r="P98" i="22"/>
  <c r="J94" i="22"/>
  <c r="T94" i="22"/>
  <c r="R94" i="22"/>
  <c r="M94" i="22"/>
  <c r="P94" i="22"/>
  <c r="I93" i="22"/>
  <c r="S93" i="22"/>
  <c r="P70" i="22"/>
  <c r="H70" i="22"/>
  <c r="C15" i="22"/>
  <c r="T79" i="22"/>
  <c r="C20" i="22"/>
  <c r="O94" i="22"/>
  <c r="Q95" i="22"/>
  <c r="C62" i="43"/>
  <c r="D62" i="43"/>
  <c r="F62" i="43" s="1"/>
  <c r="I83" i="22"/>
  <c r="L66" i="43"/>
  <c r="H45" i="22"/>
  <c r="D90" i="22"/>
  <c r="P90" i="22" s="1"/>
  <c r="L90" i="22"/>
  <c r="U90" i="22" s="1"/>
  <c r="D101" i="22"/>
  <c r="P101" i="22" s="1"/>
  <c r="D93" i="22"/>
  <c r="M93" i="22" s="1"/>
  <c r="N93" i="22"/>
  <c r="Q75" i="22"/>
  <c r="I71" i="22"/>
  <c r="L71" i="22"/>
  <c r="U71" i="22" s="1"/>
  <c r="N98" i="22"/>
  <c r="D59" i="22"/>
  <c r="R59" i="22" s="1"/>
  <c r="Q101" i="22"/>
  <c r="C4" i="22"/>
  <c r="I4" i="22" s="1"/>
  <c r="K56" i="22"/>
  <c r="N71" i="22"/>
  <c r="Q90" i="22"/>
  <c r="N75" i="22"/>
  <c r="O75" i="22"/>
  <c r="E66" i="43"/>
  <c r="H66" i="43" s="1"/>
  <c r="D66" i="43"/>
  <c r="F66" i="43" s="1"/>
  <c r="J6" i="42"/>
  <c r="L6" i="42" s="1"/>
  <c r="B6" i="43" s="1"/>
  <c r="O101" i="22"/>
  <c r="C66" i="43"/>
  <c r="I98" i="22"/>
  <c r="K98" i="22"/>
  <c r="J79" i="22"/>
  <c r="J7" i="42"/>
  <c r="C8" i="22" s="1"/>
  <c r="O93" i="22"/>
  <c r="L93" i="22"/>
  <c r="U93" i="22" s="1"/>
  <c r="O27" i="22"/>
  <c r="I34" i="22"/>
  <c r="D41" i="22"/>
  <c r="T41" i="22" s="1"/>
  <c r="L63" i="22"/>
  <c r="U63" i="22" s="1"/>
  <c r="O49" i="22"/>
  <c r="S49" i="22"/>
  <c r="K49" i="22"/>
  <c r="N49" i="22"/>
  <c r="T30" i="22"/>
  <c r="D26" i="43"/>
  <c r="F26" i="43" s="1"/>
  <c r="L10" i="42"/>
  <c r="B10" i="43" s="1"/>
  <c r="E54" i="43"/>
  <c r="H54" i="43" s="1"/>
  <c r="L54" i="43"/>
  <c r="I50" i="43"/>
  <c r="E63" i="22"/>
  <c r="F63" i="22" s="1"/>
  <c r="D74" i="43"/>
  <c r="F74" i="43" s="1"/>
  <c r="I26" i="43"/>
  <c r="I67" i="22"/>
  <c r="L102" i="22"/>
  <c r="U102" i="22" s="1"/>
  <c r="D58" i="43"/>
  <c r="F58" i="43" s="1"/>
  <c r="H80" i="22"/>
  <c r="P80" i="22"/>
  <c r="R45" i="22"/>
  <c r="T80" i="22"/>
  <c r="G3" i="42"/>
  <c r="Q83" i="22"/>
  <c r="D95" i="22"/>
  <c r="R95" i="22" s="1"/>
  <c r="R30" i="22"/>
  <c r="K61" i="22"/>
  <c r="L61" i="22"/>
  <c r="U61" i="22" s="1"/>
  <c r="P45" i="22"/>
  <c r="N63" i="22"/>
  <c r="J20" i="42"/>
  <c r="D54" i="43"/>
  <c r="F54" i="43" s="1"/>
  <c r="C54" i="43"/>
  <c r="I54" i="43"/>
  <c r="K50" i="43"/>
  <c r="L50" i="43"/>
  <c r="I102" i="22"/>
  <c r="C74" i="43"/>
  <c r="Q67" i="22"/>
  <c r="D67" i="22"/>
  <c r="O102" i="22"/>
  <c r="E102" i="22"/>
  <c r="F102" i="22" s="1"/>
  <c r="K4" i="51"/>
  <c r="M4" i="51" s="1"/>
  <c r="H5" i="51"/>
  <c r="J9" i="42"/>
  <c r="C18" i="22"/>
  <c r="I89" i="22"/>
  <c r="K38" i="22"/>
  <c r="R70" i="22"/>
  <c r="J70" i="22"/>
  <c r="T70" i="22"/>
  <c r="D102" i="22"/>
  <c r="N102" i="22"/>
  <c r="S102" i="22"/>
  <c r="I97" i="43"/>
  <c r="G97" i="43"/>
  <c r="J97" i="43" s="1"/>
  <c r="K97" i="43"/>
  <c r="D97" i="43"/>
  <c r="F97" i="43" s="1"/>
  <c r="C97" i="43"/>
  <c r="E97" i="43"/>
  <c r="H97" i="43" s="1"/>
  <c r="L97" i="43"/>
  <c r="G93" i="43"/>
  <c r="J93" i="43" s="1"/>
  <c r="I93" i="43"/>
  <c r="E93" i="43"/>
  <c r="H93" i="43" s="1"/>
  <c r="K93" i="43"/>
  <c r="L93" i="43"/>
  <c r="C93" i="43"/>
  <c r="D93" i="43"/>
  <c r="F93" i="43" s="1"/>
  <c r="D89" i="43"/>
  <c r="F89" i="43" s="1"/>
  <c r="G89" i="43"/>
  <c r="J89" i="43" s="1"/>
  <c r="C89" i="43"/>
  <c r="L89" i="43"/>
  <c r="E89" i="43"/>
  <c r="H89" i="43" s="1"/>
  <c r="K89" i="43"/>
  <c r="I89" i="43"/>
  <c r="D81" i="43"/>
  <c r="F81" i="43" s="1"/>
  <c r="K81" i="43"/>
  <c r="L81" i="43"/>
  <c r="E81" i="43"/>
  <c r="H81" i="43" s="1"/>
  <c r="C81" i="43"/>
  <c r="I81" i="43"/>
  <c r="G81" i="43"/>
  <c r="J81" i="43" s="1"/>
  <c r="L78" i="43"/>
  <c r="C78" i="43"/>
  <c r="K78" i="43"/>
  <c r="E78" i="43"/>
  <c r="H78" i="43" s="1"/>
  <c r="G78" i="43"/>
  <c r="J78" i="43" s="1"/>
  <c r="I78" i="43"/>
  <c r="D78" i="43"/>
  <c r="F78" i="43" s="1"/>
  <c r="G74" i="43"/>
  <c r="J74" i="43" s="1"/>
  <c r="L74" i="43"/>
  <c r="E74" i="43"/>
  <c r="H74" i="43" s="1"/>
  <c r="L67" i="22"/>
  <c r="U67" i="22" s="1"/>
  <c r="O67" i="22"/>
  <c r="S67" i="22"/>
  <c r="N67" i="22"/>
  <c r="D63" i="22"/>
  <c r="O63" i="22"/>
  <c r="Q63" i="22"/>
  <c r="K63" i="22"/>
  <c r="L58" i="43"/>
  <c r="G58" i="43"/>
  <c r="J58" i="43" s="1"/>
  <c r="I58" i="43"/>
  <c r="E58" i="43"/>
  <c r="H58" i="43" s="1"/>
  <c r="G50" i="43"/>
  <c r="J50" i="43" s="1"/>
  <c r="C50" i="43"/>
  <c r="I46" i="43"/>
  <c r="E46" i="43"/>
  <c r="H46" i="43" s="1"/>
  <c r="C46" i="43"/>
  <c r="G46" i="43"/>
  <c r="J46" i="43" s="1"/>
  <c r="D46" i="43"/>
  <c r="F46" i="43" s="1"/>
  <c r="K46" i="43"/>
  <c r="L46" i="43"/>
  <c r="K26" i="43"/>
  <c r="L26" i="43"/>
  <c r="E26" i="43"/>
  <c r="H26" i="43" s="1"/>
  <c r="E71" i="22"/>
  <c r="F71" i="22" s="1"/>
  <c r="Q71" i="22"/>
  <c r="D71" i="22"/>
  <c r="K101" i="43"/>
  <c r="D101" i="43"/>
  <c r="F101" i="43" s="1"/>
  <c r="I101" i="43"/>
  <c r="L101" i="43"/>
  <c r="E101" i="43"/>
  <c r="H101" i="43" s="1"/>
  <c r="G101" i="43"/>
  <c r="J101" i="43" s="1"/>
  <c r="C101" i="43"/>
  <c r="Q94" i="22"/>
  <c r="S94" i="22"/>
  <c r="E94" i="22"/>
  <c r="F94" i="22" s="1"/>
  <c r="N94" i="22"/>
  <c r="I94" i="22"/>
  <c r="L82" i="22"/>
  <c r="U82" i="22" s="1"/>
  <c r="N82" i="22"/>
  <c r="O82" i="22"/>
  <c r="Q82" i="22"/>
  <c r="S82" i="22"/>
  <c r="D82" i="22"/>
  <c r="K82" i="22"/>
  <c r="I82" i="22"/>
  <c r="E82" i="22"/>
  <c r="F82" i="22" s="1"/>
  <c r="K75" i="22"/>
  <c r="L75" i="22"/>
  <c r="U75" i="22" s="1"/>
  <c r="O59" i="22"/>
  <c r="S59" i="22"/>
  <c r="L59" i="22"/>
  <c r="U59" i="22" s="1"/>
  <c r="Q59" i="22"/>
  <c r="N59" i="22"/>
  <c r="Q55" i="22"/>
  <c r="D55" i="22"/>
  <c r="N55" i="22"/>
  <c r="K55" i="22"/>
  <c r="L55" i="22"/>
  <c r="U55" i="22" s="1"/>
  <c r="O55" i="22"/>
  <c r="S55" i="22"/>
  <c r="D82" i="43"/>
  <c r="F82" i="43" s="1"/>
  <c r="E90" i="43"/>
  <c r="H90" i="43" s="1"/>
  <c r="D60" i="43"/>
  <c r="F60" i="43" s="1"/>
  <c r="G71" i="43"/>
  <c r="J71" i="43" s="1"/>
  <c r="F4" i="53"/>
  <c r="E86" i="53"/>
  <c r="G52" i="52"/>
  <c r="G7" i="52"/>
  <c r="G77" i="53"/>
  <c r="E77" i="53"/>
  <c r="G14" i="53"/>
  <c r="E14" i="53"/>
  <c r="L60" i="43"/>
  <c r="N34" i="22"/>
  <c r="Q34" i="22"/>
  <c r="G52" i="43"/>
  <c r="J52" i="43" s="1"/>
  <c r="D94" i="43"/>
  <c r="F94" i="43" s="1"/>
  <c r="D34" i="22"/>
  <c r="T34" i="22" s="1"/>
  <c r="E71" i="43"/>
  <c r="H71" i="43" s="1"/>
  <c r="C14" i="22"/>
  <c r="K5" i="51"/>
  <c r="M5" i="51" s="1"/>
  <c r="E15" i="53"/>
  <c r="G15" i="53"/>
  <c r="H51" i="22"/>
  <c r="M92" i="22"/>
  <c r="F4" i="42"/>
  <c r="F5" i="42" s="1"/>
  <c r="F6" i="42" s="1"/>
  <c r="F7" i="42" s="1"/>
  <c r="F8" i="42" s="1"/>
  <c r="F9" i="42" s="1"/>
  <c r="F10" i="42" s="1"/>
  <c r="F11" i="42" s="1"/>
  <c r="F12" i="42" s="1"/>
  <c r="F13" i="42" s="1"/>
  <c r="F14" i="42" s="1"/>
  <c r="F15" i="42" s="1"/>
  <c r="F16" i="42" s="1"/>
  <c r="F17" i="42" s="1"/>
  <c r="F18" i="42" s="1"/>
  <c r="F19" i="42" s="1"/>
  <c r="F20" i="42" s="1"/>
  <c r="F21" i="42" s="1"/>
  <c r="F22" i="42" s="1"/>
  <c r="I60" i="43"/>
  <c r="O34" i="22"/>
  <c r="I94" i="43"/>
  <c r="G30" i="22"/>
  <c r="I25" i="22"/>
  <c r="S25" i="22"/>
  <c r="G82" i="43"/>
  <c r="J82" i="43" s="1"/>
  <c r="K34" i="22"/>
  <c r="L71" i="43"/>
  <c r="I71" i="43"/>
  <c r="G21" i="52"/>
  <c r="E34" i="22"/>
  <c r="F34" i="22" s="1"/>
  <c r="G34" i="22" s="1"/>
  <c r="N25" i="22"/>
  <c r="D71" i="43"/>
  <c r="F71" i="43" s="1"/>
  <c r="L34" i="22"/>
  <c r="U34" i="22" s="1"/>
  <c r="C71" i="43"/>
  <c r="L39" i="52"/>
  <c r="F39" i="52"/>
  <c r="D39" i="52"/>
  <c r="K39" i="52"/>
  <c r="C39" i="52"/>
  <c r="H39" i="52"/>
  <c r="J39" i="52" s="1"/>
  <c r="I39" i="52"/>
  <c r="G13" i="52"/>
  <c r="E29" i="43"/>
  <c r="H29" i="43" s="1"/>
  <c r="G29" i="43"/>
  <c r="J29" i="43" s="1"/>
  <c r="L29" i="43"/>
  <c r="K29" i="43"/>
  <c r="C29" i="43"/>
  <c r="I29" i="43"/>
  <c r="D29" i="43"/>
  <c r="F29" i="43" s="1"/>
  <c r="I25" i="43"/>
  <c r="C25" i="43"/>
  <c r="E25" i="43"/>
  <c r="H25" i="43" s="1"/>
  <c r="L25" i="43"/>
  <c r="G25" i="43"/>
  <c r="J25" i="43" s="1"/>
  <c r="D25" i="43"/>
  <c r="F25" i="43" s="1"/>
  <c r="K25" i="43"/>
  <c r="I48" i="43"/>
  <c r="K48" i="43"/>
  <c r="D48" i="43"/>
  <c r="F48" i="43" s="1"/>
  <c r="L48" i="43"/>
  <c r="E48" i="43"/>
  <c r="H48" i="43" s="1"/>
  <c r="G48" i="43"/>
  <c r="J48" i="43" s="1"/>
  <c r="C48" i="43"/>
  <c r="L33" i="22"/>
  <c r="U33" i="22" s="1"/>
  <c r="E33" i="22"/>
  <c r="F33" i="22" s="1"/>
  <c r="D33" i="22"/>
  <c r="S33" i="22"/>
  <c r="M30" i="22"/>
  <c r="L83" i="22"/>
  <c r="U83" i="22" s="1"/>
  <c r="N33" i="22"/>
  <c r="Q89" i="22"/>
  <c r="D89" i="22"/>
  <c r="J89" i="22" s="1"/>
  <c r="S83" i="22"/>
  <c r="E83" i="22"/>
  <c r="F83" i="22" s="1"/>
  <c r="H83" i="22" s="1"/>
  <c r="N61" i="22"/>
  <c r="I33" i="22"/>
  <c r="S56" i="22"/>
  <c r="I91" i="43"/>
  <c r="K91" i="43"/>
  <c r="E91" i="43"/>
  <c r="H91" i="43" s="1"/>
  <c r="G91" i="43"/>
  <c r="J91" i="43" s="1"/>
  <c r="C91" i="43"/>
  <c r="D91" i="43"/>
  <c r="F91" i="43" s="1"/>
  <c r="L91" i="43"/>
  <c r="Q60" i="22"/>
  <c r="S60" i="22"/>
  <c r="D60" i="22"/>
  <c r="E60" i="22"/>
  <c r="F60" i="22" s="1"/>
  <c r="N60" i="22"/>
  <c r="I60" i="22"/>
  <c r="L60" i="22"/>
  <c r="U60" i="22" s="1"/>
  <c r="O60" i="22"/>
  <c r="K60" i="22"/>
  <c r="S46" i="22"/>
  <c r="E46" i="22"/>
  <c r="F46" i="22" s="1"/>
  <c r="L46" i="22"/>
  <c r="U46" i="22" s="1"/>
  <c r="I46" i="22"/>
  <c r="D46" i="22"/>
  <c r="K46" i="22"/>
  <c r="N46" i="22"/>
  <c r="Q46" i="22"/>
  <c r="K98" i="43"/>
  <c r="L98" i="43"/>
  <c r="G98" i="43"/>
  <c r="J98" i="43" s="1"/>
  <c r="I98" i="43"/>
  <c r="C98" i="43"/>
  <c r="E98" i="43"/>
  <c r="H98" i="43" s="1"/>
  <c r="C90" i="43"/>
  <c r="K90" i="43"/>
  <c r="I90" i="43"/>
  <c r="G90" i="43"/>
  <c r="J90" i="43" s="1"/>
  <c r="G79" i="43"/>
  <c r="J79" i="43" s="1"/>
  <c r="E79" i="43"/>
  <c r="H79" i="43" s="1"/>
  <c r="D79" i="43"/>
  <c r="F79" i="43" s="1"/>
  <c r="L79" i="43"/>
  <c r="I79" i="43"/>
  <c r="C79" i="43"/>
  <c r="K79" i="43"/>
  <c r="G63" i="43"/>
  <c r="J63" i="43" s="1"/>
  <c r="D63" i="43"/>
  <c r="F63" i="43" s="1"/>
  <c r="C63" i="43"/>
  <c r="I63" i="43"/>
  <c r="K63" i="43"/>
  <c r="E63" i="43"/>
  <c r="H63" i="43" s="1"/>
  <c r="L63" i="43"/>
  <c r="K41" i="22"/>
  <c r="N41" i="22"/>
  <c r="O41" i="22"/>
  <c r="C36" i="43"/>
  <c r="K36" i="43"/>
  <c r="G36" i="43"/>
  <c r="J36" i="43" s="1"/>
  <c r="I36" i="43"/>
  <c r="E36" i="43"/>
  <c r="H36" i="43" s="1"/>
  <c r="L36" i="43"/>
  <c r="D36" i="43"/>
  <c r="F36" i="43" s="1"/>
  <c r="I29" i="22"/>
  <c r="N29" i="22"/>
  <c r="O29" i="22"/>
  <c r="D29" i="22"/>
  <c r="K29" i="22"/>
  <c r="L29" i="22"/>
  <c r="U29" i="22" s="1"/>
  <c r="S29" i="22"/>
  <c r="E29" i="22"/>
  <c r="F29" i="22" s="1"/>
  <c r="Q29" i="22"/>
  <c r="Q84" i="22"/>
  <c r="S84" i="22"/>
  <c r="L84" i="22"/>
  <c r="U84" i="22" s="1"/>
  <c r="I84" i="22"/>
  <c r="K84" i="22"/>
  <c r="D84" i="22"/>
  <c r="N84" i="22"/>
  <c r="E84" i="22"/>
  <c r="F84" i="22" s="1"/>
  <c r="O84" i="22"/>
  <c r="N96" i="22"/>
  <c r="E96" i="22"/>
  <c r="F96" i="22" s="1"/>
  <c r="O96" i="22"/>
  <c r="S96" i="22"/>
  <c r="I96" i="22"/>
  <c r="D96" i="22"/>
  <c r="K96" i="22"/>
  <c r="L96" i="22"/>
  <c r="U96" i="22" s="1"/>
  <c r="Q96" i="22"/>
  <c r="G40" i="43"/>
  <c r="J40" i="43" s="1"/>
  <c r="E40" i="43"/>
  <c r="H40" i="43" s="1"/>
  <c r="I40" i="43"/>
  <c r="L40" i="43"/>
  <c r="D40" i="43"/>
  <c r="F40" i="43" s="1"/>
  <c r="K40" i="43"/>
  <c r="C40" i="43"/>
  <c r="J98" i="22"/>
  <c r="P30" i="22"/>
  <c r="T98" i="22"/>
  <c r="Q56" i="22"/>
  <c r="O89" i="22"/>
  <c r="K89" i="22"/>
  <c r="D61" i="22"/>
  <c r="M61" i="22" s="1"/>
  <c r="I61" i="22"/>
  <c r="O33" i="22"/>
  <c r="N15" i="42"/>
  <c r="N4" i="42"/>
  <c r="J4" i="42"/>
  <c r="I95" i="43"/>
  <c r="G95" i="43"/>
  <c r="J95" i="43" s="1"/>
  <c r="L95" i="43"/>
  <c r="C95" i="43"/>
  <c r="D95" i="43"/>
  <c r="F95" i="43" s="1"/>
  <c r="E95" i="43"/>
  <c r="H95" i="43" s="1"/>
  <c r="K95" i="43"/>
  <c r="N8" i="42"/>
  <c r="C60" i="43"/>
  <c r="G60" i="43"/>
  <c r="J60" i="43" s="1"/>
  <c r="K60" i="43"/>
  <c r="G94" i="43"/>
  <c r="J94" i="43" s="1"/>
  <c r="C94" i="43"/>
  <c r="K94" i="43"/>
  <c r="E94" i="43"/>
  <c r="H94" i="43" s="1"/>
  <c r="L82" i="43"/>
  <c r="C82" i="43"/>
  <c r="E82" i="43"/>
  <c r="H82" i="43" s="1"/>
  <c r="I82" i="43"/>
  <c r="G32" i="43"/>
  <c r="J32" i="43" s="1"/>
  <c r="I32" i="43"/>
  <c r="L32" i="43"/>
  <c r="D32" i="43"/>
  <c r="F32" i="43" s="1"/>
  <c r="K32" i="43"/>
  <c r="E32" i="43"/>
  <c r="H32" i="43" s="1"/>
  <c r="C32" i="43"/>
  <c r="Q25" i="22"/>
  <c r="K25" i="22"/>
  <c r="E25" i="22"/>
  <c r="F25" i="22" s="1"/>
  <c r="L25" i="22"/>
  <c r="U25" i="22" s="1"/>
  <c r="O25" i="22"/>
  <c r="C52" i="43"/>
  <c r="L52" i="43"/>
  <c r="D52" i="43"/>
  <c r="F52" i="43" s="1"/>
  <c r="I52" i="43"/>
  <c r="K52" i="43"/>
  <c r="C45" i="43"/>
  <c r="I45" i="43"/>
  <c r="D45" i="43"/>
  <c r="F45" i="43" s="1"/>
  <c r="G45" i="43"/>
  <c r="J45" i="43" s="1"/>
  <c r="K45" i="43"/>
  <c r="L45" i="43"/>
  <c r="E45" i="43"/>
  <c r="H45" i="43" s="1"/>
  <c r="E95" i="22"/>
  <c r="F95" i="22" s="1"/>
  <c r="N95" i="22"/>
  <c r="S95" i="22"/>
  <c r="L95" i="22"/>
  <c r="U95" i="22" s="1"/>
  <c r="O83" i="22"/>
  <c r="D83" i="22"/>
  <c r="I56" i="22"/>
  <c r="E56" i="22"/>
  <c r="F56" i="22" s="1"/>
  <c r="O56" i="22"/>
  <c r="D56" i="22"/>
  <c r="L56" i="22"/>
  <c r="U56" i="22" s="1"/>
  <c r="D28" i="43"/>
  <c r="F28" i="43" s="1"/>
  <c r="I28" i="43"/>
  <c r="G28" i="43"/>
  <c r="J28" i="43" s="1"/>
  <c r="C28" i="43"/>
  <c r="L89" i="22"/>
  <c r="U89" i="22" s="1"/>
  <c r="K28" i="43"/>
  <c r="I95" i="22"/>
  <c r="K83" i="22"/>
  <c r="Q61" i="22"/>
  <c r="E61" i="22"/>
  <c r="F61" i="22" s="1"/>
  <c r="G61" i="22" s="1"/>
  <c r="K33" i="22"/>
  <c r="L28" i="43"/>
  <c r="I38" i="22"/>
  <c r="N38" i="22"/>
  <c r="Q38" i="22"/>
  <c r="E38" i="22"/>
  <c r="F38" i="22" s="1"/>
  <c r="L38" i="22"/>
  <c r="U38" i="22" s="1"/>
  <c r="D38" i="22"/>
  <c r="S92" i="22"/>
  <c r="L92" i="22"/>
  <c r="U92" i="22" s="1"/>
  <c r="K92" i="22"/>
  <c r="Q92" i="22"/>
  <c r="E92" i="22"/>
  <c r="F92" i="22" s="1"/>
  <c r="N92" i="22"/>
  <c r="O92" i="22"/>
  <c r="G37" i="43"/>
  <c r="J37" i="43" s="1"/>
  <c r="I37" i="43"/>
  <c r="E37" i="43"/>
  <c r="H37" i="43" s="1"/>
  <c r="L37" i="43"/>
  <c r="D37" i="43"/>
  <c r="F37" i="43" s="1"/>
  <c r="K37" i="43"/>
  <c r="C37" i="43"/>
  <c r="L8" i="42"/>
  <c r="B8" i="43" s="1"/>
  <c r="C9" i="22"/>
  <c r="D68" i="43"/>
  <c r="F68" i="43" s="1"/>
  <c r="E68" i="43"/>
  <c r="H68" i="43" s="1"/>
  <c r="G68" i="43"/>
  <c r="J68" i="43" s="1"/>
  <c r="C68" i="43"/>
  <c r="I68" i="43"/>
  <c r="L68" i="43"/>
  <c r="K68" i="43"/>
  <c r="K33" i="43"/>
  <c r="E33" i="43"/>
  <c r="H33" i="43" s="1"/>
  <c r="G33" i="43"/>
  <c r="J33" i="43" s="1"/>
  <c r="C33" i="43"/>
  <c r="D33" i="43"/>
  <c r="F33" i="43" s="1"/>
  <c r="L33" i="43"/>
  <c r="I33" i="43"/>
  <c r="K55" i="43"/>
  <c r="L55" i="43"/>
  <c r="D55" i="43"/>
  <c r="F55" i="43" s="1"/>
  <c r="E55" i="43"/>
  <c r="H55" i="43" s="1"/>
  <c r="I55" i="43"/>
  <c r="G55" i="43"/>
  <c r="J55" i="43" s="1"/>
  <c r="C55" i="43"/>
  <c r="G44" i="43"/>
  <c r="J44" i="43" s="1"/>
  <c r="L44" i="43"/>
  <c r="D44" i="43"/>
  <c r="F44" i="43" s="1"/>
  <c r="I44" i="43"/>
  <c r="E44" i="43"/>
  <c r="H44" i="43" s="1"/>
  <c r="C44" i="43"/>
  <c r="K44" i="43"/>
  <c r="D37" i="22"/>
  <c r="O37" i="22"/>
  <c r="N37" i="22"/>
  <c r="S37" i="22"/>
  <c r="I37" i="22"/>
  <c r="E37" i="22"/>
  <c r="F37" i="22" s="1"/>
  <c r="K37" i="22"/>
  <c r="K24" i="43"/>
  <c r="L24" i="43"/>
  <c r="E24" i="43"/>
  <c r="H24" i="43" s="1"/>
  <c r="D24" i="43"/>
  <c r="F24" i="43" s="1"/>
  <c r="I24" i="43"/>
  <c r="E47" i="53"/>
  <c r="G47" i="53"/>
  <c r="H4" i="51"/>
  <c r="G15" i="42"/>
  <c r="L91" i="52"/>
  <c r="H91" i="52"/>
  <c r="J91" i="52" s="1"/>
  <c r="C91" i="52"/>
  <c r="K91" i="52"/>
  <c r="F91" i="52"/>
  <c r="I91" i="52"/>
  <c r="D91" i="52"/>
  <c r="J16" i="42"/>
  <c r="J12" i="42"/>
  <c r="L15" i="42"/>
  <c r="B15" i="43" s="1"/>
  <c r="C16" i="22"/>
  <c r="L83" i="52"/>
  <c r="I83" i="52"/>
  <c r="D83" i="52"/>
  <c r="C83" i="52"/>
  <c r="H83" i="52"/>
  <c r="J83" i="52" s="1"/>
  <c r="F83" i="52"/>
  <c r="K83" i="52"/>
  <c r="G17" i="42"/>
  <c r="G26" i="52"/>
  <c r="G11" i="52"/>
  <c r="R25" i="22"/>
  <c r="P51" i="22"/>
  <c r="I97" i="22"/>
  <c r="L97" i="22"/>
  <c r="U97" i="22" s="1"/>
  <c r="D97" i="22"/>
  <c r="N97" i="22"/>
  <c r="K97" i="22"/>
  <c r="Q97" i="22"/>
  <c r="S97" i="22"/>
  <c r="O97" i="22"/>
  <c r="E97" i="22"/>
  <c r="F97" i="22" s="1"/>
  <c r="L84" i="52"/>
  <c r="H84" i="52"/>
  <c r="J84" i="52" s="1"/>
  <c r="C84" i="52"/>
  <c r="K84" i="52"/>
  <c r="I84" i="52"/>
  <c r="D84" i="52"/>
  <c r="F84" i="52"/>
  <c r="P25" i="22"/>
  <c r="G10" i="52"/>
  <c r="G59" i="22"/>
  <c r="C6" i="22"/>
  <c r="I27" i="22"/>
  <c r="D27" i="22"/>
  <c r="Q27" i="22"/>
  <c r="K27" i="22"/>
  <c r="E27" i="22"/>
  <c r="F27" i="22" s="1"/>
  <c r="S27" i="22"/>
  <c r="L27" i="22"/>
  <c r="U27" i="22" s="1"/>
  <c r="E89" i="22"/>
  <c r="F89" i="22" s="1"/>
  <c r="N89" i="22"/>
  <c r="L89" i="52"/>
  <c r="C89" i="52"/>
  <c r="D89" i="52"/>
  <c r="F89" i="52"/>
  <c r="H89" i="52"/>
  <c r="J89" i="52" s="1"/>
  <c r="I89" i="52"/>
  <c r="K89" i="52"/>
  <c r="F94" i="53"/>
  <c r="H94" i="53"/>
  <c r="J94" i="53" s="1"/>
  <c r="C94" i="53"/>
  <c r="D94" i="53"/>
  <c r="I94" i="53"/>
  <c r="K94" i="53"/>
  <c r="L94" i="53"/>
  <c r="H87" i="53"/>
  <c r="J87" i="53" s="1"/>
  <c r="K87" i="53"/>
  <c r="L87" i="53"/>
  <c r="F87" i="53"/>
  <c r="C87" i="53"/>
  <c r="I87" i="53"/>
  <c r="D87" i="53"/>
  <c r="Q31" i="22"/>
  <c r="O31" i="22"/>
  <c r="S31" i="22"/>
  <c r="E31" i="22"/>
  <c r="F31" i="22" s="1"/>
  <c r="D31" i="22"/>
  <c r="K31" i="22"/>
  <c r="L31" i="22"/>
  <c r="U31" i="22" s="1"/>
  <c r="I31" i="22"/>
  <c r="T25" i="22"/>
  <c r="E25" i="52"/>
  <c r="E95" i="52"/>
  <c r="L35" i="22"/>
  <c r="U35" i="22" s="1"/>
  <c r="Q35" i="22"/>
  <c r="N35" i="22"/>
  <c r="E35" i="22"/>
  <c r="F35" i="22" s="1"/>
  <c r="S35" i="22"/>
  <c r="K35" i="22"/>
  <c r="I35" i="22"/>
  <c r="O35" i="22"/>
  <c r="D35" i="22"/>
  <c r="F95" i="53"/>
  <c r="H95" i="53"/>
  <c r="J95" i="53" s="1"/>
  <c r="D95" i="53"/>
  <c r="I95" i="53"/>
  <c r="L95" i="53"/>
  <c r="K95" i="53"/>
  <c r="C95" i="53"/>
  <c r="H93" i="53"/>
  <c r="J93" i="53" s="1"/>
  <c r="I93" i="53"/>
  <c r="F93" i="53"/>
  <c r="K93" i="53"/>
  <c r="C93" i="53"/>
  <c r="L93" i="53"/>
  <c r="D93" i="53"/>
  <c r="H88" i="53"/>
  <c r="J88" i="53" s="1"/>
  <c r="K88" i="53"/>
  <c r="F88" i="53"/>
  <c r="L88" i="53"/>
  <c r="I88" i="53"/>
  <c r="C88" i="53"/>
  <c r="D88" i="53"/>
  <c r="J25" i="22"/>
  <c r="G48" i="52"/>
  <c r="E96" i="53"/>
  <c r="E85" i="22"/>
  <c r="F85" i="22" s="1"/>
  <c r="O85" i="22"/>
  <c r="L85" i="22"/>
  <c r="U85" i="22" s="1"/>
  <c r="Q85" i="22"/>
  <c r="D85" i="22"/>
  <c r="S85" i="22"/>
  <c r="I85" i="22"/>
  <c r="N85" i="22"/>
  <c r="K85" i="22"/>
  <c r="D81" i="22"/>
  <c r="Q81" i="22"/>
  <c r="L81" i="22"/>
  <c r="U81" i="22" s="1"/>
  <c r="S81" i="22"/>
  <c r="K81" i="22"/>
  <c r="I81" i="22"/>
  <c r="E81" i="22"/>
  <c r="F81" i="22" s="1"/>
  <c r="O81" i="22"/>
  <c r="I47" i="22"/>
  <c r="K47" i="22"/>
  <c r="O47" i="22"/>
  <c r="L47" i="22"/>
  <c r="U47" i="22" s="1"/>
  <c r="D47" i="22"/>
  <c r="S47" i="22"/>
  <c r="Q47" i="22"/>
  <c r="E47" i="22"/>
  <c r="F47" i="22" s="1"/>
  <c r="N47" i="22"/>
  <c r="F3" i="52"/>
  <c r="E73" i="52"/>
  <c r="D69" i="22"/>
  <c r="I69" i="22"/>
  <c r="L69" i="22"/>
  <c r="U69" i="22" s="1"/>
  <c r="K69" i="22"/>
  <c r="E69" i="22"/>
  <c r="F69" i="22" s="1"/>
  <c r="S69" i="22"/>
  <c r="Q69" i="22"/>
  <c r="O69" i="22"/>
  <c r="N69" i="22"/>
  <c r="L57" i="22"/>
  <c r="U57" i="22" s="1"/>
  <c r="D57" i="22"/>
  <c r="E57" i="22"/>
  <c r="F57" i="22" s="1"/>
  <c r="N57" i="22"/>
  <c r="K57" i="22"/>
  <c r="I57" i="22"/>
  <c r="Q57" i="22"/>
  <c r="O57" i="22"/>
  <c r="S57" i="22"/>
  <c r="I50" i="22"/>
  <c r="D50" i="22"/>
  <c r="O50" i="22"/>
  <c r="N50" i="22"/>
  <c r="L50" i="22"/>
  <c r="U50" i="22" s="1"/>
  <c r="E50" i="22"/>
  <c r="F50" i="22" s="1"/>
  <c r="K50" i="22"/>
  <c r="S50" i="22"/>
  <c r="Q50" i="22"/>
  <c r="F6" i="53"/>
  <c r="D6" i="53"/>
  <c r="E6" i="53" s="1"/>
  <c r="C6" i="53"/>
  <c r="G57" i="52"/>
  <c r="E57" i="52"/>
  <c r="G46" i="52"/>
  <c r="E46" i="52"/>
  <c r="D87" i="22"/>
  <c r="I87" i="22"/>
  <c r="L87" i="22"/>
  <c r="U87" i="22" s="1"/>
  <c r="O87" i="22"/>
  <c r="E87" i="22"/>
  <c r="F87" i="22" s="1"/>
  <c r="K87" i="22"/>
  <c r="N87" i="22"/>
  <c r="Q87" i="22"/>
  <c r="S87" i="22"/>
  <c r="N65" i="22"/>
  <c r="I65" i="22"/>
  <c r="O65" i="22"/>
  <c r="E65" i="22"/>
  <c r="F65" i="22" s="1"/>
  <c r="S65" i="22"/>
  <c r="Q65" i="22"/>
  <c r="L65" i="22"/>
  <c r="U65" i="22" s="1"/>
  <c r="D65" i="22"/>
  <c r="K65" i="22"/>
  <c r="I99" i="22"/>
  <c r="N99" i="22"/>
  <c r="O99" i="22"/>
  <c r="S99" i="22"/>
  <c r="Q99" i="22"/>
  <c r="L99" i="22"/>
  <c r="U99" i="22" s="1"/>
  <c r="D99" i="22"/>
  <c r="K99" i="22"/>
  <c r="E99" i="22"/>
  <c r="F99" i="22" s="1"/>
  <c r="L93" i="52"/>
  <c r="D93" i="52"/>
  <c r="C93" i="52"/>
  <c r="H93" i="52"/>
  <c r="J93" i="52" s="1"/>
  <c r="F93" i="52"/>
  <c r="K93" i="52"/>
  <c r="I93" i="52"/>
  <c r="E72" i="22"/>
  <c r="F72" i="22" s="1"/>
  <c r="I72" i="22"/>
  <c r="D72" i="22"/>
  <c r="L72" i="22"/>
  <c r="U72" i="22" s="1"/>
  <c r="O72" i="22"/>
  <c r="N72" i="22"/>
  <c r="K72" i="22"/>
  <c r="Q72" i="22"/>
  <c r="S72" i="22"/>
  <c r="L91" i="22"/>
  <c r="U91" i="22" s="1"/>
  <c r="E91" i="22"/>
  <c r="F91" i="22" s="1"/>
  <c r="S91" i="22"/>
  <c r="I91" i="22"/>
  <c r="O91" i="22"/>
  <c r="K91" i="22"/>
  <c r="N91" i="22"/>
  <c r="Q91" i="22"/>
  <c r="D91" i="22"/>
  <c r="C7" i="53"/>
  <c r="D7" i="53"/>
  <c r="F7" i="53"/>
  <c r="H7" i="53"/>
  <c r="I7" i="53"/>
  <c r="E14" i="52"/>
  <c r="G14" i="52"/>
  <c r="I53" i="22"/>
  <c r="O53" i="22"/>
  <c r="S53" i="22"/>
  <c r="L53" i="22"/>
  <c r="U53" i="22" s="1"/>
  <c r="Q53" i="22"/>
  <c r="K53" i="22"/>
  <c r="D53" i="22"/>
  <c r="N53" i="22"/>
  <c r="E53" i="22"/>
  <c r="F53" i="22" s="1"/>
  <c r="E103" i="22"/>
  <c r="F103" i="22" s="1"/>
  <c r="Q103" i="22"/>
  <c r="S103" i="22"/>
  <c r="I103" i="22"/>
  <c r="L103" i="22"/>
  <c r="U103" i="22" s="1"/>
  <c r="D103" i="22"/>
  <c r="O103" i="22"/>
  <c r="K103" i="22"/>
  <c r="N103" i="22"/>
  <c r="E54" i="52"/>
  <c r="G54" i="52"/>
  <c r="L87" i="52"/>
  <c r="F87" i="52"/>
  <c r="D87" i="52"/>
  <c r="I87" i="52"/>
  <c r="H87" i="52"/>
  <c r="J87" i="52" s="1"/>
  <c r="K87" i="52"/>
  <c r="C87" i="52"/>
  <c r="S88" i="22"/>
  <c r="D88" i="22"/>
  <c r="Q88" i="22"/>
  <c r="K88" i="22"/>
  <c r="N88" i="22"/>
  <c r="O88" i="22"/>
  <c r="L88" i="22"/>
  <c r="U88" i="22" s="1"/>
  <c r="E88" i="22"/>
  <c r="F88" i="22" s="1"/>
  <c r="I88" i="22"/>
  <c r="K73" i="22"/>
  <c r="N73" i="22"/>
  <c r="Q73" i="22"/>
  <c r="O73" i="22"/>
  <c r="D73" i="22"/>
  <c r="L73" i="22"/>
  <c r="U73" i="22" s="1"/>
  <c r="S73" i="22"/>
  <c r="I73" i="22"/>
  <c r="E73" i="22"/>
  <c r="F73" i="22" s="1"/>
  <c r="N43" i="22"/>
  <c r="O43" i="22"/>
  <c r="D43" i="22"/>
  <c r="K43" i="22"/>
  <c r="E43" i="22"/>
  <c r="F43" i="22" s="1"/>
  <c r="I43" i="22"/>
  <c r="S43" i="22"/>
  <c r="Q43" i="22"/>
  <c r="L43" i="22"/>
  <c r="U43" i="22" s="1"/>
  <c r="M51" i="22"/>
  <c r="T51" i="22"/>
  <c r="R51" i="22"/>
  <c r="G89" i="53"/>
  <c r="E89" i="53"/>
  <c r="G43" i="52"/>
  <c r="E43" i="52"/>
  <c r="D87" i="43"/>
  <c r="F87" i="43" s="1"/>
  <c r="K87" i="43"/>
  <c r="G87" i="43"/>
  <c r="J87" i="43" s="1"/>
  <c r="I87" i="43"/>
  <c r="E87" i="43"/>
  <c r="H87" i="43" s="1"/>
  <c r="C87" i="43"/>
  <c r="L87" i="43"/>
  <c r="K72" i="43"/>
  <c r="D72" i="43"/>
  <c r="F72" i="43" s="1"/>
  <c r="C72" i="43"/>
  <c r="I72" i="43"/>
  <c r="L72" i="43"/>
  <c r="E72" i="43"/>
  <c r="H72" i="43" s="1"/>
  <c r="G72" i="43"/>
  <c r="J72" i="43" s="1"/>
  <c r="D42" i="43"/>
  <c r="F42" i="43" s="1"/>
  <c r="L42" i="43"/>
  <c r="E42" i="43"/>
  <c r="H42" i="43" s="1"/>
  <c r="G42" i="43"/>
  <c r="J42" i="43" s="1"/>
  <c r="I42" i="43"/>
  <c r="K42" i="43"/>
  <c r="C42" i="43"/>
  <c r="E60" i="52"/>
  <c r="G60" i="52"/>
  <c r="G75" i="52"/>
  <c r="E75" i="52"/>
  <c r="E51" i="52"/>
  <c r="G51" i="52"/>
  <c r="L101" i="52"/>
  <c r="K101" i="52"/>
  <c r="C101" i="52"/>
  <c r="F101" i="52"/>
  <c r="D101" i="52"/>
  <c r="I101" i="52"/>
  <c r="H101" i="52"/>
  <c r="J101" i="52" s="1"/>
  <c r="S77" i="22"/>
  <c r="O77" i="22"/>
  <c r="N77" i="22"/>
  <c r="Q77" i="22"/>
  <c r="D77" i="22"/>
  <c r="L77" i="22"/>
  <c r="U77" i="22" s="1"/>
  <c r="K77" i="22"/>
  <c r="E77" i="22"/>
  <c r="F77" i="22" s="1"/>
  <c r="I77" i="22"/>
  <c r="I54" i="22"/>
  <c r="S54" i="22"/>
  <c r="Q54" i="22"/>
  <c r="E54" i="22"/>
  <c r="F54" i="22" s="1"/>
  <c r="O54" i="22"/>
  <c r="N54" i="22"/>
  <c r="L54" i="22"/>
  <c r="U54" i="22" s="1"/>
  <c r="D54" i="22"/>
  <c r="K54" i="22"/>
  <c r="Q39" i="22"/>
  <c r="L39" i="22"/>
  <c r="U39" i="22" s="1"/>
  <c r="O39" i="22"/>
  <c r="S39" i="22"/>
  <c r="I39" i="22"/>
  <c r="D39" i="22"/>
  <c r="E39" i="22"/>
  <c r="F39" i="22" s="1"/>
  <c r="K39" i="22"/>
  <c r="N39" i="22"/>
  <c r="E17" i="52"/>
  <c r="G17" i="52"/>
  <c r="G65" i="53"/>
  <c r="E65" i="53"/>
  <c r="E50" i="52"/>
  <c r="G50" i="52"/>
  <c r="G67" i="52"/>
  <c r="E67" i="52"/>
  <c r="G76" i="43"/>
  <c r="J76" i="43" s="1"/>
  <c r="E76" i="43"/>
  <c r="H76" i="43" s="1"/>
  <c r="C76" i="43"/>
  <c r="I76" i="43"/>
  <c r="D76" i="43"/>
  <c r="F76" i="43" s="1"/>
  <c r="K76" i="43"/>
  <c r="L76" i="43"/>
  <c r="E53" i="43"/>
  <c r="H53" i="43" s="1"/>
  <c r="G53" i="43"/>
  <c r="J53" i="43" s="1"/>
  <c r="C53" i="43"/>
  <c r="L53" i="43"/>
  <c r="K53" i="43"/>
  <c r="D53" i="43"/>
  <c r="F53" i="43" s="1"/>
  <c r="I53" i="43"/>
  <c r="L38" i="43"/>
  <c r="C38" i="43"/>
  <c r="K38" i="43"/>
  <c r="D38" i="43"/>
  <c r="F38" i="43" s="1"/>
  <c r="G38" i="43"/>
  <c r="J38" i="43" s="1"/>
  <c r="I38" i="43"/>
  <c r="E38" i="43"/>
  <c r="H38" i="43" s="1"/>
  <c r="H6" i="48"/>
  <c r="G7" i="48"/>
  <c r="G58" i="52"/>
  <c r="E58" i="52"/>
  <c r="G42" i="52"/>
  <c r="E42" i="52"/>
  <c r="Q58" i="22"/>
  <c r="N58" i="22"/>
  <c r="K58" i="22"/>
  <c r="E58" i="22"/>
  <c r="F58" i="22" s="1"/>
  <c r="I58" i="22"/>
  <c r="D58" i="22"/>
  <c r="O58" i="22"/>
  <c r="S58" i="22"/>
  <c r="L58" i="22"/>
  <c r="U58" i="22" s="1"/>
  <c r="E68" i="22"/>
  <c r="F68" i="22" s="1"/>
  <c r="O68" i="22"/>
  <c r="L68" i="22"/>
  <c r="U68" i="22" s="1"/>
  <c r="Q68" i="22"/>
  <c r="D68" i="22"/>
  <c r="I68" i="22"/>
  <c r="K68" i="22"/>
  <c r="S68" i="22"/>
  <c r="N68" i="22"/>
  <c r="E79" i="52"/>
  <c r="G79" i="52"/>
  <c r="G63" i="52"/>
  <c r="E63" i="52"/>
  <c r="G18" i="52"/>
  <c r="E18" i="52"/>
  <c r="E41" i="52"/>
  <c r="G41" i="52"/>
  <c r="G61" i="52"/>
  <c r="E61" i="52"/>
  <c r="G59" i="52"/>
  <c r="E59" i="52"/>
  <c r="N52" i="22"/>
  <c r="L52" i="22"/>
  <c r="U52" i="22" s="1"/>
  <c r="I52" i="22"/>
  <c r="E52" i="22"/>
  <c r="F52" i="22" s="1"/>
  <c r="O52" i="22"/>
  <c r="K52" i="22"/>
  <c r="S52" i="22"/>
  <c r="Q52" i="22"/>
  <c r="D52" i="22"/>
  <c r="Q66" i="22"/>
  <c r="K66" i="22"/>
  <c r="D66" i="22"/>
  <c r="I66" i="22"/>
  <c r="L66" i="22"/>
  <c r="U66" i="22" s="1"/>
  <c r="O66" i="22"/>
  <c r="E66" i="22"/>
  <c r="F66" i="22" s="1"/>
  <c r="S66" i="22"/>
  <c r="N66" i="22"/>
  <c r="E24" i="52"/>
  <c r="G24" i="52"/>
  <c r="G55" i="52"/>
  <c r="E55" i="52"/>
  <c r="G81" i="52"/>
  <c r="E81" i="52"/>
  <c r="G44" i="52"/>
  <c r="E44" i="52"/>
  <c r="E45" i="52"/>
  <c r="G45" i="52"/>
  <c r="Q36" i="22"/>
  <c r="N36" i="22"/>
  <c r="E36" i="22"/>
  <c r="F36" i="22" s="1"/>
  <c r="O36" i="22"/>
  <c r="I36" i="22"/>
  <c r="L36" i="22"/>
  <c r="U36" i="22" s="1"/>
  <c r="D36" i="22"/>
  <c r="K36" i="22"/>
  <c r="S36" i="22"/>
  <c r="I64" i="22"/>
  <c r="Q64" i="22"/>
  <c r="K64" i="22"/>
  <c r="D64" i="22"/>
  <c r="N64" i="22"/>
  <c r="O64" i="22"/>
  <c r="S64" i="22"/>
  <c r="L64" i="22"/>
  <c r="U64" i="22" s="1"/>
  <c r="E64" i="22"/>
  <c r="F64" i="22" s="1"/>
  <c r="L86" i="22"/>
  <c r="U86" i="22" s="1"/>
  <c r="N86" i="22"/>
  <c r="E86" i="22"/>
  <c r="F86" i="22" s="1"/>
  <c r="O86" i="22"/>
  <c r="S86" i="22"/>
  <c r="K86" i="22"/>
  <c r="D86" i="22"/>
  <c r="I86" i="22"/>
  <c r="Q86" i="22"/>
  <c r="E20" i="52"/>
  <c r="G20" i="52"/>
  <c r="E28" i="52"/>
  <c r="G28" i="52"/>
  <c r="E19" i="52"/>
  <c r="G19" i="52"/>
  <c r="G27" i="52"/>
  <c r="E27" i="52"/>
  <c r="E12" i="52"/>
  <c r="G12" i="52"/>
  <c r="G71" i="52"/>
  <c r="E71" i="52"/>
  <c r="G56" i="52"/>
  <c r="E56" i="52"/>
  <c r="G65" i="52"/>
  <c r="E65" i="52"/>
  <c r="L102" i="52"/>
  <c r="C102" i="52"/>
  <c r="H102" i="52"/>
  <c r="J102" i="52" s="1"/>
  <c r="F102" i="52"/>
  <c r="D102" i="52"/>
  <c r="K102" i="52"/>
  <c r="I102" i="52"/>
  <c r="O100" i="22"/>
  <c r="N100" i="22"/>
  <c r="D100" i="22"/>
  <c r="Q100" i="22"/>
  <c r="I100" i="22"/>
  <c r="E100" i="22"/>
  <c r="F100" i="22" s="1"/>
  <c r="S100" i="22"/>
  <c r="L100" i="22"/>
  <c r="U100" i="22" s="1"/>
  <c r="K100" i="22"/>
  <c r="L76" i="22"/>
  <c r="U76" i="22" s="1"/>
  <c r="N76" i="22"/>
  <c r="E76" i="22"/>
  <c r="F76" i="22" s="1"/>
  <c r="S76" i="22"/>
  <c r="D76" i="22"/>
  <c r="I76" i="22"/>
  <c r="Q76" i="22"/>
  <c r="K76" i="22"/>
  <c r="O76" i="22"/>
  <c r="K26" i="22"/>
  <c r="I26" i="22"/>
  <c r="L26" i="22"/>
  <c r="U26" i="22" s="1"/>
  <c r="D26" i="22"/>
  <c r="Q26" i="22"/>
  <c r="N26" i="22"/>
  <c r="S26" i="22"/>
  <c r="O26" i="22"/>
  <c r="E26" i="22"/>
  <c r="F26" i="22" s="1"/>
  <c r="K85" i="43"/>
  <c r="C85" i="43"/>
  <c r="E85" i="43"/>
  <c r="H85" i="43" s="1"/>
  <c r="L85" i="43"/>
  <c r="G85" i="43"/>
  <c r="J85" i="43" s="1"/>
  <c r="D85" i="43"/>
  <c r="F85" i="43" s="1"/>
  <c r="I85" i="43"/>
  <c r="R92" i="22"/>
  <c r="T92" i="22"/>
  <c r="J92" i="22"/>
  <c r="G16" i="52"/>
  <c r="E16" i="52"/>
  <c r="G23" i="52"/>
  <c r="E23" i="52"/>
  <c r="G40" i="52"/>
  <c r="E40" i="52"/>
  <c r="G77" i="52"/>
  <c r="E77" i="52"/>
  <c r="E22" i="52"/>
  <c r="G22" i="52"/>
  <c r="G53" i="52"/>
  <c r="E53" i="52"/>
  <c r="C6" i="42"/>
  <c r="K14" i="40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H2" i="31" s="1"/>
  <c r="E5" i="40" s="1"/>
  <c r="O14" i="40"/>
  <c r="O16" i="40"/>
  <c r="O15" i="40"/>
  <c r="O17" i="40"/>
  <c r="F3" i="53"/>
  <c r="C4" i="52"/>
  <c r="C5" i="52" s="1"/>
  <c r="D4" i="52"/>
  <c r="R10" i="52"/>
  <c r="S10" i="52" s="1"/>
  <c r="G16" i="42"/>
  <c r="C12" i="40"/>
  <c r="D13" i="40"/>
  <c r="O13" i="49"/>
  <c r="M13" i="49"/>
  <c r="H5" i="40"/>
  <c r="N24" i="22" l="1"/>
  <c r="I23" i="43"/>
  <c r="L5" i="48"/>
  <c r="C23" i="22"/>
  <c r="L22" i="42"/>
  <c r="B22" i="43" s="1"/>
  <c r="G48" i="22"/>
  <c r="J40" i="22"/>
  <c r="M24" i="22"/>
  <c r="C22" i="22"/>
  <c r="L21" i="42"/>
  <c r="B21" i="43" s="1"/>
  <c r="H62" i="22"/>
  <c r="R28" i="22"/>
  <c r="J75" i="22"/>
  <c r="G49" i="22"/>
  <c r="P41" i="22"/>
  <c r="C3" i="43"/>
  <c r="E3" i="43" s="1"/>
  <c r="J6" i="48"/>
  <c r="J41" i="22"/>
  <c r="G75" i="22"/>
  <c r="G83" i="22"/>
  <c r="R78" i="22"/>
  <c r="P42" i="22"/>
  <c r="G32" i="22"/>
  <c r="J101" i="22"/>
  <c r="T90" i="22"/>
  <c r="J32" i="22"/>
  <c r="P34" i="22"/>
  <c r="M101" i="22"/>
  <c r="J90" i="22"/>
  <c r="T62" i="22"/>
  <c r="G55" i="22"/>
  <c r="T42" i="22"/>
  <c r="R41" i="22"/>
  <c r="R93" i="22"/>
  <c r="P78" i="22"/>
  <c r="J28" i="22"/>
  <c r="J78" i="22"/>
  <c r="T78" i="22"/>
  <c r="M32" i="22"/>
  <c r="H78" i="22"/>
  <c r="R40" i="22"/>
  <c r="P40" i="22"/>
  <c r="R24" i="22"/>
  <c r="T24" i="22"/>
  <c r="H24" i="22"/>
  <c r="J24" i="22"/>
  <c r="M42" i="22"/>
  <c r="J42" i="22"/>
  <c r="D4" i="22"/>
  <c r="J4" i="22" s="1"/>
  <c r="M75" i="22"/>
  <c r="P62" i="22"/>
  <c r="L7" i="42"/>
  <c r="B7" i="43" s="1"/>
  <c r="G7" i="43" s="1"/>
  <c r="G8" i="43" s="1"/>
  <c r="M49" i="22"/>
  <c r="R62" i="22"/>
  <c r="J62" i="22"/>
  <c r="P32" i="22"/>
  <c r="R32" i="22"/>
  <c r="P95" i="22"/>
  <c r="T61" i="22"/>
  <c r="P28" i="22"/>
  <c r="H101" i="22"/>
  <c r="R61" i="22"/>
  <c r="H42" i="22"/>
  <c r="M28" i="22"/>
  <c r="M59" i="22"/>
  <c r="H67" i="22"/>
  <c r="M95" i="22"/>
  <c r="P61" i="22"/>
  <c r="J61" i="22"/>
  <c r="M41" i="22"/>
  <c r="R90" i="22"/>
  <c r="T101" i="22"/>
  <c r="R101" i="22"/>
  <c r="M90" i="22"/>
  <c r="R49" i="22"/>
  <c r="T49" i="22"/>
  <c r="J49" i="22"/>
  <c r="H5" i="42"/>
  <c r="T93" i="22"/>
  <c r="H41" i="22"/>
  <c r="H98" i="22"/>
  <c r="T59" i="22"/>
  <c r="P75" i="22"/>
  <c r="T75" i="22"/>
  <c r="G93" i="22"/>
  <c r="H93" i="22"/>
  <c r="R74" i="22"/>
  <c r="P74" i="22"/>
  <c r="M74" i="22"/>
  <c r="T74" i="22"/>
  <c r="J74" i="22"/>
  <c r="P44" i="22"/>
  <c r="R44" i="22"/>
  <c r="M44" i="22"/>
  <c r="T44" i="22"/>
  <c r="J44" i="22"/>
  <c r="G74" i="22"/>
  <c r="H74" i="22"/>
  <c r="H44" i="22"/>
  <c r="G44" i="22"/>
  <c r="P93" i="22"/>
  <c r="H4" i="42"/>
  <c r="K4" i="22"/>
  <c r="L4" i="22" s="1"/>
  <c r="U4" i="22" s="1"/>
  <c r="Q4" i="22"/>
  <c r="O4" i="22"/>
  <c r="P59" i="22"/>
  <c r="E4" i="22"/>
  <c r="F4" i="22" s="1"/>
  <c r="G4" i="22" s="1"/>
  <c r="C7" i="22"/>
  <c r="J93" i="22"/>
  <c r="J59" i="22"/>
  <c r="G63" i="22"/>
  <c r="H63" i="22"/>
  <c r="H4" i="22"/>
  <c r="J95" i="22"/>
  <c r="T95" i="22"/>
  <c r="H34" i="22"/>
  <c r="H102" i="22"/>
  <c r="G102" i="22"/>
  <c r="R67" i="22"/>
  <c r="J67" i="22"/>
  <c r="T67" i="22"/>
  <c r="P67" i="22"/>
  <c r="M67" i="22"/>
  <c r="L20" i="42"/>
  <c r="B20" i="43" s="1"/>
  <c r="C21" i="22"/>
  <c r="P3" i="49"/>
  <c r="Q3" i="49"/>
  <c r="Q4" i="49"/>
  <c r="L9" i="42"/>
  <c r="B9" i="43" s="1"/>
  <c r="C10" i="22"/>
  <c r="P89" i="22"/>
  <c r="H82" i="22"/>
  <c r="G82" i="22"/>
  <c r="R102" i="22"/>
  <c r="P102" i="22"/>
  <c r="T102" i="22"/>
  <c r="J102" i="22"/>
  <c r="M102" i="22"/>
  <c r="J55" i="22"/>
  <c r="P55" i="22"/>
  <c r="M55" i="22"/>
  <c r="T55" i="22"/>
  <c r="R55" i="22"/>
  <c r="J82" i="22"/>
  <c r="T82" i="22"/>
  <c r="P82" i="22"/>
  <c r="M82" i="22"/>
  <c r="R82" i="22"/>
  <c r="G94" i="22"/>
  <c r="H94" i="22"/>
  <c r="P71" i="22"/>
  <c r="R71" i="22"/>
  <c r="M71" i="22"/>
  <c r="J71" i="22"/>
  <c r="T71" i="22"/>
  <c r="H71" i="22"/>
  <c r="G71" i="22"/>
  <c r="R63" i="22"/>
  <c r="P63" i="22"/>
  <c r="J63" i="22"/>
  <c r="M63" i="22"/>
  <c r="T63" i="22"/>
  <c r="H61" i="22"/>
  <c r="E39" i="52"/>
  <c r="G39" i="52"/>
  <c r="R34" i="22"/>
  <c r="M34" i="22"/>
  <c r="J34" i="22"/>
  <c r="E4" i="52"/>
  <c r="D5" i="52"/>
  <c r="M56" i="22"/>
  <c r="R56" i="22"/>
  <c r="T56" i="22"/>
  <c r="P56" i="22"/>
  <c r="J56" i="22"/>
  <c r="T89" i="22"/>
  <c r="M89" i="22"/>
  <c r="M37" i="22"/>
  <c r="T37" i="22"/>
  <c r="J37" i="22"/>
  <c r="R37" i="22"/>
  <c r="P37" i="22"/>
  <c r="G92" i="22"/>
  <c r="H92" i="22"/>
  <c r="P84" i="22"/>
  <c r="J84" i="22"/>
  <c r="M84" i="22"/>
  <c r="T84" i="22"/>
  <c r="R84" i="22"/>
  <c r="P46" i="22"/>
  <c r="M46" i="22"/>
  <c r="R46" i="22"/>
  <c r="T46" i="22"/>
  <c r="J46" i="22"/>
  <c r="R33" i="22"/>
  <c r="P33" i="22"/>
  <c r="T33" i="22"/>
  <c r="J33" i="22"/>
  <c r="M33" i="22"/>
  <c r="R38" i="22"/>
  <c r="J38" i="22"/>
  <c r="M38" i="22"/>
  <c r="P38" i="22"/>
  <c r="T38" i="22"/>
  <c r="R83" i="22"/>
  <c r="T83" i="22"/>
  <c r="J83" i="22"/>
  <c r="P83" i="22"/>
  <c r="M83" i="22"/>
  <c r="H25" i="22"/>
  <c r="G25" i="22"/>
  <c r="R89" i="22"/>
  <c r="G95" i="22"/>
  <c r="H95" i="22"/>
  <c r="C5" i="22"/>
  <c r="K4" i="42"/>
  <c r="L4" i="42"/>
  <c r="B4" i="43" s="1"/>
  <c r="G84" i="22"/>
  <c r="H84" i="22"/>
  <c r="H60" i="22"/>
  <c r="G60" i="22"/>
  <c r="H33" i="22"/>
  <c r="G33" i="22"/>
  <c r="H37" i="22"/>
  <c r="G37" i="22"/>
  <c r="G38" i="22"/>
  <c r="H38" i="22"/>
  <c r="G56" i="22"/>
  <c r="H56" i="22"/>
  <c r="M96" i="22"/>
  <c r="P96" i="22"/>
  <c r="T96" i="22"/>
  <c r="R96" i="22"/>
  <c r="J96" i="22"/>
  <c r="G96" i="22"/>
  <c r="H96" i="22"/>
  <c r="H29" i="22"/>
  <c r="G29" i="22"/>
  <c r="P29" i="22"/>
  <c r="T29" i="22"/>
  <c r="R29" i="22"/>
  <c r="J29" i="22"/>
  <c r="M29" i="22"/>
  <c r="H46" i="22"/>
  <c r="G46" i="22"/>
  <c r="R60" i="22"/>
  <c r="T60" i="22"/>
  <c r="P60" i="22"/>
  <c r="M60" i="22"/>
  <c r="J60" i="22"/>
  <c r="G91" i="52"/>
  <c r="E91" i="52"/>
  <c r="L12" i="42"/>
  <c r="B12" i="43" s="1"/>
  <c r="C13" i="22"/>
  <c r="G83" i="52"/>
  <c r="E83" i="52"/>
  <c r="L16" i="42"/>
  <c r="B16" i="43" s="1"/>
  <c r="C17" i="22"/>
  <c r="P4" i="49"/>
  <c r="H47" i="22"/>
  <c r="G47" i="22"/>
  <c r="R85" i="22"/>
  <c r="T85" i="22"/>
  <c r="J85" i="22"/>
  <c r="M85" i="22"/>
  <c r="P85" i="22"/>
  <c r="G85" i="22"/>
  <c r="H85" i="22"/>
  <c r="G95" i="53"/>
  <c r="E95" i="53"/>
  <c r="P35" i="22"/>
  <c r="M35" i="22"/>
  <c r="J35" i="22"/>
  <c r="T35" i="22"/>
  <c r="R35" i="22"/>
  <c r="G94" i="53"/>
  <c r="E94" i="53"/>
  <c r="H89" i="22"/>
  <c r="G89" i="22"/>
  <c r="G81" i="22"/>
  <c r="H81" i="22"/>
  <c r="G93" i="53"/>
  <c r="E93" i="53"/>
  <c r="R31" i="22"/>
  <c r="T31" i="22"/>
  <c r="M31" i="22"/>
  <c r="P31" i="22"/>
  <c r="J31" i="22"/>
  <c r="G97" i="22"/>
  <c r="H97" i="22"/>
  <c r="G88" i="53"/>
  <c r="E88" i="53"/>
  <c r="G31" i="22"/>
  <c r="H31" i="22"/>
  <c r="G87" i="53"/>
  <c r="E87" i="53"/>
  <c r="G89" i="52"/>
  <c r="E89" i="52"/>
  <c r="J27" i="22"/>
  <c r="R27" i="22"/>
  <c r="M27" i="22"/>
  <c r="T27" i="22"/>
  <c r="P27" i="22"/>
  <c r="G35" i="22"/>
  <c r="H35" i="22"/>
  <c r="P47" i="22"/>
  <c r="T47" i="22"/>
  <c r="M47" i="22"/>
  <c r="R47" i="22"/>
  <c r="J47" i="22"/>
  <c r="R81" i="22"/>
  <c r="M81" i="22"/>
  <c r="J81" i="22"/>
  <c r="T81" i="22"/>
  <c r="P81" i="22"/>
  <c r="H27" i="22"/>
  <c r="G27" i="22"/>
  <c r="E84" i="52"/>
  <c r="G84" i="52"/>
  <c r="R97" i="22"/>
  <c r="T97" i="22"/>
  <c r="J97" i="22"/>
  <c r="M97" i="22"/>
  <c r="P97" i="22"/>
  <c r="H7" i="48"/>
  <c r="G8" i="48"/>
  <c r="H53" i="22"/>
  <c r="G53" i="22"/>
  <c r="M91" i="22"/>
  <c r="T91" i="22"/>
  <c r="P91" i="22"/>
  <c r="R91" i="22"/>
  <c r="J91" i="22"/>
  <c r="M65" i="22"/>
  <c r="T65" i="22"/>
  <c r="R65" i="22"/>
  <c r="J65" i="22"/>
  <c r="P65" i="22"/>
  <c r="H65" i="22"/>
  <c r="G65" i="22"/>
  <c r="G87" i="22"/>
  <c r="H87" i="22"/>
  <c r="J87" i="22"/>
  <c r="T87" i="22"/>
  <c r="M87" i="22"/>
  <c r="P87" i="22"/>
  <c r="R87" i="22"/>
  <c r="M57" i="22"/>
  <c r="P57" i="22"/>
  <c r="T57" i="22"/>
  <c r="J57" i="22"/>
  <c r="R57" i="22"/>
  <c r="G72" i="22"/>
  <c r="H72" i="22"/>
  <c r="H99" i="22"/>
  <c r="G99" i="22"/>
  <c r="T103" i="22"/>
  <c r="R103" i="22"/>
  <c r="P103" i="22"/>
  <c r="J103" i="22"/>
  <c r="M103" i="22"/>
  <c r="T53" i="22"/>
  <c r="R53" i="22"/>
  <c r="M53" i="22"/>
  <c r="J53" i="22"/>
  <c r="P53" i="22"/>
  <c r="E7" i="53"/>
  <c r="N4" i="53" s="1"/>
  <c r="G7" i="53"/>
  <c r="G69" i="22"/>
  <c r="H69" i="22"/>
  <c r="J69" i="22"/>
  <c r="M69" i="22"/>
  <c r="R69" i="22"/>
  <c r="T69" i="22"/>
  <c r="P69" i="22"/>
  <c r="H103" i="22"/>
  <c r="G103" i="22"/>
  <c r="G91" i="22"/>
  <c r="H91" i="22"/>
  <c r="R72" i="22"/>
  <c r="P72" i="22"/>
  <c r="T72" i="22"/>
  <c r="J72" i="22"/>
  <c r="M72" i="22"/>
  <c r="G93" i="52"/>
  <c r="E93" i="52"/>
  <c r="M99" i="22"/>
  <c r="J99" i="22"/>
  <c r="P99" i="22"/>
  <c r="T99" i="22"/>
  <c r="R99" i="22"/>
  <c r="H50" i="22"/>
  <c r="G50" i="22"/>
  <c r="R50" i="22"/>
  <c r="M50" i="22"/>
  <c r="T50" i="22"/>
  <c r="P50" i="22"/>
  <c r="J50" i="22"/>
  <c r="H57" i="22"/>
  <c r="G57" i="22"/>
  <c r="H39" i="22"/>
  <c r="G39" i="22"/>
  <c r="J54" i="22"/>
  <c r="M54" i="22"/>
  <c r="R54" i="22"/>
  <c r="T54" i="22"/>
  <c r="P54" i="22"/>
  <c r="G54" i="22"/>
  <c r="H54" i="22"/>
  <c r="R77" i="22"/>
  <c r="P77" i="22"/>
  <c r="M77" i="22"/>
  <c r="T77" i="22"/>
  <c r="J77" i="22"/>
  <c r="P43" i="22"/>
  <c r="T43" i="22"/>
  <c r="M43" i="22"/>
  <c r="J43" i="22"/>
  <c r="R43" i="22"/>
  <c r="R39" i="22"/>
  <c r="T39" i="22"/>
  <c r="J39" i="22"/>
  <c r="M39" i="22"/>
  <c r="P39" i="22"/>
  <c r="H77" i="22"/>
  <c r="G77" i="22"/>
  <c r="G88" i="22"/>
  <c r="H88" i="22"/>
  <c r="E87" i="52"/>
  <c r="G87" i="52"/>
  <c r="G43" i="22"/>
  <c r="H43" i="22"/>
  <c r="E101" i="52"/>
  <c r="G101" i="52"/>
  <c r="H73" i="22"/>
  <c r="G73" i="22"/>
  <c r="P73" i="22"/>
  <c r="R73" i="22"/>
  <c r="T73" i="22"/>
  <c r="J73" i="22"/>
  <c r="M73" i="22"/>
  <c r="T88" i="22"/>
  <c r="P88" i="22"/>
  <c r="J88" i="22"/>
  <c r="R88" i="22"/>
  <c r="M88" i="22"/>
  <c r="G26" i="22"/>
  <c r="H26" i="22"/>
  <c r="J100" i="22"/>
  <c r="P100" i="22"/>
  <c r="T100" i="22"/>
  <c r="M100" i="22"/>
  <c r="R100" i="22"/>
  <c r="J86" i="22"/>
  <c r="T86" i="22"/>
  <c r="R86" i="22"/>
  <c r="P86" i="22"/>
  <c r="M86" i="22"/>
  <c r="H86" i="22"/>
  <c r="G86" i="22"/>
  <c r="P64" i="22"/>
  <c r="T64" i="22"/>
  <c r="R64" i="22"/>
  <c r="J64" i="22"/>
  <c r="M64" i="22"/>
  <c r="H58" i="22"/>
  <c r="G58" i="22"/>
  <c r="J26" i="22"/>
  <c r="R26" i="22"/>
  <c r="M26" i="22"/>
  <c r="T26" i="22"/>
  <c r="P26" i="22"/>
  <c r="R76" i="22"/>
  <c r="T76" i="22"/>
  <c r="M76" i="22"/>
  <c r="P76" i="22"/>
  <c r="J76" i="22"/>
  <c r="H100" i="22"/>
  <c r="G100" i="22"/>
  <c r="E102" i="52"/>
  <c r="G102" i="52"/>
  <c r="T52" i="22"/>
  <c r="M52" i="22"/>
  <c r="R52" i="22"/>
  <c r="P52" i="22"/>
  <c r="J52" i="22"/>
  <c r="T36" i="22"/>
  <c r="J36" i="22"/>
  <c r="M36" i="22"/>
  <c r="P36" i="22"/>
  <c r="R36" i="22"/>
  <c r="H36" i="22"/>
  <c r="G36" i="22"/>
  <c r="G66" i="22"/>
  <c r="H66" i="22"/>
  <c r="J66" i="22"/>
  <c r="M66" i="22"/>
  <c r="P66" i="22"/>
  <c r="R66" i="22"/>
  <c r="T66" i="22"/>
  <c r="G52" i="22"/>
  <c r="H52" i="22"/>
  <c r="J68" i="22"/>
  <c r="T68" i="22"/>
  <c r="P68" i="22"/>
  <c r="M68" i="22"/>
  <c r="R68" i="22"/>
  <c r="H68" i="22"/>
  <c r="G68" i="22"/>
  <c r="M58" i="22"/>
  <c r="P58" i="22"/>
  <c r="R58" i="22"/>
  <c r="J58" i="22"/>
  <c r="T58" i="22"/>
  <c r="H76" i="22"/>
  <c r="G76" i="22"/>
  <c r="G64" i="22"/>
  <c r="H64" i="22"/>
  <c r="H6" i="42"/>
  <c r="C7" i="42"/>
  <c r="K5" i="40"/>
  <c r="O5" i="31"/>
  <c r="N6" i="31"/>
  <c r="H8" i="31"/>
  <c r="I8" i="31"/>
  <c r="J8" i="31" s="1"/>
  <c r="K8" i="31" s="1"/>
  <c r="F4" i="52"/>
  <c r="C13" i="40"/>
  <c r="D14" i="40"/>
  <c r="M5" i="40"/>
  <c r="I5" i="40"/>
  <c r="P4" i="22" l="1"/>
  <c r="J7" i="48"/>
  <c r="L6" i="48"/>
  <c r="R4" i="22"/>
  <c r="T4" i="22"/>
  <c r="M4" i="22"/>
  <c r="O5" i="22"/>
  <c r="O6" i="22" s="1"/>
  <c r="S4" i="22"/>
  <c r="N4" i="22"/>
  <c r="K20" i="43"/>
  <c r="K21" i="43" s="1"/>
  <c r="K22" i="43" s="1"/>
  <c r="P13" i="49"/>
  <c r="D5" i="22"/>
  <c r="T5" i="22" s="1"/>
  <c r="Q13" i="49"/>
  <c r="N19" i="49" s="1"/>
  <c r="C25" i="23" s="1"/>
  <c r="C26" i="23" s="1"/>
  <c r="S7" i="48" s="1"/>
  <c r="Q5" i="22"/>
  <c r="Q6" i="22" s="1"/>
  <c r="Q7" i="22" s="1"/>
  <c r="Q8" i="22" s="1"/>
  <c r="E5" i="52"/>
  <c r="F5" i="52"/>
  <c r="O7" i="22"/>
  <c r="O8" i="22" s="1"/>
  <c r="O9" i="22" s="1"/>
  <c r="O10" i="22" s="1"/>
  <c r="O11" i="22" s="1"/>
  <c r="O12" i="22" s="1"/>
  <c r="O13" i="22" s="1"/>
  <c r="D4" i="43"/>
  <c r="D5" i="43" s="1"/>
  <c r="C4" i="43"/>
  <c r="C5" i="43" s="1"/>
  <c r="C6" i="43" s="1"/>
  <c r="C7" i="43" s="1"/>
  <c r="C8" i="43" s="1"/>
  <c r="C9" i="43" s="1"/>
  <c r="C10" i="43" s="1"/>
  <c r="C11" i="43" s="1"/>
  <c r="C12" i="43" s="1"/>
  <c r="G9" i="43"/>
  <c r="M4" i="42"/>
  <c r="K5" i="42"/>
  <c r="E5" i="22"/>
  <c r="K5" i="22"/>
  <c r="I5" i="22"/>
  <c r="I6" i="22" s="1"/>
  <c r="I7" i="22" s="1"/>
  <c r="I8" i="22" s="1"/>
  <c r="I9" i="22" s="1"/>
  <c r="I10" i="22" s="1"/>
  <c r="I11" i="22" s="1"/>
  <c r="I12" i="22" s="1"/>
  <c r="I13" i="22" s="1"/>
  <c r="I14" i="22" s="1"/>
  <c r="I15" i="22" s="1"/>
  <c r="R5" i="22"/>
  <c r="H8" i="48"/>
  <c r="G9" i="48"/>
  <c r="C8" i="42"/>
  <c r="H7" i="42"/>
  <c r="O6" i="31"/>
  <c r="N7" i="31"/>
  <c r="C14" i="40"/>
  <c r="D15" i="40"/>
  <c r="N5" i="40"/>
  <c r="L5" i="40"/>
  <c r="L7" i="48" l="1"/>
  <c r="J8" i="48"/>
  <c r="J5" i="22"/>
  <c r="S7" i="22"/>
  <c r="P5" i="22"/>
  <c r="H20" i="23"/>
  <c r="L28" i="23"/>
  <c r="N4" i="52"/>
  <c r="D6" i="22"/>
  <c r="R6" i="22" s="1"/>
  <c r="M5" i="22"/>
  <c r="S6" i="22"/>
  <c r="S5" i="22"/>
  <c r="K6" i="42"/>
  <c r="M5" i="42"/>
  <c r="D6" i="43"/>
  <c r="E5" i="43"/>
  <c r="F5" i="22"/>
  <c r="E6" i="22"/>
  <c r="G10" i="43"/>
  <c r="N5" i="22"/>
  <c r="K6" i="22"/>
  <c r="L5" i="22"/>
  <c r="E4" i="43"/>
  <c r="I16" i="22"/>
  <c r="I17" i="22" s="1"/>
  <c r="I18" i="22" s="1"/>
  <c r="I19" i="22" s="1"/>
  <c r="I20" i="22" s="1"/>
  <c r="I21" i="22" s="1"/>
  <c r="I22" i="22" s="1"/>
  <c r="I23" i="22" s="1"/>
  <c r="O14" i="22"/>
  <c r="O15" i="22" s="1"/>
  <c r="O16" i="22" s="1"/>
  <c r="C13" i="43"/>
  <c r="S8" i="22"/>
  <c r="Q9" i="22"/>
  <c r="D7" i="22"/>
  <c r="G10" i="48"/>
  <c r="H9" i="48"/>
  <c r="H8" i="42"/>
  <c r="C9" i="42"/>
  <c r="O7" i="31"/>
  <c r="N8" i="31"/>
  <c r="C15" i="40"/>
  <c r="D16" i="40"/>
  <c r="J9" i="48" l="1"/>
  <c r="L8" i="48"/>
  <c r="M6" i="22"/>
  <c r="P6" i="22"/>
  <c r="U5" i="22"/>
  <c r="T6" i="22"/>
  <c r="J6" i="22"/>
  <c r="G11" i="43"/>
  <c r="D7" i="43"/>
  <c r="E6" i="43"/>
  <c r="K7" i="22"/>
  <c r="N6" i="22"/>
  <c r="L6" i="22"/>
  <c r="U6" i="22" s="1"/>
  <c r="E7" i="22"/>
  <c r="F6" i="22"/>
  <c r="G5" i="22"/>
  <c r="H5" i="22"/>
  <c r="K7" i="42"/>
  <c r="M6" i="42"/>
  <c r="C14" i="43"/>
  <c r="C15" i="43" s="1"/>
  <c r="C16" i="43" s="1"/>
  <c r="C17" i="43" s="1"/>
  <c r="C18" i="43" s="1"/>
  <c r="C19" i="43" s="1"/>
  <c r="C20" i="43" s="1"/>
  <c r="C21" i="43" s="1"/>
  <c r="C22" i="43" s="1"/>
  <c r="O17" i="22"/>
  <c r="O18" i="22" s="1"/>
  <c r="O19" i="22" s="1"/>
  <c r="O20" i="22" s="1"/>
  <c r="O21" i="22" s="1"/>
  <c r="O22" i="22" s="1"/>
  <c r="O23" i="22" s="1"/>
  <c r="G11" i="48"/>
  <c r="H10" i="48"/>
  <c r="D8" i="22"/>
  <c r="J7" i="22"/>
  <c r="M7" i="22"/>
  <c r="R7" i="22"/>
  <c r="T7" i="22"/>
  <c r="P7" i="22"/>
  <c r="S9" i="22"/>
  <c r="Q10" i="22"/>
  <c r="C10" i="42"/>
  <c r="H9" i="42"/>
  <c r="O8" i="31"/>
  <c r="N9" i="31"/>
  <c r="C16" i="40"/>
  <c r="D17" i="40"/>
  <c r="L9" i="48" l="1"/>
  <c r="J10" i="48"/>
  <c r="E8" i="22"/>
  <c r="F7" i="22"/>
  <c r="F7" i="43"/>
  <c r="I7" i="43" s="1"/>
  <c r="D8" i="43"/>
  <c r="E7" i="43"/>
  <c r="H7" i="43" s="1"/>
  <c r="G12" i="43"/>
  <c r="K8" i="42"/>
  <c r="M7" i="42"/>
  <c r="G6" i="22"/>
  <c r="H6" i="22"/>
  <c r="K8" i="22"/>
  <c r="N7" i="22"/>
  <c r="L7" i="22"/>
  <c r="U7" i="22" s="1"/>
  <c r="H11" i="48"/>
  <c r="G12" i="48"/>
  <c r="S10" i="22"/>
  <c r="Q11" i="22"/>
  <c r="D9" i="22"/>
  <c r="T8" i="22"/>
  <c r="M8" i="22"/>
  <c r="P8" i="22"/>
  <c r="J8" i="22"/>
  <c r="R8" i="22"/>
  <c r="C11" i="42"/>
  <c r="H10" i="42"/>
  <c r="O9" i="31"/>
  <c r="N10" i="31"/>
  <c r="C17" i="40"/>
  <c r="D28" i="40" s="1"/>
  <c r="M4" i="40" s="1"/>
  <c r="J11" i="48" l="1"/>
  <c r="L10" i="48"/>
  <c r="G13" i="43"/>
  <c r="G14" i="43" s="1"/>
  <c r="F8" i="22"/>
  <c r="E9" i="22"/>
  <c r="G7" i="22"/>
  <c r="H7" i="22"/>
  <c r="K9" i="22"/>
  <c r="N8" i="22"/>
  <c r="L8" i="22"/>
  <c r="U8" i="22" s="1"/>
  <c r="K9" i="42"/>
  <c r="M8" i="42"/>
  <c r="E8" i="43"/>
  <c r="H8" i="43" s="1"/>
  <c r="D9" i="43"/>
  <c r="F8" i="43"/>
  <c r="I8" i="43" s="1"/>
  <c r="H12" i="48"/>
  <c r="G13" i="48"/>
  <c r="S11" i="22"/>
  <c r="Q12" i="22"/>
  <c r="J9" i="22"/>
  <c r="P9" i="22"/>
  <c r="M9" i="22"/>
  <c r="R9" i="22"/>
  <c r="T9" i="22"/>
  <c r="D10" i="22"/>
  <c r="D11" i="22" s="1"/>
  <c r="O13" i="40"/>
  <c r="O12" i="40"/>
  <c r="C12" i="42"/>
  <c r="H11" i="42"/>
  <c r="O4" i="40"/>
  <c r="Q6" i="40"/>
  <c r="O10" i="31"/>
  <c r="N11" i="31"/>
  <c r="P4" i="40"/>
  <c r="L11" i="48" l="1"/>
  <c r="J12" i="48"/>
  <c r="K10" i="42"/>
  <c r="M9" i="42"/>
  <c r="H8" i="22"/>
  <c r="G8" i="22"/>
  <c r="D10" i="43"/>
  <c r="E9" i="43"/>
  <c r="H9" i="43" s="1"/>
  <c r="F9" i="43"/>
  <c r="I9" i="43" s="1"/>
  <c r="G15" i="43"/>
  <c r="L9" i="22"/>
  <c r="U9" i="22" s="1"/>
  <c r="N9" i="22"/>
  <c r="K10" i="22"/>
  <c r="E10" i="22"/>
  <c r="F9" i="22"/>
  <c r="T11" i="22"/>
  <c r="M11" i="22"/>
  <c r="J11" i="22"/>
  <c r="D12" i="22"/>
  <c r="P11" i="22"/>
  <c r="R11" i="22"/>
  <c r="S12" i="22"/>
  <c r="Q13" i="22"/>
  <c r="G14" i="48"/>
  <c r="H13" i="48"/>
  <c r="T10" i="22"/>
  <c r="P10" i="22"/>
  <c r="R10" i="22"/>
  <c r="M10" i="22"/>
  <c r="J10" i="22"/>
  <c r="C13" i="42"/>
  <c r="H12" i="42"/>
  <c r="O11" i="31"/>
  <c r="N12" i="31"/>
  <c r="J13" i="48" l="1"/>
  <c r="L12" i="48"/>
  <c r="G16" i="43"/>
  <c r="G9" i="22"/>
  <c r="H9" i="22"/>
  <c r="E11" i="22"/>
  <c r="F10" i="22"/>
  <c r="N10" i="22"/>
  <c r="K11" i="22"/>
  <c r="L10" i="22"/>
  <c r="U10" i="22" s="1"/>
  <c r="D11" i="43"/>
  <c r="E10" i="43"/>
  <c r="H10" i="43" s="1"/>
  <c r="F10" i="43"/>
  <c r="I10" i="43" s="1"/>
  <c r="K11" i="42"/>
  <c r="M10" i="42"/>
  <c r="G15" i="48"/>
  <c r="H14" i="48"/>
  <c r="P12" i="22"/>
  <c r="J12" i="22"/>
  <c r="T12" i="22"/>
  <c r="M12" i="22"/>
  <c r="R12" i="22"/>
  <c r="D13" i="22"/>
  <c r="Q14" i="22"/>
  <c r="S13" i="22"/>
  <c r="C14" i="42"/>
  <c r="H13" i="42"/>
  <c r="O12" i="31"/>
  <c r="N13" i="31"/>
  <c r="L13" i="48" l="1"/>
  <c r="J14" i="48"/>
  <c r="E11" i="43"/>
  <c r="H11" i="43" s="1"/>
  <c r="D12" i="43"/>
  <c r="F11" i="43"/>
  <c r="I11" i="43" s="1"/>
  <c r="H10" i="22"/>
  <c r="G10" i="22"/>
  <c r="K12" i="42"/>
  <c r="M11" i="42"/>
  <c r="E12" i="22"/>
  <c r="F11" i="22"/>
  <c r="G17" i="43"/>
  <c r="G18" i="43" s="1"/>
  <c r="N11" i="22"/>
  <c r="K12" i="22"/>
  <c r="L11" i="22"/>
  <c r="U11" i="22" s="1"/>
  <c r="S14" i="22"/>
  <c r="Q15" i="22"/>
  <c r="D14" i="22"/>
  <c r="J13" i="22"/>
  <c r="R13" i="22"/>
  <c r="P13" i="22"/>
  <c r="M13" i="22"/>
  <c r="T13" i="22"/>
  <c r="G16" i="48"/>
  <c r="H15" i="48"/>
  <c r="C15" i="42"/>
  <c r="H14" i="42"/>
  <c r="O13" i="31"/>
  <c r="N14" i="31"/>
  <c r="J15" i="48" l="1"/>
  <c r="L14" i="48"/>
  <c r="G19" i="43"/>
  <c r="G20" i="43" s="1"/>
  <c r="G21" i="43" s="1"/>
  <c r="G22" i="43" s="1"/>
  <c r="E13" i="22"/>
  <c r="F12" i="22"/>
  <c r="N12" i="22"/>
  <c r="K13" i="22"/>
  <c r="L12" i="22"/>
  <c r="U12" i="22" s="1"/>
  <c r="K13" i="42"/>
  <c r="M12" i="42"/>
  <c r="E12" i="43"/>
  <c r="H12" i="43" s="1"/>
  <c r="D13" i="43"/>
  <c r="F12" i="43"/>
  <c r="I12" i="43" s="1"/>
  <c r="H11" i="22"/>
  <c r="G11" i="22"/>
  <c r="H16" i="48"/>
  <c r="G17" i="48"/>
  <c r="T14" i="22"/>
  <c r="P14" i="22"/>
  <c r="D15" i="22"/>
  <c r="R14" i="22"/>
  <c r="M14" i="22"/>
  <c r="J14" i="22"/>
  <c r="S15" i="22"/>
  <c r="Q16" i="22"/>
  <c r="C16" i="42"/>
  <c r="H15" i="42"/>
  <c r="O14" i="31"/>
  <c r="N15" i="31"/>
  <c r="L15" i="48" l="1"/>
  <c r="J16" i="48"/>
  <c r="J19" i="43"/>
  <c r="L19" i="43" s="1"/>
  <c r="K14" i="42"/>
  <c r="M13" i="42"/>
  <c r="F13" i="22"/>
  <c r="E14" i="22"/>
  <c r="D14" i="43"/>
  <c r="E13" i="43"/>
  <c r="H13" i="43" s="1"/>
  <c r="F13" i="43"/>
  <c r="I13" i="43" s="1"/>
  <c r="G12" i="22"/>
  <c r="H12" i="22"/>
  <c r="N13" i="22"/>
  <c r="K14" i="22"/>
  <c r="L13" i="22"/>
  <c r="U13" i="22" s="1"/>
  <c r="Q17" i="22"/>
  <c r="S16" i="22"/>
  <c r="M15" i="22"/>
  <c r="P15" i="22"/>
  <c r="J15" i="22"/>
  <c r="R15" i="22"/>
  <c r="T15" i="22"/>
  <c r="D16" i="22"/>
  <c r="H17" i="48"/>
  <c r="G18" i="48"/>
  <c r="G19" i="48" s="1"/>
  <c r="C17" i="42"/>
  <c r="H16" i="42"/>
  <c r="O15" i="31"/>
  <c r="N16" i="31"/>
  <c r="J17" i="48" l="1"/>
  <c r="L16" i="48"/>
  <c r="J20" i="43"/>
  <c r="H19" i="48"/>
  <c r="G20" i="48"/>
  <c r="N14" i="22"/>
  <c r="K15" i="22"/>
  <c r="L14" i="22"/>
  <c r="U14" i="22" s="1"/>
  <c r="G13" i="22"/>
  <c r="H13" i="22"/>
  <c r="D15" i="43"/>
  <c r="E14" i="43"/>
  <c r="H14" i="43" s="1"/>
  <c r="F14" i="43"/>
  <c r="I14" i="43" s="1"/>
  <c r="K15" i="42"/>
  <c r="M14" i="42"/>
  <c r="E15" i="22"/>
  <c r="F14" i="22"/>
  <c r="Q18" i="22"/>
  <c r="S17" i="22"/>
  <c r="H18" i="48"/>
  <c r="M16" i="22"/>
  <c r="R16" i="22"/>
  <c r="J16" i="22"/>
  <c r="P16" i="22"/>
  <c r="T16" i="22"/>
  <c r="D17" i="22"/>
  <c r="C18" i="42"/>
  <c r="H17" i="42"/>
  <c r="N17" i="31"/>
  <c r="O16" i="31"/>
  <c r="L17" i="48" l="1"/>
  <c r="L20" i="43"/>
  <c r="J21" i="43"/>
  <c r="J18" i="48"/>
  <c r="J19" i="48" s="1"/>
  <c r="H20" i="48"/>
  <c r="G21" i="48"/>
  <c r="G22" i="48" s="1"/>
  <c r="S18" i="22"/>
  <c r="Q19" i="22"/>
  <c r="D16" i="43"/>
  <c r="E15" i="43"/>
  <c r="H15" i="43" s="1"/>
  <c r="F15" i="43"/>
  <c r="I15" i="43" s="1"/>
  <c r="K16" i="22"/>
  <c r="L15" i="22"/>
  <c r="U15" i="22" s="1"/>
  <c r="N15" i="22"/>
  <c r="H14" i="22"/>
  <c r="G14" i="22"/>
  <c r="K16" i="42"/>
  <c r="M15" i="42"/>
  <c r="F15" i="22"/>
  <c r="E16" i="22"/>
  <c r="D18" i="22"/>
  <c r="D19" i="22" s="1"/>
  <c r="D20" i="22" s="1"/>
  <c r="D21" i="22" s="1"/>
  <c r="D22" i="22" s="1"/>
  <c r="D23" i="22" s="1"/>
  <c r="M17" i="22"/>
  <c r="P17" i="22"/>
  <c r="R17" i="22"/>
  <c r="J17" i="22"/>
  <c r="T17" i="22"/>
  <c r="C19" i="42"/>
  <c r="C20" i="42" s="1"/>
  <c r="H18" i="42"/>
  <c r="N18" i="31"/>
  <c r="O17" i="31"/>
  <c r="T23" i="22" l="1"/>
  <c r="P23" i="22"/>
  <c r="M23" i="22"/>
  <c r="R23" i="22"/>
  <c r="J23" i="22"/>
  <c r="L21" i="43"/>
  <c r="J22" i="43"/>
  <c r="L22" i="43" s="1"/>
  <c r="H22" i="48"/>
  <c r="G23" i="48"/>
  <c r="H20" i="42"/>
  <c r="C21" i="42"/>
  <c r="R22" i="22"/>
  <c r="P22" i="22"/>
  <c r="T22" i="22"/>
  <c r="M22" i="22"/>
  <c r="J22" i="22"/>
  <c r="J20" i="48"/>
  <c r="L18" i="48"/>
  <c r="L19" i="48" s="1"/>
  <c r="H21" i="48"/>
  <c r="P21" i="22"/>
  <c r="M21" i="22"/>
  <c r="R21" i="22"/>
  <c r="T21" i="22"/>
  <c r="J21" i="22"/>
  <c r="M20" i="22"/>
  <c r="T20" i="22"/>
  <c r="R20" i="22"/>
  <c r="P20" i="22"/>
  <c r="J20" i="22"/>
  <c r="S19" i="22"/>
  <c r="Q20" i="22"/>
  <c r="J19" i="22"/>
  <c r="M19" i="22"/>
  <c r="P19" i="22"/>
  <c r="T19" i="22"/>
  <c r="R19" i="22"/>
  <c r="K17" i="42"/>
  <c r="M16" i="42"/>
  <c r="D17" i="43"/>
  <c r="D18" i="43" s="1"/>
  <c r="D19" i="43" s="1"/>
  <c r="D20" i="43" s="1"/>
  <c r="D21" i="43" s="1"/>
  <c r="D22" i="43" s="1"/>
  <c r="E16" i="43"/>
  <c r="H16" i="43" s="1"/>
  <c r="F16" i="43"/>
  <c r="I16" i="43" s="1"/>
  <c r="F16" i="22"/>
  <c r="E17" i="22"/>
  <c r="N16" i="22"/>
  <c r="K17" i="22"/>
  <c r="L16" i="22"/>
  <c r="U16" i="22" s="1"/>
  <c r="G15" i="22"/>
  <c r="H15" i="22"/>
  <c r="R18" i="22"/>
  <c r="J18" i="22"/>
  <c r="M18" i="22"/>
  <c r="P18" i="22"/>
  <c r="T18" i="22"/>
  <c r="H19" i="42"/>
  <c r="O18" i="31"/>
  <c r="N19" i="31"/>
  <c r="H23" i="48" l="1"/>
  <c r="Q2" i="48"/>
  <c r="C23" i="23" s="1"/>
  <c r="E22" i="43"/>
  <c r="H21" i="42"/>
  <c r="C22" i="42"/>
  <c r="H22" i="42" s="1"/>
  <c r="L20" i="48"/>
  <c r="E21" i="43"/>
  <c r="J21" i="48"/>
  <c r="E20" i="43"/>
  <c r="S20" i="22"/>
  <c r="Q21" i="22"/>
  <c r="E19" i="43"/>
  <c r="M17" i="42"/>
  <c r="K18" i="42"/>
  <c r="E18" i="43"/>
  <c r="F17" i="22"/>
  <c r="E18" i="22"/>
  <c r="E19" i="22" s="1"/>
  <c r="E17" i="43"/>
  <c r="H17" i="43" s="1"/>
  <c r="F17" i="43"/>
  <c r="I17" i="43" s="1"/>
  <c r="H16" i="22"/>
  <c r="G16" i="22"/>
  <c r="N17" i="22"/>
  <c r="L17" i="22"/>
  <c r="U17" i="22" s="1"/>
  <c r="K18" i="22"/>
  <c r="K19" i="22" s="1"/>
  <c r="K20" i="22" s="1"/>
  <c r="K21" i="22" s="1"/>
  <c r="K22" i="22" s="1"/>
  <c r="K23" i="22" s="1"/>
  <c r="O19" i="31"/>
  <c r="N20" i="31"/>
  <c r="C20" i="23" l="1"/>
  <c r="C18" i="23"/>
  <c r="C27" i="23"/>
  <c r="F20" i="23" s="1"/>
  <c r="Q7" i="48"/>
  <c r="L23" i="22"/>
  <c r="N23" i="22"/>
  <c r="J22" i="48"/>
  <c r="S21" i="22"/>
  <c r="Q22" i="22"/>
  <c r="N22" i="22"/>
  <c r="L22" i="22"/>
  <c r="L21" i="48"/>
  <c r="L27" i="23"/>
  <c r="C28" i="23"/>
  <c r="N21" i="22"/>
  <c r="L21" i="22"/>
  <c r="L20" i="22"/>
  <c r="U20" i="22" s="1"/>
  <c r="N20" i="22"/>
  <c r="F19" i="22"/>
  <c r="H19" i="22" s="1"/>
  <c r="E20" i="22"/>
  <c r="M18" i="42"/>
  <c r="K19" i="42"/>
  <c r="H18" i="43"/>
  <c r="H19" i="43" s="1"/>
  <c r="H20" i="43" s="1"/>
  <c r="H21" i="43" s="1"/>
  <c r="H22" i="43" s="1"/>
  <c r="F18" i="43"/>
  <c r="N19" i="22"/>
  <c r="L19" i="22"/>
  <c r="U19" i="22" s="1"/>
  <c r="N18" i="22"/>
  <c r="L18" i="22"/>
  <c r="U18" i="22" s="1"/>
  <c r="F18" i="22"/>
  <c r="G19" i="22" s="1"/>
  <c r="X13" i="22"/>
  <c r="H17" i="22"/>
  <c r="G17" i="22"/>
  <c r="O20" i="31"/>
  <c r="N21" i="31"/>
  <c r="S22" i="22" l="1"/>
  <c r="U22" i="22" s="1"/>
  <c r="Q23" i="22"/>
  <c r="L22" i="48"/>
  <c r="J23" i="48"/>
  <c r="U21" i="22"/>
  <c r="N7" i="40"/>
  <c r="O28" i="40" s="1"/>
  <c r="Q17" i="40" s="1"/>
  <c r="M18" i="49"/>
  <c r="N18" i="49" s="1"/>
  <c r="C17" i="23" s="1"/>
  <c r="O18" i="23"/>
  <c r="P18" i="23" s="1"/>
  <c r="Q18" i="23" s="1"/>
  <c r="O27" i="23"/>
  <c r="P27" i="23" s="1"/>
  <c r="Q27" i="23" s="1"/>
  <c r="O8" i="23"/>
  <c r="P8" i="23" s="1"/>
  <c r="Q8" i="23" s="1"/>
  <c r="O17" i="23"/>
  <c r="P17" i="23" s="1"/>
  <c r="Q17" i="23" s="1"/>
  <c r="O25" i="23"/>
  <c r="P25" i="23" s="1"/>
  <c r="Q25" i="23" s="1"/>
  <c r="O36" i="23"/>
  <c r="P36" i="23" s="1"/>
  <c r="Q36" i="23" s="1"/>
  <c r="O44" i="23"/>
  <c r="P44" i="23" s="1"/>
  <c r="Q44" i="23" s="1"/>
  <c r="O52" i="23"/>
  <c r="P52" i="23" s="1"/>
  <c r="Q52" i="23" s="1"/>
  <c r="O60" i="23"/>
  <c r="P60" i="23" s="1"/>
  <c r="Q60" i="23" s="1"/>
  <c r="O68" i="23"/>
  <c r="P68" i="23" s="1"/>
  <c r="Q68" i="23" s="1"/>
  <c r="O76" i="23"/>
  <c r="P76" i="23" s="1"/>
  <c r="Q76" i="23" s="1"/>
  <c r="O84" i="23"/>
  <c r="P84" i="23" s="1"/>
  <c r="Q84" i="23" s="1"/>
  <c r="O92" i="23"/>
  <c r="P92" i="23" s="1"/>
  <c r="Q92" i="23" s="1"/>
  <c r="O100" i="23"/>
  <c r="P100" i="23" s="1"/>
  <c r="Q100" i="23" s="1"/>
  <c r="O10" i="23"/>
  <c r="P10" i="23" s="1"/>
  <c r="Q10" i="23" s="1"/>
  <c r="O19" i="23"/>
  <c r="P19" i="23" s="1"/>
  <c r="Q19" i="23" s="1"/>
  <c r="O30" i="23"/>
  <c r="P30" i="23" s="1"/>
  <c r="Q30" i="23" s="1"/>
  <c r="O38" i="23"/>
  <c r="P38" i="23" s="1"/>
  <c r="Q38" i="23" s="1"/>
  <c r="O46" i="23"/>
  <c r="P46" i="23" s="1"/>
  <c r="Q46" i="23" s="1"/>
  <c r="O54" i="23"/>
  <c r="P54" i="23" s="1"/>
  <c r="Q54" i="23" s="1"/>
  <c r="O62" i="23"/>
  <c r="P62" i="23" s="1"/>
  <c r="Q62" i="23" s="1"/>
  <c r="O70" i="23"/>
  <c r="P70" i="23" s="1"/>
  <c r="Q70" i="23" s="1"/>
  <c r="O78" i="23"/>
  <c r="P78" i="23" s="1"/>
  <c r="Q78" i="23" s="1"/>
  <c r="O86" i="23"/>
  <c r="P86" i="23" s="1"/>
  <c r="Q86" i="23" s="1"/>
  <c r="O94" i="23"/>
  <c r="P94" i="23" s="1"/>
  <c r="Q94" i="23" s="1"/>
  <c r="O102" i="23"/>
  <c r="P102" i="23" s="1"/>
  <c r="Q102" i="23" s="1"/>
  <c r="O28" i="23"/>
  <c r="P28" i="23" s="1"/>
  <c r="Q28" i="23" s="1"/>
  <c r="O5" i="23"/>
  <c r="P5" i="23" s="1"/>
  <c r="Q5" i="23" s="1"/>
  <c r="O16" i="23"/>
  <c r="P16" i="23" s="1"/>
  <c r="Q16" i="23" s="1"/>
  <c r="O24" i="23"/>
  <c r="P24" i="23" s="1"/>
  <c r="Q24" i="23" s="1"/>
  <c r="O35" i="23"/>
  <c r="P35" i="23" s="1"/>
  <c r="Q35" i="23" s="1"/>
  <c r="O43" i="23"/>
  <c r="P43" i="23" s="1"/>
  <c r="Q43" i="23" s="1"/>
  <c r="O51" i="23"/>
  <c r="P51" i="23" s="1"/>
  <c r="Q51" i="23" s="1"/>
  <c r="O59" i="23"/>
  <c r="P59" i="23" s="1"/>
  <c r="Q59" i="23" s="1"/>
  <c r="O67" i="23"/>
  <c r="P67" i="23" s="1"/>
  <c r="Q67" i="23" s="1"/>
  <c r="O75" i="23"/>
  <c r="P75" i="23" s="1"/>
  <c r="Q75" i="23" s="1"/>
  <c r="O83" i="23"/>
  <c r="P83" i="23" s="1"/>
  <c r="Q83" i="23" s="1"/>
  <c r="O91" i="23"/>
  <c r="P91" i="23" s="1"/>
  <c r="Q91" i="23" s="1"/>
  <c r="O99" i="23"/>
  <c r="P99" i="23" s="1"/>
  <c r="Q99" i="23" s="1"/>
  <c r="O7" i="23"/>
  <c r="P7" i="23" s="1"/>
  <c r="Q7" i="23" s="1"/>
  <c r="O15" i="23"/>
  <c r="P15" i="23" s="1"/>
  <c r="Q15" i="23" s="1"/>
  <c r="O26" i="23"/>
  <c r="P26" i="23" s="1"/>
  <c r="Q26" i="23" s="1"/>
  <c r="O37" i="23"/>
  <c r="P37" i="23" s="1"/>
  <c r="Q37" i="23" s="1"/>
  <c r="O45" i="23"/>
  <c r="P45" i="23" s="1"/>
  <c r="Q45" i="23" s="1"/>
  <c r="O53" i="23"/>
  <c r="P53" i="23" s="1"/>
  <c r="Q53" i="23" s="1"/>
  <c r="O61" i="23"/>
  <c r="P61" i="23" s="1"/>
  <c r="Q61" i="23" s="1"/>
  <c r="O69" i="23"/>
  <c r="P69" i="23" s="1"/>
  <c r="Q69" i="23" s="1"/>
  <c r="O77" i="23"/>
  <c r="P77" i="23" s="1"/>
  <c r="Q77" i="23" s="1"/>
  <c r="O85" i="23"/>
  <c r="P85" i="23" s="1"/>
  <c r="Q85" i="23" s="1"/>
  <c r="O93" i="23"/>
  <c r="P93" i="23" s="1"/>
  <c r="Q93" i="23" s="1"/>
  <c r="O101" i="23"/>
  <c r="P101" i="23" s="1"/>
  <c r="Q101" i="23" s="1"/>
  <c r="O29" i="23"/>
  <c r="P29" i="23" s="1"/>
  <c r="Q29" i="23" s="1"/>
  <c r="O4" i="23"/>
  <c r="P4" i="23" s="1"/>
  <c r="Q4" i="23" s="1"/>
  <c r="O12" i="23"/>
  <c r="P12" i="23" s="1"/>
  <c r="Q12" i="23" s="1"/>
  <c r="O21" i="23"/>
  <c r="P21" i="23" s="1"/>
  <c r="Q21" i="23" s="1"/>
  <c r="O32" i="23"/>
  <c r="P32" i="23" s="1"/>
  <c r="Q32" i="23" s="1"/>
  <c r="O40" i="23"/>
  <c r="P40" i="23" s="1"/>
  <c r="Q40" i="23" s="1"/>
  <c r="O48" i="23"/>
  <c r="P48" i="23" s="1"/>
  <c r="Q48" i="23" s="1"/>
  <c r="O56" i="23"/>
  <c r="P56" i="23" s="1"/>
  <c r="Q56" i="23" s="1"/>
  <c r="O64" i="23"/>
  <c r="P64" i="23" s="1"/>
  <c r="Q64" i="23" s="1"/>
  <c r="O72" i="23"/>
  <c r="P72" i="23" s="1"/>
  <c r="Q72" i="23" s="1"/>
  <c r="O80" i="23"/>
  <c r="P80" i="23" s="1"/>
  <c r="Q80" i="23" s="1"/>
  <c r="O88" i="23"/>
  <c r="P88" i="23" s="1"/>
  <c r="Q88" i="23" s="1"/>
  <c r="O96" i="23"/>
  <c r="P96" i="23" s="1"/>
  <c r="Q96" i="23" s="1"/>
  <c r="O6" i="23"/>
  <c r="P6" i="23" s="1"/>
  <c r="Q6" i="23" s="1"/>
  <c r="O14" i="23"/>
  <c r="P14" i="23" s="1"/>
  <c r="Q14" i="23" s="1"/>
  <c r="O23" i="23"/>
  <c r="P23" i="23" s="1"/>
  <c r="Q23" i="23" s="1"/>
  <c r="O34" i="23"/>
  <c r="P34" i="23" s="1"/>
  <c r="Q34" i="23" s="1"/>
  <c r="O42" i="23"/>
  <c r="P42" i="23" s="1"/>
  <c r="Q42" i="23" s="1"/>
  <c r="O50" i="23"/>
  <c r="P50" i="23" s="1"/>
  <c r="Q50" i="23" s="1"/>
  <c r="O58" i="23"/>
  <c r="P58" i="23" s="1"/>
  <c r="Q58" i="23" s="1"/>
  <c r="O66" i="23"/>
  <c r="P66" i="23" s="1"/>
  <c r="Q66" i="23" s="1"/>
  <c r="O74" i="23"/>
  <c r="P74" i="23" s="1"/>
  <c r="Q74" i="23" s="1"/>
  <c r="O82" i="23"/>
  <c r="P82" i="23" s="1"/>
  <c r="Q82" i="23" s="1"/>
  <c r="O90" i="23"/>
  <c r="P90" i="23" s="1"/>
  <c r="Q90" i="23" s="1"/>
  <c r="O98" i="23"/>
  <c r="P98" i="23" s="1"/>
  <c r="Q98" i="23" s="1"/>
  <c r="O13" i="23"/>
  <c r="P13" i="23" s="1"/>
  <c r="Q13" i="23" s="1"/>
  <c r="I25" i="23"/>
  <c r="G12" i="44" s="1"/>
  <c r="O9" i="23"/>
  <c r="P9" i="23" s="1"/>
  <c r="Q9" i="23" s="1"/>
  <c r="O20" i="23"/>
  <c r="P20" i="23" s="1"/>
  <c r="Q20" i="23" s="1"/>
  <c r="O31" i="23"/>
  <c r="P31" i="23" s="1"/>
  <c r="Q31" i="23" s="1"/>
  <c r="O39" i="23"/>
  <c r="P39" i="23" s="1"/>
  <c r="Q39" i="23" s="1"/>
  <c r="O47" i="23"/>
  <c r="P47" i="23" s="1"/>
  <c r="Q47" i="23" s="1"/>
  <c r="O55" i="23"/>
  <c r="P55" i="23" s="1"/>
  <c r="Q55" i="23" s="1"/>
  <c r="O63" i="23"/>
  <c r="P63" i="23" s="1"/>
  <c r="Q63" i="23" s="1"/>
  <c r="O71" i="23"/>
  <c r="P71" i="23" s="1"/>
  <c r="Q71" i="23" s="1"/>
  <c r="O79" i="23"/>
  <c r="P79" i="23" s="1"/>
  <c r="Q79" i="23" s="1"/>
  <c r="O87" i="23"/>
  <c r="P87" i="23" s="1"/>
  <c r="Q87" i="23" s="1"/>
  <c r="O95" i="23"/>
  <c r="P95" i="23" s="1"/>
  <c r="Q95" i="23" s="1"/>
  <c r="O103" i="23"/>
  <c r="P103" i="23" s="1"/>
  <c r="Q103" i="23" s="1"/>
  <c r="O11" i="23"/>
  <c r="P11" i="23" s="1"/>
  <c r="Q11" i="23" s="1"/>
  <c r="O22" i="23"/>
  <c r="P22" i="23" s="1"/>
  <c r="Q22" i="23" s="1"/>
  <c r="O33" i="23"/>
  <c r="P33" i="23" s="1"/>
  <c r="Q33" i="23" s="1"/>
  <c r="O41" i="23"/>
  <c r="P41" i="23" s="1"/>
  <c r="Q41" i="23" s="1"/>
  <c r="O49" i="23"/>
  <c r="P49" i="23" s="1"/>
  <c r="Q49" i="23" s="1"/>
  <c r="O57" i="23"/>
  <c r="P57" i="23" s="1"/>
  <c r="Q57" i="23" s="1"/>
  <c r="O65" i="23"/>
  <c r="P65" i="23" s="1"/>
  <c r="Q65" i="23" s="1"/>
  <c r="O73" i="23"/>
  <c r="P73" i="23" s="1"/>
  <c r="Q73" i="23" s="1"/>
  <c r="O81" i="23"/>
  <c r="P81" i="23" s="1"/>
  <c r="Q81" i="23" s="1"/>
  <c r="O89" i="23"/>
  <c r="P89" i="23" s="1"/>
  <c r="Q89" i="23" s="1"/>
  <c r="O97" i="23"/>
  <c r="P97" i="23" s="1"/>
  <c r="Q97" i="23" s="1"/>
  <c r="M19" i="42"/>
  <c r="K20" i="42"/>
  <c r="F20" i="22"/>
  <c r="H20" i="22" s="1"/>
  <c r="E21" i="22"/>
  <c r="E22" i="22" s="1"/>
  <c r="I18" i="43"/>
  <c r="F19" i="43"/>
  <c r="G18" i="22"/>
  <c r="H18" i="22"/>
  <c r="X16" i="22"/>
  <c r="C9" i="23" s="1"/>
  <c r="C6" i="23"/>
  <c r="O21" i="31"/>
  <c r="N22" i="31"/>
  <c r="L23" i="48" l="1"/>
  <c r="S3" i="48" s="1"/>
  <c r="S23" i="22"/>
  <c r="U23" i="22" s="1"/>
  <c r="X14" i="22"/>
  <c r="F22" i="22"/>
  <c r="E23" i="22"/>
  <c r="F23" i="22" s="1"/>
  <c r="X19" i="22"/>
  <c r="C12" i="23" s="1"/>
  <c r="C13" i="23" s="1"/>
  <c r="Q3" i="48"/>
  <c r="H22" i="22"/>
  <c r="M20" i="42"/>
  <c r="K21" i="42"/>
  <c r="G20" i="22"/>
  <c r="I27" i="23"/>
  <c r="G14" i="44" s="1"/>
  <c r="F21" i="22"/>
  <c r="I19" i="43"/>
  <c r="F20" i="43"/>
  <c r="O22" i="31"/>
  <c r="N23" i="31"/>
  <c r="S8" i="48" l="1"/>
  <c r="X5" i="22"/>
  <c r="X6" i="22" s="1"/>
  <c r="Q8" i="48"/>
  <c r="Q10" i="48" s="1"/>
  <c r="M21" i="42"/>
  <c r="K22" i="42"/>
  <c r="M22" i="42" s="1"/>
  <c r="G22" i="22"/>
  <c r="H23" i="22"/>
  <c r="G23" i="22"/>
  <c r="X17" i="22"/>
  <c r="C7" i="23"/>
  <c r="X15" i="22"/>
  <c r="C8" i="23" s="1"/>
  <c r="I20" i="43"/>
  <c r="F21" i="43"/>
  <c r="H21" i="22"/>
  <c r="G21" i="22"/>
  <c r="C4" i="23"/>
  <c r="Q20" i="40"/>
  <c r="Q21" i="40" s="1"/>
  <c r="Q22" i="40" s="1"/>
  <c r="Q23" i="40" s="1"/>
  <c r="Q24" i="40" s="1"/>
  <c r="Q25" i="40" s="1"/>
  <c r="Q26" i="40" s="1"/>
  <c r="Q27" i="40" s="1"/>
  <c r="Q28" i="40" s="1"/>
  <c r="N4" i="40"/>
  <c r="O11" i="40"/>
  <c r="O10" i="40"/>
  <c r="G28" i="40"/>
  <c r="Q12" i="40"/>
  <c r="M6" i="40"/>
  <c r="G6" i="40"/>
  <c r="B5" i="40"/>
  <c r="H6" i="40"/>
  <c r="M7" i="40"/>
  <c r="I2" i="40"/>
  <c r="N24" i="31"/>
  <c r="O23" i="31"/>
  <c r="S11" i="48" l="1"/>
  <c r="S10" i="48"/>
  <c r="S9" i="48"/>
  <c r="Q11" i="48"/>
  <c r="Q9" i="48"/>
  <c r="G4" i="41" s="1"/>
  <c r="G5" i="41" s="1"/>
  <c r="D3" i="41" s="1"/>
  <c r="C4" i="41" s="1"/>
  <c r="D4" i="41" s="1"/>
  <c r="C5" i="41" s="1"/>
  <c r="D5" i="41" s="1"/>
  <c r="C6" i="41" s="1"/>
  <c r="D6" i="41" s="1"/>
  <c r="C7" i="41" s="1"/>
  <c r="D7" i="41" s="1"/>
  <c r="C8" i="41" s="1"/>
  <c r="D8" i="41" s="1"/>
  <c r="C9" i="41" s="1"/>
  <c r="D9" i="41" s="1"/>
  <c r="C10" i="41" s="1"/>
  <c r="D10" i="41" s="1"/>
  <c r="C11" i="41" s="1"/>
  <c r="D11" i="41" s="1"/>
  <c r="C12" i="41" s="1"/>
  <c r="D12" i="41" s="1"/>
  <c r="C13" i="41" s="1"/>
  <c r="D13" i="41" s="1"/>
  <c r="C14" i="41" s="1"/>
  <c r="D14" i="41" s="1"/>
  <c r="E15" i="41" s="1"/>
  <c r="F15" i="41" s="1"/>
  <c r="I21" i="43"/>
  <c r="F22" i="43"/>
  <c r="I22" i="43" s="1"/>
  <c r="N4" i="43" s="1"/>
  <c r="C10" i="23"/>
  <c r="X18" i="22"/>
  <c r="C11" i="23" s="1"/>
  <c r="G4" i="44"/>
  <c r="C5" i="23"/>
  <c r="X10" i="22"/>
  <c r="I6" i="40"/>
  <c r="O6" i="40"/>
  <c r="O7" i="40"/>
  <c r="O24" i="31"/>
  <c r="N25" i="31"/>
  <c r="C15" i="41" l="1"/>
  <c r="I26" i="23"/>
  <c r="G13" i="44" s="1"/>
  <c r="J6" i="44" s="1"/>
  <c r="I28" i="23"/>
  <c r="G15" i="44" s="1"/>
  <c r="J5" i="44"/>
  <c r="J4" i="44"/>
  <c r="O25" i="31"/>
  <c r="N26" i="31"/>
  <c r="D15" i="41" l="1"/>
  <c r="E16" i="41" s="1"/>
  <c r="F16" i="41" s="1"/>
  <c r="J7" i="44"/>
  <c r="N27" i="31"/>
  <c r="O26" i="31"/>
  <c r="C16" i="41" l="1"/>
  <c r="D16" i="41" s="1"/>
  <c r="E17" i="41" s="1"/>
  <c r="F17" i="41" s="1"/>
  <c r="J8" i="44"/>
  <c r="J10" i="44"/>
  <c r="O27" i="31"/>
  <c r="N28" i="31"/>
  <c r="C17" i="41" l="1"/>
  <c r="D17" i="41" s="1"/>
  <c r="E18" i="41" s="1"/>
  <c r="F18" i="41" s="1"/>
  <c r="J11" i="44"/>
  <c r="J13" i="44"/>
  <c r="J18" i="44"/>
  <c r="O28" i="31"/>
  <c r="N29" i="31"/>
  <c r="C18" i="41" l="1"/>
  <c r="D18" i="41" s="1"/>
  <c r="E19" i="41" s="1"/>
  <c r="F19" i="41" s="1"/>
  <c r="J16" i="44"/>
  <c r="J14" i="44"/>
  <c r="J15" i="44" s="1"/>
  <c r="J21" i="44"/>
  <c r="J22" i="44" s="1"/>
  <c r="J19" i="44"/>
  <c r="O29" i="31"/>
  <c r="N30" i="31"/>
  <c r="C19" i="41" l="1"/>
  <c r="D19" i="41" s="1"/>
  <c r="E20" i="41" s="1"/>
  <c r="F20" i="41" s="1"/>
  <c r="N31" i="31"/>
  <c r="O30" i="31"/>
  <c r="C20" i="41" l="1"/>
  <c r="N32" i="31"/>
  <c r="O31" i="31"/>
  <c r="D20" i="41" l="1"/>
  <c r="E21" i="41" s="1"/>
  <c r="F21" i="41" s="1"/>
  <c r="N33" i="31"/>
  <c r="O33" i="31" s="1"/>
  <c r="O32" i="31"/>
  <c r="C21" i="41" l="1"/>
  <c r="D21" i="41" l="1"/>
  <c r="E22" i="41" s="1"/>
  <c r="F22" i="41" s="1"/>
  <c r="C22" i="41" l="1"/>
  <c r="D22" i="41" l="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/>
  <c r="Q7" i="40"/>
</calcChain>
</file>

<file path=xl/sharedStrings.xml><?xml version="1.0" encoding="utf-8"?>
<sst xmlns="http://schemas.openxmlformats.org/spreadsheetml/2006/main" count="416" uniqueCount="242">
  <si>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</si>
  <si>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</si>
  <si>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</si>
  <si>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</si>
  <si>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</si>
  <si>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</si>
  <si>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</si>
  <si>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</si>
  <si>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</si>
  <si>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</si>
  <si>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</si>
  <si>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</si>
  <si>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</si>
  <si>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</si>
  <si>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</si>
  <si>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</si>
  <si>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</si>
  <si>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</si>
  <si>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</si>
  <si>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</si>
  <si>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</si>
  <si>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</si>
  <si>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</si>
  <si>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</si>
  <si>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</si>
  <si>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</si>
  <si>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</si>
  <si>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</si>
  <si>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</si>
  <si>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</si>
  <si>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</si>
  <si>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</si>
  <si>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</si>
  <si>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</si>
  <si>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</si>
  <si>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</si>
  <si>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</si>
  <si>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</si>
  <si>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</si>
  <si>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</si>
  <si>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</si>
  <si>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</si>
  <si>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</si>
  <si>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</si>
  <si>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</si>
  <si>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</si>
  <si>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</si>
  <si>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</si>
  <si>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</si>
  <si>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</si>
  <si>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</si>
  <si>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</si>
  <si>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</si>
  <si>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</si>
  <si>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</si>
  <si>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</si>
  <si>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</si>
  <si>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</si>
  <si>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</si>
  <si>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</si>
  <si>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</si>
  <si>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</si>
  <si>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</si>
  <si>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</si>
  <si>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</si>
  <si>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</si>
  <si>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</si>
  <si>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</si>
  <si>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</si>
  <si>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</si>
  <si>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</si>
  <si>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</si>
  <si>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</si>
  <si>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</si>
  <si>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</si>
  <si>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</si>
  <si>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</si>
  <si>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</si>
  <si>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</si>
  <si>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</si>
  <si>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</si>
  <si>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</si>
  <si>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</si>
  <si>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</si>
  <si>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</si>
  <si>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</si>
  <si>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</si>
  <si>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</si>
  <si>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</si>
  <si>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</si>
  <si>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</si>
  <si>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</si>
  <si>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</si>
  <si>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</si>
  <si>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</si>
  <si>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</si>
  <si>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</si>
  <si>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</si>
  <si>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</si>
  <si>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</si>
  <si>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</si>
  <si>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</si>
  <si>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</si>
  <si>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</si>
  <si>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</si>
  <si>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</si>
  <si>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</si>
  <si>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</si>
  <si>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</si>
  <si>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</si>
  <si>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</si>
  <si>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</si>
  <si>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</si>
  <si>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</si>
  <si>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</si>
  <si>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</si>
  <si>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</si>
  <si>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</si>
  <si>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</si>
  <si>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</si>
  <si>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</si>
  <si>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</si>
  <si>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</si>
  <si>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</si>
  <si>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</si>
  <si>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</si>
  <si>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</si>
  <si>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</si>
  <si>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</si>
  <si>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</si>
  <si>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</si>
  <si>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</si>
  <si>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</si>
  <si>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</si>
  <si>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</si>
  <si>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</si>
  <si>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</si>
  <si>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</si>
  <si>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</si>
  <si>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</si>
  <si>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</si>
  <si>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</si>
  <si>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</si>
  <si>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</si>
  <si>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</si>
  <si>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</si>
  <si>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</si>
  <si>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</si>
  <si>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</si>
  <si>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</si>
  <si>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</si>
  <si>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</si>
  <si>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</si>
  <si>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</si>
  <si>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</si>
  <si>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</si>
  <si>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</si>
  <si>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</si>
  <si>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 xml:space="preserve"> Lot size</t>
  </si>
  <si>
    <t>Current $</t>
  </si>
  <si>
    <t>Freq</t>
  </si>
  <si>
    <t>Base</t>
  </si>
  <si>
    <t>Expo</t>
  </si>
  <si>
    <t>Coeficientes</t>
  </si>
  <si>
    <t>% DD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</si>
  <si>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</si>
  <si>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</si>
  <si>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</si>
  <si>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</si>
  <si>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</si>
  <si>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</si>
  <si>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</si>
  <si>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</si>
  <si>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Mrec2</t>
  </si>
  <si>
    <t>Mrec1</t>
  </si>
  <si>
    <t>P(K)</t>
  </si>
  <si>
    <t>Ant</t>
  </si>
  <si>
    <t>Tot</t>
  </si>
  <si>
    <t>Faixa até %</t>
  </si>
  <si>
    <t>% Bal Méd</t>
  </si>
  <si>
    <t>Cycle Avg %</t>
  </si>
  <si>
    <t>Ideais por ciclo</t>
  </si>
  <si>
    <t>O desempenho está melhorando?</t>
  </si>
  <si>
    <t>Há ganho consistente?</t>
  </si>
  <si>
    <t>% Lucro acumulado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</si>
  <si>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</si>
  <si>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</si>
  <si>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</si>
  <si>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</si>
  <si>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</si>
  <si>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</si>
  <si>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</si>
  <si>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</si>
  <si>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Prob %</t>
  </si>
  <si>
    <t>Price</t>
  </si>
  <si>
    <t>Lots 6</t>
  </si>
  <si>
    <t>Lots 7</t>
  </si>
  <si>
    <t>Lots 8</t>
  </si>
  <si>
    <t>Kelly Alert (%)</t>
  </si>
  <si>
    <t>Position</t>
  </si>
  <si>
    <t>$ Atual</t>
  </si>
  <si>
    <t>Hard Stop %</t>
  </si>
  <si>
    <t>P(HS)</t>
  </si>
  <si>
    <t>Hard Stop (%)</t>
  </si>
  <si>
    <t>Resultado até bom, considerando que, em dia de NFP, esqueci de considerar a tendência do dia e entrei contra ela</t>
  </si>
  <si>
    <t>Teste T (WRes!I2:I5)</t>
  </si>
  <si>
    <t>Teste T (B3:B6)</t>
  </si>
  <si>
    <t>Teste T (MRes!I2:I5)</t>
  </si>
  <si>
    <t>Quadro Resumo (CLog)</t>
  </si>
  <si>
    <t>Kelly Factor</t>
  </si>
  <si>
    <t>Kelly (%)</t>
  </si>
  <si>
    <t>Entrei contra a tendência do dia de novo. Atitude mental inadequada - medo do arrastão (a tendência maior)</t>
  </si>
  <si>
    <t>Entrei na direção da tendência do dia (que era forte) mas fui apanhado num contrafluxo que atingiu seu objetivo</t>
  </si>
  <si>
    <t>Prob1</t>
  </si>
  <si>
    <t>Prob2</t>
  </si>
  <si>
    <t>Quando for usada, esta planilha precisará de revisão</t>
  </si>
  <si>
    <t>Agress (0:100+)</t>
  </si>
  <si>
    <t>Max leverage</t>
  </si>
  <si>
    <t>Max lots</t>
  </si>
  <si>
    <t>Arrastão de alta, entrei contra a tendência do dia, que era de baixa</t>
  </si>
  <si>
    <t>HS %</t>
  </si>
  <si>
    <t>Payoff (%)</t>
  </si>
  <si>
    <t>Dia raro. Não levei um segundo para decidir que o lado era "compra"</t>
  </si>
  <si>
    <t>CLog "ideal"</t>
  </si>
  <si>
    <t>CyHS "ideal"</t>
  </si>
  <si>
    <t>Com HS atual</t>
  </si>
  <si>
    <t>Payoff (% por ciclo)</t>
  </si>
  <si>
    <t>Ciclo</t>
  </si>
  <si>
    <t>Semana</t>
  </si>
  <si>
    <t>Dias</t>
  </si>
  <si>
    <t>% Dia útil</t>
  </si>
  <si>
    <t>Dia corrido</t>
  </si>
  <si>
    <t>Payoff (% por)</t>
  </si>
  <si>
    <t>x</t>
  </si>
  <si>
    <t>Sim</t>
  </si>
  <si>
    <t>Contra a tendência do dia</t>
  </si>
  <si>
    <t>%Bal+</t>
  </si>
  <si>
    <t>Últ % Bal</t>
  </si>
  <si>
    <t>Usando média</t>
  </si>
  <si>
    <t>Usando último</t>
  </si>
  <si>
    <t>Teste T (D3:D24)</t>
  </si>
  <si>
    <t>Teste T (E4:E23)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</si>
</sst>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b/>
      <sz val="24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43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530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5" xfId="0" applyNumberFormat="1" applyFont="1" applyFill="1" applyBorder="1" applyAlignment="1">
      <alignment horizontal="center"/>
    </xf>
    <xf numFmtId="10" fontId="0" fillId="3" borderId="16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66" fontId="2" fillId="4" borderId="15" xfId="0" applyNumberFormat="1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2" fillId="6" borderId="22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4" borderId="14" xfId="0" applyNumberFormat="1" applyFont="1" applyFill="1" applyBorder="1" applyAlignment="1">
      <alignment horizontal="center"/>
    </xf>
    <xf numFmtId="166" fontId="3" fillId="3" borderId="24" xfId="0" applyNumberFormat="1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29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3" xfId="0" applyNumberForma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7" fontId="0" fillId="11" borderId="3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6" xfId="0" applyFont="1" applyFill="1" applyBorder="1" applyAlignment="1">
      <alignment horizontal="center"/>
    </xf>
    <xf numFmtId="174" fontId="3" fillId="12" borderId="34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3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7" xfId="0" applyNumberFormat="1" applyFill="1" applyBorder="1"/>
    <xf numFmtId="174" fontId="0" fillId="4" borderId="38" xfId="0" applyNumberFormat="1" applyFill="1" applyBorder="1"/>
    <xf numFmtId="10" fontId="0" fillId="3" borderId="39" xfId="1" applyNumberFormat="1" applyFont="1" applyFill="1" applyBorder="1" applyAlignment="1">
      <alignment horizontal="center"/>
    </xf>
    <xf numFmtId="181" fontId="3" fillId="4" borderId="39" xfId="0" applyNumberFormat="1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9" fontId="3" fillId="4" borderId="39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0" xfId="0" applyNumberFormat="1" applyFill="1" applyBorder="1"/>
    <xf numFmtId="0" fontId="3" fillId="14" borderId="35" xfId="0" applyFont="1" applyFill="1" applyBorder="1" applyAlignment="1">
      <alignment horizontal="center"/>
    </xf>
    <xf numFmtId="179" fontId="3" fillId="14" borderId="35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7" xfId="0" applyNumberFormat="1" applyFill="1" applyBorder="1"/>
    <xf numFmtId="179" fontId="0" fillId="5" borderId="38" xfId="0" applyNumberFormat="1" applyFill="1" applyBorder="1"/>
    <xf numFmtId="179" fontId="0" fillId="4" borderId="37" xfId="0" applyNumberFormat="1" applyFill="1" applyBorder="1"/>
    <xf numFmtId="174" fontId="0" fillId="3" borderId="38" xfId="0" applyNumberFormat="1" applyFill="1" applyBorder="1"/>
    <xf numFmtId="179" fontId="0" fillId="4" borderId="38" xfId="0" applyNumberFormat="1" applyFill="1" applyBorder="1"/>
    <xf numFmtId="180" fontId="3" fillId="3" borderId="41" xfId="0" applyNumberFormat="1" applyFont="1" applyFill="1" applyBorder="1" applyAlignment="1">
      <alignment horizontal="center"/>
    </xf>
    <xf numFmtId="174" fontId="0" fillId="3" borderId="42" xfId="1" applyNumberFormat="1" applyFont="1" applyFill="1" applyBorder="1"/>
    <xf numFmtId="174" fontId="0" fillId="3" borderId="40" xfId="0" applyNumberFormat="1" applyFill="1" applyBorder="1"/>
    <xf numFmtId="179" fontId="0" fillId="5" borderId="40" xfId="0" applyNumberFormat="1" applyFill="1" applyBorder="1"/>
    <xf numFmtId="179" fontId="0" fillId="4" borderId="40" xfId="0" applyNumberFormat="1" applyFill="1" applyBorder="1"/>
    <xf numFmtId="0" fontId="0" fillId="0" borderId="43" xfId="0" applyBorder="1"/>
    <xf numFmtId="174" fontId="0" fillId="0" borderId="0" xfId="0" applyNumberFormat="1"/>
    <xf numFmtId="179" fontId="0" fillId="0" borderId="0" xfId="0" applyNumberFormat="1"/>
    <xf numFmtId="0" fontId="3" fillId="6" borderId="30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center"/>
    </xf>
    <xf numFmtId="166" fontId="0" fillId="15" borderId="30" xfId="0" applyNumberFormat="1" applyFill="1" applyBorder="1" applyAlignment="1">
      <alignment horizontal="center"/>
    </xf>
    <xf numFmtId="166" fontId="0" fillId="7" borderId="30" xfId="0" applyNumberForma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16" borderId="31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166" fontId="0" fillId="17" borderId="31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4" xfId="0" applyNumberFormat="1" applyFill="1" applyBorder="1" applyAlignment="1">
      <alignment horizontal="center"/>
    </xf>
    <xf numFmtId="168" fontId="0" fillId="18" borderId="29" xfId="0" applyNumberFormat="1" applyFill="1" applyBorder="1" applyAlignment="1">
      <alignment horizontal="center"/>
    </xf>
    <xf numFmtId="0" fontId="0" fillId="0" borderId="31" xfId="0" applyBorder="1" applyAlignment="1">
      <alignment horizontal="center"/>
    </xf>
    <xf numFmtId="166" fontId="0" fillId="19" borderId="33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6" fontId="0" fillId="19" borderId="31" xfId="0" applyNumberForma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166" fontId="3" fillId="3" borderId="18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9" fontId="0" fillId="21" borderId="14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8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49" xfId="0" applyNumberFormat="1" applyFill="1" applyBorder="1" applyAlignment="1">
      <alignment horizontal="center"/>
    </xf>
    <xf numFmtId="167" fontId="0" fillId="3" borderId="49" xfId="0" applyNumberFormat="1" applyFill="1" applyBorder="1" applyAlignment="1">
      <alignment horizontal="center"/>
    </xf>
    <xf numFmtId="10" fontId="0" fillId="3" borderId="48" xfId="0" applyNumberFormat="1" applyFill="1" applyBorder="1" applyAlignment="1">
      <alignment horizontal="center"/>
    </xf>
    <xf numFmtId="166" fontId="2" fillId="6" borderId="27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39" xfId="0" applyNumberFormat="1" applyFont="1" applyFill="1" applyBorder="1" applyAlignment="1">
      <alignment horizontal="center"/>
    </xf>
    <xf numFmtId="166" fontId="3" fillId="6" borderId="36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1" xfId="0" applyNumberFormat="1" applyFont="1" applyFill="1" applyBorder="1" applyAlignment="1">
      <alignment horizontal="center"/>
    </xf>
    <xf numFmtId="166" fontId="3" fillId="6" borderId="39" xfId="0" applyNumberFormat="1" applyFont="1" applyFill="1" applyBorder="1" applyAlignment="1">
      <alignment horizontal="center" vertical="center"/>
    </xf>
    <xf numFmtId="166" fontId="0" fillId="23" borderId="39" xfId="0" applyNumberFormat="1" applyFill="1" applyBorder="1" applyAlignment="1">
      <alignment horizontal="center" vertical="center"/>
    </xf>
    <xf numFmtId="166" fontId="3" fillId="3" borderId="48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19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2" xfId="0" applyBorder="1" applyAlignment="1">
      <alignment horizontal="center"/>
    </xf>
    <xf numFmtId="166" fontId="0" fillId="9" borderId="44" xfId="0" applyNumberForma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9" borderId="31" xfId="0" applyNumberFormat="1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166" fontId="0" fillId="9" borderId="47" xfId="0" applyNumberFormat="1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22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167" fontId="3" fillId="23" borderId="17" xfId="0" applyNumberFormat="1" applyFont="1" applyFill="1" applyBorder="1" applyAlignment="1">
      <alignment horizontal="center"/>
    </xf>
    <xf numFmtId="167" fontId="3" fillId="23" borderId="51" xfId="0" applyNumberFormat="1" applyFont="1" applyFill="1" applyBorder="1" applyAlignment="1">
      <alignment horizontal="center"/>
    </xf>
    <xf numFmtId="0" fontId="3" fillId="23" borderId="36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0" xfId="0" applyNumberFormat="1" applyFill="1" applyBorder="1" applyAlignment="1">
      <alignment horizontal="center"/>
    </xf>
    <xf numFmtId="166" fontId="0" fillId="7" borderId="55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8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/>
    </xf>
    <xf numFmtId="166" fontId="3" fillId="22" borderId="27" xfId="0" applyNumberFormat="1" applyFont="1" applyFill="1" applyBorder="1" applyAlignment="1">
      <alignment horizontal="center"/>
    </xf>
    <xf numFmtId="171" fontId="3" fillId="24" borderId="20" xfId="0" applyNumberFormat="1" applyFont="1" applyFill="1" applyBorder="1" applyAlignment="1">
      <alignment horizontal="center"/>
    </xf>
    <xf numFmtId="171" fontId="3" fillId="24" borderId="22" xfId="0" applyNumberFormat="1" applyFont="1" applyFill="1" applyBorder="1" applyAlignment="1">
      <alignment horizontal="center"/>
    </xf>
    <xf numFmtId="177" fontId="3" fillId="23" borderId="24" xfId="0" applyNumberFormat="1" applyFont="1" applyFill="1" applyBorder="1" applyAlignment="1">
      <alignment horizontal="center"/>
    </xf>
    <xf numFmtId="170" fontId="3" fillId="23" borderId="37" xfId="0" applyNumberFormat="1" applyFont="1" applyFill="1" applyBorder="1" applyAlignment="1">
      <alignment horizontal="center"/>
    </xf>
    <xf numFmtId="166" fontId="6" fillId="23" borderId="39" xfId="0" applyNumberFormat="1" applyFont="1" applyFill="1" applyBorder="1" applyAlignment="1">
      <alignment horizontal="center"/>
    </xf>
    <xf numFmtId="169" fontId="0" fillId="5" borderId="24" xfId="0" applyNumberForma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2" fontId="2" fillId="21" borderId="16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166" fontId="0" fillId="7" borderId="37" xfId="0" applyNumberFormat="1" applyFill="1" applyBorder="1" applyAlignment="1">
      <alignment horizontal="left"/>
    </xf>
    <xf numFmtId="166" fontId="0" fillId="7" borderId="38" xfId="0" applyNumberFormat="1" applyFill="1" applyBorder="1" applyAlignment="1">
      <alignment horizontal="left"/>
    </xf>
    <xf numFmtId="166" fontId="0" fillId="7" borderId="38" xfId="0" applyNumberFormat="1" applyFont="1" applyFill="1" applyBorder="1" applyAlignment="1">
      <alignment horizontal="left"/>
    </xf>
    <xf numFmtId="166" fontId="0" fillId="7" borderId="40" xfId="0" applyNumberFormat="1" applyFont="1" applyFill="1" applyBorder="1" applyAlignment="1">
      <alignment horizontal="left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7" fontId="3" fillId="23" borderId="19" xfId="0" applyNumberFormat="1" applyFont="1" applyFill="1" applyBorder="1" applyAlignment="1">
      <alignment horizontal="center"/>
    </xf>
    <xf numFmtId="0" fontId="3" fillId="23" borderId="56" xfId="0" applyFont="1" applyFill="1" applyBorder="1" applyAlignment="1">
      <alignment horizontal="center"/>
    </xf>
    <xf numFmtId="167" fontId="3" fillId="24" borderId="14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0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59" xfId="0" applyNumberFormat="1" applyFont="1" applyFill="1" applyBorder="1" applyAlignment="1">
      <alignment horizontal="center"/>
    </xf>
    <xf numFmtId="167" fontId="3" fillId="23" borderId="29" xfId="0" applyNumberFormat="1" applyFont="1" applyFill="1" applyBorder="1" applyAlignment="1">
      <alignment horizontal="center"/>
    </xf>
    <xf numFmtId="167" fontId="3" fillId="23" borderId="60" xfId="0" applyNumberFormat="1" applyFont="1" applyFill="1" applyBorder="1" applyAlignment="1">
      <alignment horizontal="center"/>
    </xf>
    <xf numFmtId="0" fontId="3" fillId="23" borderId="61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177" fontId="3" fillId="4" borderId="37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19" xfId="0" applyNumberFormat="1" applyFont="1" applyFill="1" applyBorder="1" applyAlignment="1">
      <alignment horizontal="center"/>
    </xf>
    <xf numFmtId="166" fontId="3" fillId="25" borderId="14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6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3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4" xfId="0" applyNumberFormat="1" applyFont="1" applyFill="1" applyBorder="1" applyAlignment="1">
      <alignment horizontal="center"/>
    </xf>
    <xf numFmtId="171" fontId="3" fillId="24" borderId="24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71" fontId="0" fillId="3" borderId="25" xfId="0" applyNumberForma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1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0" fontId="0" fillId="22" borderId="56" xfId="0" applyNumberFormat="1" applyFill="1" applyBorder="1" applyAlignment="1">
      <alignment horizontal="center"/>
    </xf>
    <xf numFmtId="10" fontId="0" fillId="22" borderId="54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6" fontId="2" fillId="23" borderId="16" xfId="0" applyNumberFormat="1" applyFont="1" applyFill="1" applyBorder="1" applyAlignment="1">
      <alignment horizontal="center"/>
    </xf>
    <xf numFmtId="176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6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7" fontId="2" fillId="4" borderId="9" xfId="0" applyNumberFormat="1" applyFont="1" applyFill="1" applyBorder="1" applyAlignment="1">
      <alignment horizontal="center"/>
    </xf>
    <xf numFmtId="182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7" fontId="2" fillId="3" borderId="9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7" fontId="3" fillId="23" borderId="59" xfId="0" applyNumberFormat="1" applyFont="1" applyFill="1" applyBorder="1" applyAlignment="1">
      <alignment horizontal="center"/>
    </xf>
    <xf numFmtId="0" fontId="3" fillId="6" borderId="63" xfId="0" applyFont="1" applyFill="1" applyBorder="1" applyAlignment="1">
      <alignment horizontal="center" vertical="center"/>
    </xf>
    <xf numFmtId="177" fontId="0" fillId="23" borderId="53" xfId="0" applyNumberFormat="1" applyFill="1" applyBorder="1" applyAlignment="1">
      <alignment horizontal="center" vertical="center"/>
    </xf>
    <xf numFmtId="169" fontId="0" fillId="23" borderId="51" xfId="0" applyNumberFormat="1" applyFill="1" applyBorder="1" applyAlignment="1">
      <alignment horizontal="center"/>
    </xf>
    <xf numFmtId="177" fontId="3" fillId="4" borderId="50" xfId="0" applyNumberFormat="1" applyFont="1" applyFill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77" fontId="3" fillId="4" borderId="70" xfId="0" applyNumberFormat="1" applyFont="1" applyFill="1" applyBorder="1" applyAlignment="1">
      <alignment horizontal="center"/>
    </xf>
    <xf numFmtId="170" fontId="0" fillId="5" borderId="54" xfId="0" applyNumberFormat="1" applyFill="1" applyBorder="1" applyAlignment="1">
      <alignment horizontal="center"/>
    </xf>
    <xf numFmtId="0" fontId="3" fillId="6" borderId="37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/>
    </xf>
    <xf numFmtId="166" fontId="3" fillId="6" borderId="71" xfId="0" applyNumberFormat="1" applyFont="1" applyFill="1" applyBorder="1" applyAlignment="1">
      <alignment horizontal="center" vertical="center"/>
    </xf>
    <xf numFmtId="177" fontId="3" fillId="23" borderId="54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 wrapText="1"/>
    </xf>
    <xf numFmtId="166" fontId="3" fillId="6" borderId="51" xfId="0" applyNumberFormat="1" applyFont="1" applyFill="1" applyBorder="1" applyAlignment="1">
      <alignment horizontal="center" vertical="center"/>
    </xf>
    <xf numFmtId="166" fontId="3" fillId="22" borderId="30" xfId="0" applyNumberFormat="1" applyFont="1" applyFill="1" applyBorder="1" applyAlignment="1">
      <alignment horizontal="center"/>
    </xf>
    <xf numFmtId="177" fontId="3" fillId="23" borderId="60" xfId="0" applyNumberFormat="1" applyFont="1" applyFill="1" applyBorder="1" applyAlignment="1">
      <alignment horizontal="center"/>
    </xf>
    <xf numFmtId="165" fontId="0" fillId="23" borderId="39" xfId="0" applyNumberForma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66" fontId="3" fillId="22" borderId="54" xfId="0" applyNumberFormat="1" applyFont="1" applyFill="1" applyBorder="1" applyAlignment="1">
      <alignment horizontal="center"/>
    </xf>
    <xf numFmtId="169" fontId="2" fillId="23" borderId="16" xfId="0" applyNumberFormat="1" applyFont="1" applyFill="1" applyBorder="1" applyAlignment="1">
      <alignment horizontal="center"/>
    </xf>
    <xf numFmtId="0" fontId="3" fillId="6" borderId="62" xfId="0" applyFont="1" applyFill="1" applyBorder="1" applyAlignment="1">
      <alignment horizontal="center" vertical="center"/>
    </xf>
    <xf numFmtId="166" fontId="0" fillId="0" borderId="72" xfId="0" applyNumberFormat="1" applyBorder="1" applyAlignment="1">
      <alignment horizontal="center"/>
    </xf>
    <xf numFmtId="166" fontId="3" fillId="3" borderId="55" xfId="0" applyNumberFormat="1" applyFont="1" applyFill="1" applyBorder="1" applyAlignment="1">
      <alignment horizontal="center"/>
    </xf>
    <xf numFmtId="166" fontId="2" fillId="23" borderId="73" xfId="0" applyNumberFormat="1" applyFont="1" applyFill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center"/>
    </xf>
    <xf numFmtId="167" fontId="0" fillId="2" borderId="14" xfId="0" applyNumberFormat="1" applyFill="1" applyBorder="1" applyAlignment="1">
      <alignment horizontal="center"/>
    </xf>
    <xf numFmtId="177" fontId="3" fillId="4" borderId="14" xfId="0" applyNumberFormat="1" applyFont="1" applyFill="1" applyBorder="1" applyAlignment="1">
      <alignment horizontal="center"/>
    </xf>
    <xf numFmtId="177" fontId="3" fillId="10" borderId="14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77" fontId="3" fillId="4" borderId="2" xfId="0" applyNumberFormat="1" applyFont="1" applyFill="1" applyBorder="1" applyAlignment="1">
      <alignment horizontal="center"/>
    </xf>
    <xf numFmtId="166" fontId="3" fillId="3" borderId="72" xfId="0" applyNumberFormat="1" applyFont="1" applyFill="1" applyBorder="1" applyAlignment="1">
      <alignment horizontal="center"/>
    </xf>
    <xf numFmtId="177" fontId="3" fillId="10" borderId="2" xfId="0" applyNumberFormat="1" applyFont="1" applyFill="1" applyBorder="1" applyAlignment="1">
      <alignment horizontal="center"/>
    </xf>
    <xf numFmtId="166" fontId="3" fillId="6" borderId="49" xfId="0" applyNumberFormat="1" applyFont="1" applyFill="1" applyBorder="1" applyAlignment="1">
      <alignment horizontal="center"/>
    </xf>
    <xf numFmtId="166" fontId="3" fillId="3" borderId="74" xfId="0" applyNumberFormat="1" applyFont="1" applyFill="1" applyBorder="1" applyAlignment="1">
      <alignment horizontal="center"/>
    </xf>
    <xf numFmtId="176" fontId="0" fillId="0" borderId="0" xfId="0" applyNumberFormat="1"/>
    <xf numFmtId="166" fontId="3" fillId="6" borderId="20" xfId="0" applyNumberFormat="1" applyFont="1" applyFill="1" applyBorder="1" applyAlignment="1">
      <alignment horizontal="center" vertical="center"/>
    </xf>
    <xf numFmtId="9" fontId="0" fillId="0" borderId="0" xfId="0" applyNumberFormat="1"/>
    <xf numFmtId="0" fontId="3" fillId="23" borderId="62" xfId="0" applyFont="1" applyFill="1" applyBorder="1" applyAlignment="1">
      <alignment horizontal="center"/>
    </xf>
    <xf numFmtId="0" fontId="3" fillId="23" borderId="19" xfId="0" applyFont="1" applyFill="1" applyBorder="1" applyAlignment="1">
      <alignment horizontal="center"/>
    </xf>
    <xf numFmtId="0" fontId="3" fillId="23" borderId="17" xfId="0" applyFont="1" applyFill="1" applyBorder="1" applyAlignment="1">
      <alignment horizontal="center"/>
    </xf>
    <xf numFmtId="177" fontId="3" fillId="23" borderId="25" xfId="0" applyNumberFormat="1" applyFont="1" applyFill="1" applyBorder="1" applyAlignment="1">
      <alignment horizontal="center"/>
    </xf>
    <xf numFmtId="0" fontId="3" fillId="23" borderId="18" xfId="0" applyFont="1" applyFill="1" applyBorder="1" applyAlignment="1">
      <alignment horizontal="center"/>
    </xf>
    <xf numFmtId="166" fontId="3" fillId="6" borderId="10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169" fontId="0" fillId="27" borderId="1" xfId="0" applyNumberFormat="1" applyFill="1" applyBorder="1" applyAlignment="1">
      <alignment horizontal="center"/>
    </xf>
    <xf numFmtId="169" fontId="0" fillId="19" borderId="31" xfId="0" applyNumberFormat="1" applyFill="1" applyBorder="1" applyAlignment="1">
      <alignment horizontal="center"/>
    </xf>
    <xf numFmtId="169" fontId="0" fillId="0" borderId="0" xfId="0" applyNumberFormat="1"/>
    <xf numFmtId="169" fontId="0" fillId="19" borderId="46" xfId="0" applyNumberFormat="1" applyFill="1" applyBorder="1" applyAlignment="1">
      <alignment horizontal="center"/>
    </xf>
    <xf numFmtId="169" fontId="0" fillId="19" borderId="33" xfId="0" applyNumberFormat="1" applyFill="1" applyBorder="1" applyAlignment="1">
      <alignment horizontal="center"/>
    </xf>
    <xf numFmtId="167" fontId="3" fillId="0" borderId="27" xfId="0" applyNumberFormat="1" applyFont="1" applyFill="1" applyBorder="1" applyAlignment="1">
      <alignment horizontal="center"/>
    </xf>
    <xf numFmtId="166" fontId="3" fillId="6" borderId="21" xfId="0" applyNumberFormat="1" applyFont="1" applyFill="1" applyBorder="1" applyAlignment="1">
      <alignment horizontal="center" vertical="center"/>
    </xf>
    <xf numFmtId="166" fontId="3" fillId="25" borderId="1" xfId="0" applyNumberFormat="1" applyFont="1" applyFill="1" applyBorder="1" applyAlignment="1">
      <alignment horizontal="center"/>
    </xf>
    <xf numFmtId="166" fontId="3" fillId="25" borderId="17" xfId="0" applyNumberFormat="1" applyFont="1" applyFill="1" applyBorder="1" applyAlignment="1">
      <alignment horizontal="center"/>
    </xf>
    <xf numFmtId="166" fontId="3" fillId="25" borderId="18" xfId="0" applyNumberFormat="1" applyFont="1" applyFill="1" applyBorder="1" applyAlignment="1">
      <alignment horizontal="center"/>
    </xf>
    <xf numFmtId="166" fontId="3" fillId="3" borderId="29" xfId="0" applyNumberFormat="1" applyFont="1" applyFill="1" applyBorder="1" applyAlignment="1">
      <alignment horizontal="center"/>
    </xf>
    <xf numFmtId="166" fontId="3" fillId="30" borderId="48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166" fontId="3" fillId="6" borderId="3" xfId="0" applyNumberFormat="1" applyFont="1" applyFill="1" applyBorder="1" applyAlignment="1">
      <alignment horizontal="center"/>
    </xf>
    <xf numFmtId="166" fontId="3" fillId="3" borderId="67" xfId="0" applyNumberFormat="1" applyFont="1" applyFill="1" applyBorder="1" applyAlignment="1">
      <alignment horizontal="center"/>
    </xf>
    <xf numFmtId="166" fontId="3" fillId="4" borderId="48" xfId="0" applyNumberFormat="1" applyFont="1" applyFill="1" applyBorder="1" applyAlignment="1">
      <alignment horizontal="center"/>
    </xf>
    <xf numFmtId="167" fontId="3" fillId="4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167" fontId="0" fillId="0" borderId="0" xfId="0" applyNumberFormat="1"/>
    <xf numFmtId="167" fontId="3" fillId="6" borderId="71" xfId="0" applyNumberFormat="1" applyFont="1" applyFill="1" applyBorder="1" applyAlignment="1">
      <alignment horizontal="center" vertical="center"/>
    </xf>
    <xf numFmtId="167" fontId="3" fillId="24" borderId="59" xfId="0" applyNumberFormat="1" applyFont="1" applyFill="1" applyBorder="1" applyAlignment="1">
      <alignment horizontal="center"/>
    </xf>
    <xf numFmtId="167" fontId="3" fillId="24" borderId="29" xfId="0" applyNumberFormat="1" applyFont="1" applyFill="1" applyBorder="1" applyAlignment="1">
      <alignment horizontal="center"/>
    </xf>
    <xf numFmtId="167" fontId="3" fillId="24" borderId="67" xfId="0" applyNumberFormat="1" applyFont="1" applyFill="1" applyBorder="1" applyAlignment="1">
      <alignment horizontal="center"/>
    </xf>
    <xf numFmtId="177" fontId="3" fillId="23" borderId="26" xfId="0" applyNumberFormat="1" applyFont="1" applyFill="1" applyBorder="1" applyAlignment="1">
      <alignment horizontal="center"/>
    </xf>
    <xf numFmtId="177" fontId="3" fillId="23" borderId="73" xfId="0" applyNumberFormat="1" applyFont="1" applyFill="1" applyBorder="1" applyAlignment="1">
      <alignment horizontal="center"/>
    </xf>
    <xf numFmtId="169" fontId="2" fillId="23" borderId="3" xfId="0" applyNumberFormat="1" applyFont="1" applyFill="1" applyBorder="1" applyAlignment="1">
      <alignment horizontal="center"/>
    </xf>
    <xf numFmtId="169" fontId="2" fillId="23" borderId="15" xfId="0" applyNumberFormat="1" applyFont="1" applyFill="1" applyBorder="1" applyAlignment="1">
      <alignment horizontal="center"/>
    </xf>
    <xf numFmtId="167" fontId="2" fillId="4" borderId="16" xfId="0" applyNumberFormat="1" applyFont="1" applyFill="1" applyBorder="1" applyAlignment="1">
      <alignment horizontal="center"/>
    </xf>
    <xf numFmtId="166" fontId="2" fillId="7" borderId="0" xfId="0" applyNumberFormat="1" applyFont="1" applyFill="1" applyBorder="1" applyAlignment="1">
      <alignment horizontal="left"/>
    </xf>
    <xf numFmtId="169" fontId="2" fillId="22" borderId="8" xfId="0" applyNumberFormat="1" applyFont="1" applyFill="1" applyBorder="1" applyAlignment="1">
      <alignment horizontal="center"/>
    </xf>
    <xf numFmtId="171" fontId="3" fillId="24" borderId="29" xfId="0" applyNumberFormat="1" applyFont="1" applyFill="1" applyBorder="1" applyAlignment="1">
      <alignment horizontal="center"/>
    </xf>
    <xf numFmtId="167" fontId="3" fillId="0" borderId="59" xfId="0" applyNumberFormat="1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/>
    </xf>
    <xf numFmtId="167" fontId="3" fillId="2" borderId="2" xfId="0" applyNumberFormat="1" applyFont="1" applyFill="1" applyBorder="1" applyAlignment="1">
      <alignment horizontal="center"/>
    </xf>
    <xf numFmtId="166" fontId="3" fillId="23" borderId="28" xfId="0" applyNumberFormat="1" applyFont="1" applyFill="1" applyBorder="1" applyAlignment="1">
      <alignment horizontal="center"/>
    </xf>
    <xf numFmtId="169" fontId="2" fillId="23" borderId="40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169" fontId="2" fillId="23" borderId="4" xfId="0" applyNumberFormat="1" applyFont="1" applyFill="1" applyBorder="1" applyAlignment="1">
      <alignment horizontal="center"/>
    </xf>
    <xf numFmtId="166" fontId="2" fillId="23" borderId="4" xfId="0" applyNumberFormat="1" applyFont="1" applyFill="1" applyBorder="1" applyAlignment="1">
      <alignment horizontal="center"/>
    </xf>
    <xf numFmtId="166" fontId="2" fillId="23" borderId="5" xfId="0" applyNumberFormat="1" applyFont="1" applyFill="1" applyBorder="1" applyAlignment="1">
      <alignment horizontal="center"/>
    </xf>
    <xf numFmtId="168" fontId="0" fillId="28" borderId="31" xfId="0" applyNumberFormat="1" applyFill="1" applyBorder="1" applyAlignment="1">
      <alignment horizontal="center"/>
    </xf>
    <xf numFmtId="168" fontId="0" fillId="28" borderId="2" xfId="0" applyNumberFormat="1" applyFill="1" applyBorder="1" applyAlignment="1">
      <alignment horizontal="center"/>
    </xf>
    <xf numFmtId="0" fontId="0" fillId="20" borderId="19" xfId="0" applyFont="1" applyFill="1" applyBorder="1" applyAlignment="1">
      <alignment horizontal="center" vertical="center"/>
    </xf>
    <xf numFmtId="166" fontId="2" fillId="22" borderId="39" xfId="0" applyNumberFormat="1" applyFont="1" applyFill="1" applyBorder="1" applyAlignment="1">
      <alignment horizontal="center"/>
    </xf>
    <xf numFmtId="166" fontId="2" fillId="22" borderId="4" xfId="0" applyNumberFormat="1" applyFont="1" applyFill="1" applyBorder="1" applyAlignment="1">
      <alignment horizontal="center"/>
    </xf>
    <xf numFmtId="169" fontId="2" fillId="22" borderId="24" xfId="0" applyNumberFormat="1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166" fontId="0" fillId="31" borderId="1" xfId="0" applyNumberFormat="1" applyFill="1" applyBorder="1" applyAlignment="1">
      <alignment horizontal="center"/>
    </xf>
    <xf numFmtId="167" fontId="2" fillId="23" borderId="26" xfId="0" applyNumberFormat="1" applyFont="1" applyFill="1" applyBorder="1" applyAlignment="1">
      <alignment horizontal="center"/>
    </xf>
    <xf numFmtId="167" fontId="2" fillId="20" borderId="1" xfId="0" applyNumberFormat="1" applyFont="1" applyFill="1" applyBorder="1" applyAlignment="1">
      <alignment horizontal="center" vertical="center"/>
    </xf>
    <xf numFmtId="169" fontId="2" fillId="22" borderId="14" xfId="0" applyNumberFormat="1" applyFont="1" applyFill="1" applyBorder="1" applyAlignment="1">
      <alignment horizontal="center"/>
    </xf>
    <xf numFmtId="0" fontId="2" fillId="20" borderId="14" xfId="0" applyFont="1" applyFill="1" applyBorder="1" applyAlignment="1">
      <alignment horizontal="center" vertical="center"/>
    </xf>
    <xf numFmtId="167" fontId="2" fillId="23" borderId="2" xfId="0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169" fontId="2" fillId="22" borderId="15" xfId="0" applyNumberFormat="1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33" xfId="0" applyBorder="1" applyAlignment="1"/>
    <xf numFmtId="0" fontId="0" fillId="6" borderId="2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66" fontId="0" fillId="3" borderId="29" xfId="0" applyNumberFormat="1" applyFill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6" fontId="2" fillId="4" borderId="29" xfId="0" applyNumberFormat="1" applyFont="1" applyFill="1" applyBorder="1" applyAlignment="1">
      <alignment horizontal="center"/>
    </xf>
    <xf numFmtId="167" fontId="2" fillId="4" borderId="29" xfId="0" applyNumberFormat="1" applyFont="1" applyFill="1" applyBorder="1" applyAlignment="1">
      <alignment horizontal="center"/>
    </xf>
    <xf numFmtId="169" fontId="3" fillId="6" borderId="6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66" fontId="3" fillId="6" borderId="1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6" fontId="0" fillId="6" borderId="14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78" fontId="6" fillId="10" borderId="70" xfId="0" applyNumberFormat="1" applyFont="1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169" fontId="3" fillId="6" borderId="14" xfId="0" applyNumberFormat="1" applyFont="1" applyFill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5" fillId="3" borderId="65" xfId="0" applyNumberFormat="1" applyFon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66" xfId="0" applyNumberFormat="1" applyFon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47" xfId="0" applyBorder="1" applyAlignment="1"/>
    <xf numFmtId="0" fontId="5" fillId="6" borderId="51" xfId="0" applyFont="1" applyFill="1" applyBorder="1" applyAlignment="1">
      <alignment horizontal="center"/>
    </xf>
    <xf numFmtId="0" fontId="0" fillId="0" borderId="30" xfId="0" applyBorder="1" applyAlignment="1"/>
    <xf numFmtId="0" fontId="0" fillId="0" borderId="50" xfId="0" applyBorder="1" applyAlignment="1"/>
    <xf numFmtId="166" fontId="3" fillId="6" borderId="62" xfId="0" applyNumberFormat="1" applyFont="1" applyFill="1" applyBorder="1" applyAlignment="1">
      <alignment horizontal="center"/>
    </xf>
    <xf numFmtId="0" fontId="3" fillId="0" borderId="72" xfId="0" applyFont="1" applyBorder="1" applyAlignment="1"/>
    <xf numFmtId="166" fontId="5" fillId="6" borderId="19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51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19" xfId="0" applyNumberFormat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6" fontId="3" fillId="6" borderId="24" xfId="0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166" fontId="5" fillId="23" borderId="53" xfId="0" applyNumberFormat="1" applyFont="1" applyFill="1" applyBorder="1" applyAlignment="1">
      <alignment horizontal="center"/>
    </xf>
    <xf numFmtId="166" fontId="5" fillId="23" borderId="3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6" borderId="14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3" fillId="6" borderId="53" xfId="0" applyFont="1" applyFill="1" applyBorder="1" applyAlignment="1">
      <alignment horizontal="center"/>
    </xf>
    <xf numFmtId="0" fontId="0" fillId="0" borderId="68" xfId="0" applyBorder="1" applyAlignment="1">
      <alignment horizontal="center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22" borderId="53" xfId="0" applyFont="1" applyFill="1" applyBorder="1" applyAlignment="1">
      <alignment horizontal="center"/>
    </xf>
    <xf numFmtId="0" fontId="0" fillId="22" borderId="68" xfId="0" applyFill="1" applyBorder="1" applyAlignment="1">
      <alignment horizontal="center"/>
    </xf>
    <xf numFmtId="0" fontId="2" fillId="6" borderId="1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6" xfId="0" applyFont="1" applyFill="1" applyBorder="1" applyAlignment="1">
      <alignment horizontal="center"/>
    </xf>
    <xf numFmtId="0" fontId="2" fillId="6" borderId="54" xfId="0" applyFont="1" applyFill="1" applyBorder="1" applyAlignment="1">
      <alignment horizontal="center"/>
    </xf>
    <xf numFmtId="166" fontId="2" fillId="6" borderId="49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/>
    </xf>
    <xf numFmtId="0" fontId="0" fillId="0" borderId="35" xfId="0" applyBorder="1"/>
    <xf numFmtId="0" fontId="0" fillId="0" borderId="54" xfId="0" applyBorder="1" applyAlignment="1">
      <alignment horizontal="center"/>
    </xf>
    <xf numFmtId="0" fontId="2" fillId="6" borderId="53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2" fillId="6" borderId="20" xfId="0" applyFont="1" applyFill="1" applyBorder="1" applyAlignment="1">
      <alignment horizontal="center"/>
    </xf>
    <xf numFmtId="166" fontId="0" fillId="6" borderId="19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2" fillId="6" borderId="14" xfId="0" applyNumberFormat="1" applyFont="1" applyFill="1" applyBorder="1" applyAlignment="1">
      <alignment horizontal="center" vertical="center" wrapText="1"/>
    </xf>
    <xf numFmtId="0" fontId="0" fillId="6" borderId="37" xfId="0" applyFill="1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12" xfId="0" applyBorder="1"/>
    <xf numFmtId="166" fontId="0" fillId="6" borderId="24" xfId="0" applyNumberForma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179" fontId="3" fillId="6" borderId="11" xfId="0" applyNumberFormat="1" applyFont="1" applyFill="1" applyBorder="1" applyAlignment="1">
      <alignment horizontal="center"/>
    </xf>
    <xf numFmtId="179" fontId="3" fillId="6" borderId="35" xfId="0" applyNumberFormat="1" applyFont="1" applyFill="1" applyBorder="1" applyAlignment="1">
      <alignment horizontal="center"/>
    </xf>
    <xf numFmtId="0" fontId="7" fillId="3" borderId="20" xfId="0" applyNumberFormat="1" applyFont="1" applyFill="1" applyBorder="1" applyAlignment="1">
      <alignment horizontal="center" vertical="center" textRotation="90"/>
    </xf>
    <xf numFmtId="0" fontId="7" fillId="3" borderId="69" xfId="0" applyNumberFormat="1" applyFont="1" applyFill="1" applyBorder="1" applyAlignment="1">
      <alignment horizontal="center" vertical="center" textRotation="90"/>
    </xf>
    <xf numFmtId="0" fontId="7" fillId="3" borderId="62" xfId="0" applyNumberFormat="1" applyFont="1" applyFill="1" applyBorder="1" applyAlignment="1">
      <alignment horizontal="center" vertical="center" textRotation="90"/>
    </xf>
    <xf numFmtId="164" fontId="3" fillId="12" borderId="53" xfId="1" applyFont="1" applyFill="1" applyBorder="1" applyAlignment="1">
      <alignment horizontal="center"/>
    </xf>
    <xf numFmtId="164" fontId="3" fillId="12" borderId="34" xfId="1" applyFont="1" applyFill="1" applyBorder="1" applyAlignment="1">
      <alignment horizontal="center"/>
    </xf>
    <xf numFmtId="0" fontId="3" fillId="12" borderId="53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7" fillId="4" borderId="20" xfId="0" applyNumberFormat="1" applyFont="1" applyFill="1" applyBorder="1" applyAlignment="1">
      <alignment horizontal="center" vertical="center" textRotation="90"/>
    </xf>
    <xf numFmtId="0" fontId="7" fillId="4" borderId="69" xfId="0" applyNumberFormat="1" applyFont="1" applyFill="1" applyBorder="1" applyAlignment="1">
      <alignment horizontal="center" vertical="center" textRotation="90"/>
    </xf>
    <xf numFmtId="0" fontId="0" fillId="4" borderId="62" xfId="0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FF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Payoff - % ao ano (calculado pela média)</a:t>
            </a:r>
          </a:p>
        </c:rich>
      </c:tx>
      <c:layout>
        <c:manualLayout>
          <c:xMode val="edge"/>
          <c:yMode val="edge"/>
          <c:x val="0.27890724139056328"/>
          <c:y val="2.0446194225721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410521797982798E-2"/>
          <c:y val="0.11783720046641424"/>
          <c:w val="0.87768104458640794"/>
          <c:h val="0.8229546858113323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47961548323333475"/>
                  <c:y val="0.10438502478856809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trendline>
            <c:trendlineType val="linear"/>
            <c:dispRSqr val="0"/>
            <c:dispEq val="0"/>
          </c:trendline>
          <c:trendline>
            <c:trendlineType val="exp"/>
            <c:dispRSqr val="1"/>
            <c:dispEq val="1"/>
            <c:trendlineLbl>
              <c:layout>
                <c:manualLayout>
                  <c:x val="-0.46192454184789955"/>
                  <c:y val="0.31271835812190141"/>
                </c:manualLayout>
              </c:layout>
              <c:numFmt formatCode="General" sourceLinked="0"/>
            </c:trendlineLbl>
          </c:trendline>
          <c:trendline>
            <c:trendlineType val="log"/>
            <c:dispRSqr val="1"/>
            <c:dispEq val="1"/>
            <c:trendlineLbl>
              <c:layout>
                <c:manualLayout>
                  <c:x val="-9.5340764464832653E-2"/>
                  <c:y val="-2.096456692913386E-3"/>
                </c:manualLayout>
              </c:layout>
              <c:numFmt formatCode="General" sourceLinked="0"/>
            </c:trendlineLbl>
          </c:trendline>
          <c:val>
            <c:numRef>
              <c:f>Cy!$N$22:$N$24</c:f>
              <c:numCache>
                <c:formatCode>#,##0.00;[Red]#,##0.00</c:formatCode>
                <c:ptCount val="3"/>
                <c:pt idx="0">
                  <c:v>31.54</c:v>
                </c:pt>
                <c:pt idx="1">
                  <c:v>41.32</c:v>
                </c:pt>
                <c:pt idx="2">
                  <c:v>43.24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455680"/>
        <c:axId val="94457216"/>
      </c:barChart>
      <c:catAx>
        <c:axId val="9445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445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457216"/>
        <c:scaling>
          <c:orientation val="minMax"/>
          <c:min val="3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44556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0.22273224335922356"/>
                  <c:y val="-0.40042184627665306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DDCy!$L$3:$L$12</c:f>
              <c:numCache>
                <c:formatCode>General</c:formatCode>
                <c:ptCount val="10"/>
                <c:pt idx="0">
                  <c:v>2.42</c:v>
                </c:pt>
                <c:pt idx="1">
                  <c:v>4.84</c:v>
                </c:pt>
                <c:pt idx="2">
                  <c:v>7.26</c:v>
                </c:pt>
                <c:pt idx="3">
                  <c:v>9.68</c:v>
                </c:pt>
                <c:pt idx="4">
                  <c:v>12.1</c:v>
                </c:pt>
                <c:pt idx="5">
                  <c:v>14.52</c:v>
                </c:pt>
                <c:pt idx="6">
                  <c:v>16.939999999999998</c:v>
                </c:pt>
                <c:pt idx="7">
                  <c:v>19.36</c:v>
                </c:pt>
                <c:pt idx="8">
                  <c:v>21.78</c:v>
                </c:pt>
                <c:pt idx="9" formatCode="#,##0.00;[Red]#,##0.00">
                  <c:v>30</c:v>
                </c:pt>
              </c:numCache>
            </c:numRef>
          </c:xVal>
          <c:yVal>
            <c:numRef>
              <c:f>DDCy!$P$3:$P$12</c:f>
              <c:numCache>
                <c:formatCode>General</c:formatCode>
                <c:ptCount val="10"/>
                <c:pt idx="0">
                  <c:v>0.95238095238095233</c:v>
                </c:pt>
                <c:pt idx="1">
                  <c:v>4.7619047619047616E-2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17984"/>
        <c:axId val="94619520"/>
      </c:scatterChart>
      <c:valAx>
        <c:axId val="94617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4619520"/>
        <c:crosses val="autoZero"/>
        <c:crossBetween val="midCat"/>
      </c:valAx>
      <c:valAx>
        <c:axId val="94619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46179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3.3456359575298994E-2"/>
                  <c:y val="-0.40449722473215438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DDCy!$C$3:$C$23</c:f>
              <c:numCache>
                <c:formatCode>#,##0.00;[Red]#,##0.00</c:formatCode>
                <c:ptCount val="21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  <c:pt idx="9">
                  <c:v>0.06</c:v>
                </c:pt>
                <c:pt idx="10">
                  <c:v>0.15</c:v>
                </c:pt>
                <c:pt idx="11">
                  <c:v>0.05</c:v>
                </c:pt>
                <c:pt idx="12">
                  <c:v>0.53</c:v>
                </c:pt>
                <c:pt idx="13">
                  <c:v>0.19</c:v>
                </c:pt>
                <c:pt idx="14">
                  <c:v>0.42</c:v>
                </c:pt>
                <c:pt idx="15">
                  <c:v>0.04</c:v>
                </c:pt>
                <c:pt idx="16">
                  <c:v>0.78</c:v>
                </c:pt>
                <c:pt idx="17">
                  <c:v>0.18</c:v>
                </c:pt>
                <c:pt idx="18">
                  <c:v>2.42</c:v>
                </c:pt>
                <c:pt idx="19">
                  <c:v>2.5099999999999998</c:v>
                </c:pt>
                <c:pt idx="20">
                  <c:v>0.34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33504"/>
        <c:axId val="94535040"/>
      </c:barChart>
      <c:catAx>
        <c:axId val="94533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453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5350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4533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39481690477464215"/>
                  <c:y val="-0.12115864700703709"/>
                </c:manualLayout>
              </c:layout>
              <c:numFmt formatCode="General" sourceLinked="0"/>
            </c:trendlineLbl>
          </c:trendline>
          <c:trendline>
            <c:trendlineType val="log"/>
            <c:dispRSqr val="1"/>
            <c:dispEq val="1"/>
            <c:trendlineLbl>
              <c:layout>
                <c:manualLayout>
                  <c:x val="-4.3228588056643827E-2"/>
                  <c:y val="-0.17863158916787167"/>
                </c:manualLayout>
              </c:layout>
              <c:numFmt formatCode="General" sourceLinked="0"/>
            </c:trendlineLbl>
          </c:trendline>
          <c:trendline>
            <c:trendlineType val="exp"/>
            <c:dispRSqr val="1"/>
            <c:dispEq val="1"/>
            <c:trendlineLbl>
              <c:layout>
                <c:manualLayout>
                  <c:x val="-0.17202296711972373"/>
                  <c:y val="0.44021046759934129"/>
                </c:manualLayout>
              </c:layout>
              <c:numFmt formatCode="General" sourceLinked="0"/>
            </c:trendlineLbl>
          </c:trendline>
          <c:xVal>
            <c:numRef>
              <c:f>DDCy!$C$3:$C$23</c:f>
              <c:numCache>
                <c:formatCode>#,##0.00;[Red]#,##0.00</c:formatCode>
                <c:ptCount val="21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  <c:pt idx="9">
                  <c:v>0.06</c:v>
                </c:pt>
                <c:pt idx="10">
                  <c:v>0.15</c:v>
                </c:pt>
                <c:pt idx="11">
                  <c:v>0.05</c:v>
                </c:pt>
                <c:pt idx="12">
                  <c:v>0.53</c:v>
                </c:pt>
                <c:pt idx="13">
                  <c:v>0.19</c:v>
                </c:pt>
                <c:pt idx="14">
                  <c:v>0.42</c:v>
                </c:pt>
                <c:pt idx="15">
                  <c:v>0.04</c:v>
                </c:pt>
                <c:pt idx="16">
                  <c:v>0.78</c:v>
                </c:pt>
                <c:pt idx="17">
                  <c:v>0.18</c:v>
                </c:pt>
                <c:pt idx="18">
                  <c:v>2.42</c:v>
                </c:pt>
                <c:pt idx="19">
                  <c:v>2.5099999999999998</c:v>
                </c:pt>
                <c:pt idx="20">
                  <c:v>0.34</c:v>
                </c:pt>
              </c:numCache>
            </c:numRef>
          </c:xVal>
          <c:yVal>
            <c:numRef>
              <c:f>DDCy!$D$3:$D$23</c:f>
              <c:numCache>
                <c:formatCode>#,##0.00;[Red]#,##0.00</c:formatCode>
                <c:ptCount val="21"/>
                <c:pt idx="0">
                  <c:v>7.9241394056276226E-2</c:v>
                </c:pt>
                <c:pt idx="1">
                  <c:v>0.19288414782487628</c:v>
                </c:pt>
                <c:pt idx="2">
                  <c:v>0.23274089563169967</c:v>
                </c:pt>
                <c:pt idx="3">
                  <c:v>1.1548477802926116E-2</c:v>
                </c:pt>
                <c:pt idx="4">
                  <c:v>0.34582975415341299</c:v>
                </c:pt>
                <c:pt idx="5">
                  <c:v>0.31585393812603124</c:v>
                </c:pt>
                <c:pt idx="6">
                  <c:v>0.24838989321671565</c:v>
                </c:pt>
                <c:pt idx="7">
                  <c:v>0.17816113222193314</c:v>
                </c:pt>
                <c:pt idx="8">
                  <c:v>0.22886506494184342</c:v>
                </c:pt>
                <c:pt idx="9">
                  <c:v>0.2132947914337591</c:v>
                </c:pt>
                <c:pt idx="10">
                  <c:v>8.9088014215203015E-2</c:v>
                </c:pt>
                <c:pt idx="11">
                  <c:v>0.18486241068760859</c:v>
                </c:pt>
                <c:pt idx="12">
                  <c:v>0.24049050540688383</c:v>
                </c:pt>
                <c:pt idx="13">
                  <c:v>0.10047332493280881</c:v>
                </c:pt>
                <c:pt idx="14">
                  <c:v>0.29757253096800679</c:v>
                </c:pt>
                <c:pt idx="15">
                  <c:v>0.23303341547714776</c:v>
                </c:pt>
                <c:pt idx="16">
                  <c:v>0.41983695627747741</c:v>
                </c:pt>
                <c:pt idx="17">
                  <c:v>0.47235923452532147</c:v>
                </c:pt>
                <c:pt idx="18">
                  <c:v>0.57086576824383295</c:v>
                </c:pt>
                <c:pt idx="19">
                  <c:v>0.73300546196866656</c:v>
                </c:pt>
                <c:pt idx="20">
                  <c:v>0.53641747300548059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946240"/>
        <c:axId val="95947776"/>
      </c:scatterChart>
      <c:valAx>
        <c:axId val="95946240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5947776"/>
        <c:crosses val="autoZero"/>
        <c:crossBetween val="midCat"/>
      </c:valAx>
      <c:valAx>
        <c:axId val="95947776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59462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393413152123108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2.5575546886094758</c:v>
                </c:pt>
                <c:pt idx="1">
                  <c:v>5.0330655878016106</c:v>
                </c:pt>
                <c:pt idx="2">
                  <c:v>7.4304507493853533</c:v>
                </c:pt>
                <c:pt idx="3">
                  <c:v>9.753212462558313</c:v>
                </c:pt>
                <c:pt idx="4">
                  <c:v>12.004494395542608</c:v>
                </c:pt>
                <c:pt idx="5">
                  <c:v>14.187128781965308</c:v>
                </c:pt>
                <c:pt idx="6">
                  <c:v>16.303675696294427</c:v>
                </c:pt>
                <c:pt idx="7">
                  <c:v>18.356455982203322</c:v>
                </c:pt>
                <c:pt idx="8">
                  <c:v>20.34757904329123</c:v>
                </c:pt>
                <c:pt idx="9">
                  <c:v>22.278966440888404</c:v>
                </c:pt>
                <c:pt idx="10">
                  <c:v>24.152372043762014</c:v>
                </c:pt>
                <c:pt idx="11">
                  <c:v>25.969399321973398</c:v>
                </c:pt>
                <c:pt idx="12">
                  <c:v>27.731516259577237</c:v>
                </c:pt>
                <c:pt idx="13">
                  <c:v>29.440068269441234</c:v>
                </c:pt>
                <c:pt idx="14">
                  <c:v>31.09628942178615</c:v>
                </c:pt>
                <c:pt idx="15">
                  <c:v>32.70131224139574</c:v>
                </c:pt>
                <c:pt idx="16">
                  <c:v>34.256176283334774</c:v>
                </c:pt>
                <c:pt idx="17">
                  <c:v>35.761835660842969</c:v>
                </c:pt>
                <c:pt idx="18">
                  <c:v>37.219165669873846</c:v>
                </c:pt>
                <c:pt idx="19">
                  <c:v>38.628968631029267</c:v>
                </c:pt>
                <c:pt idx="20">
                  <c:v>39.9919790502558</c:v>
                </c:pt>
                <c:pt idx="21">
                  <c:v>41.308868183735761</c:v>
                </c:pt>
                <c:pt idx="22">
                  <c:v>42.580248079233996</c:v>
                </c:pt>
                <c:pt idx="23">
                  <c:v>43.806675155213256</c:v>
                </c:pt>
                <c:pt idx="24">
                  <c:v>44.988653369882201</c:v>
                </c:pt>
                <c:pt idx="25">
                  <c:v>46.126637024654535</c:v>
                </c:pt>
                <c:pt idx="26">
                  <c:v>47.221033240003088</c:v>
                </c:pt>
                <c:pt idx="27">
                  <c:v>48.272204136178857</c:v>
                </c:pt>
                <c:pt idx="28">
                  <c:v>49.280468746553318</c:v>
                </c:pt>
                <c:pt idx="29">
                  <c:v>50.246104687291535</c:v>
                </c:pt>
                <c:pt idx="30">
                  <c:v>51.169349603561386</c:v>
                </c:pt>
                <c:pt idx="31">
                  <c:v>52.05040240943093</c:v>
                </c:pt>
                <c:pt idx="32">
                  <c:v>52.889424335924829</c:v>
                </c:pt>
                <c:pt idx="33">
                  <c:v>53.686539799336977</c:v>
                </c:pt>
                <c:pt idx="34">
                  <c:v>54.441837099770574</c:v>
                </c:pt>
                <c:pt idx="35">
                  <c:v>55.155368957956298</c:v>
                </c:pt>
                <c:pt idx="36">
                  <c:v>55.827152896638886</c:v>
                </c:pt>
                <c:pt idx="37">
                  <c:v>56.457171471189049</c:v>
                </c:pt>
                <c:pt idx="38">
                  <c:v>57.045372352559134</c:v>
                </c:pt>
                <c:pt idx="39">
                  <c:v>57.591668264226037</c:v>
                </c:pt>
                <c:pt idx="40">
                  <c:v>58.095936773331957</c:v>
                </c:pt>
                <c:pt idx="41">
                  <c:v>58.558019934809067</c:v>
                </c:pt>
                <c:pt idx="42">
                  <c:v>58.977723785842564</c:v>
                </c:pt>
                <c:pt idx="43">
                  <c:v>59.354817686552863</c:v>
                </c:pt>
                <c:pt idx="44">
                  <c:v>59.689033501245817</c:v>
                </c:pt>
                <c:pt idx="45">
                  <c:v>59.980064612951352</c:v>
                </c:pt>
                <c:pt idx="46">
                  <c:v>60.227564762226123</c:v>
                </c:pt>
                <c:pt idx="47">
                  <c:v>60.431146699295169</c:v>
                </c:pt>
                <c:pt idx="48">
                  <c:v>60.590380636513295</c:v>
                </c:pt>
                <c:pt idx="49">
                  <c:v>60.70479248580196</c:v>
                </c:pt>
                <c:pt idx="50">
                  <c:v>60.773861863104337</c:v>
                </c:pt>
                <c:pt idx="51">
                  <c:v>60.797019838948607</c:v>
                </c:pt>
                <c:pt idx="52">
                  <c:v>60.773646410842439</c:v>
                </c:pt>
                <c:pt idx="53">
                  <c:v>60.703067669365552</c:v>
                </c:pt>
                <c:pt idx="54">
                  <c:v>60.584552625374279</c:v>
                </c:pt>
                <c:pt idx="55">
                  <c:v>60.417309660574617</c:v>
                </c:pt>
                <c:pt idx="56">
                  <c:v>60.200482557703829</c:v>
                </c:pt>
                <c:pt idx="57">
                  <c:v>59.933146059518762</c:v>
                </c:pt>
                <c:pt idx="58">
                  <c:v>59.614300897502368</c:v>
                </c:pt>
                <c:pt idx="59">
                  <c:v>59.242868221398901</c:v>
                </c:pt>
                <c:pt idx="60">
                  <c:v>58.817683349057504</c:v>
                </c:pt>
                <c:pt idx="61">
                  <c:v>58.337488742174948</c:v>
                </c:pt>
                <c:pt idx="62">
                  <c:v>57.800926096885583</c:v>
                </c:pt>
                <c:pt idx="63">
                  <c:v>57.206527418090488</c:v>
                </c:pt>
                <c:pt idx="64">
                  <c:v>56.552704922133998</c:v>
                </c:pt>
                <c:pt idx="65">
                  <c:v>55.837739582876658</c:v>
                </c:pt>
                <c:pt idx="66">
                  <c:v>55.0597681000337</c:v>
                </c:pt>
                <c:pt idx="67">
                  <c:v>54.21676802411519</c:v>
                </c:pt>
                <c:pt idx="68">
                  <c:v>53.30654071714762</c:v>
                </c:pt>
                <c:pt idx="69">
                  <c:v>52.326691759622257</c:v>
                </c:pt>
                <c:pt idx="70">
                  <c:v>51.274608327865636</c:v>
                </c:pt>
                <c:pt idx="71">
                  <c:v>50.147432957037587</c:v>
                </c:pt>
                <c:pt idx="72">
                  <c:v>48.942032966181358</c:v>
                </c:pt>
                <c:pt idx="73">
                  <c:v>47.654964643606633</c:v>
                </c:pt>
                <c:pt idx="74">
                  <c:v>46.282431060230444</c:v>
                </c:pt>
                <c:pt idx="75">
                  <c:v>44.82023207708388</c:v>
                </c:pt>
                <c:pt idx="76">
                  <c:v>43.263704715377486</c:v>
                </c:pt>
                <c:pt idx="77">
                  <c:v>41.607651526828128</c:v>
                </c:pt>
                <c:pt idx="78">
                  <c:v>39.846253885792478</c:v>
                </c:pt>
                <c:pt idx="79">
                  <c:v>37.972966146121465</c:v>
                </c:pt>
                <c:pt idx="80">
                  <c:v>35.980385250036086</c:v>
                </c:pt>
                <c:pt idx="81">
                  <c:v>33.860088470377868</c:v>
                </c:pt>
                <c:pt idx="82">
                  <c:v>31.602429243864471</c:v>
                </c:pt>
                <c:pt idx="83">
                  <c:v>29.196277090095201</c:v>
                </c:pt>
                <c:pt idx="84">
                  <c:v>26.628681729468905</c:v>
                </c:pt>
                <c:pt idx="85">
                  <c:v>23.884432588551174</c:v>
                </c:pt>
                <c:pt idx="86">
                  <c:v>20.945470999101623</c:v>
                </c:pt>
                <c:pt idx="87">
                  <c:v>17.790090189422724</c:v>
                </c:pt>
                <c:pt idx="88">
                  <c:v>14.391821489907407</c:v>
                </c:pt>
                <c:pt idx="89">
                  <c:v>10.717842338912774</c:v>
                </c:pt>
                <c:pt idx="90">
                  <c:v>6.7266293337395533</c:v>
                </c:pt>
                <c:pt idx="91">
                  <c:v>2.3643683694552164</c:v>
                </c:pt>
                <c:pt idx="92">
                  <c:v>-2.4407877975001768</c:v>
                </c:pt>
                <c:pt idx="93">
                  <c:v>-7.7884306058866093</c:v>
                </c:pt>
                <c:pt idx="94">
                  <c:v>-13.823528372726434</c:v>
                </c:pt>
                <c:pt idx="95">
                  <c:v>-20.771616941421765</c:v>
                </c:pt>
                <c:pt idx="96">
                  <c:v>-29.019015032949248</c:v>
                </c:pt>
                <c:pt idx="97">
                  <c:v>-39.337094795439974</c:v>
                </c:pt>
                <c:pt idx="98">
                  <c:v>-53.792743940176656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014720"/>
        <c:axId val="96016640"/>
      </c:lineChart>
      <c:catAx>
        <c:axId val="960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016640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96016640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0147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CCh!$B$3:$B$23</c:f>
              <c:numCache>
                <c:formatCode>#,##0.00;[Red]#,##0.00</c:formatCode>
                <c:ptCount val="21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  <c:pt idx="9">
                  <c:v>6.3294791433759115E-2</c:v>
                </c:pt>
                <c:pt idx="10">
                  <c:v>-6.0911985784796979E-2</c:v>
                </c:pt>
                <c:pt idx="11">
                  <c:v>3.4862410687608585E-2</c:v>
                </c:pt>
                <c:pt idx="12">
                  <c:v>9.0490505406883831E-2</c:v>
                </c:pt>
                <c:pt idx="13">
                  <c:v>-4.9526675067191196E-2</c:v>
                </c:pt>
                <c:pt idx="14">
                  <c:v>0.14757253096800679</c:v>
                </c:pt>
                <c:pt idx="15">
                  <c:v>8.3033415477147765E-2</c:v>
                </c:pt>
                <c:pt idx="16">
                  <c:v>0.26983695627747745</c:v>
                </c:pt>
                <c:pt idx="17">
                  <c:v>0.32235923452532145</c:v>
                </c:pt>
                <c:pt idx="18">
                  <c:v>0.42086576824383298</c:v>
                </c:pt>
                <c:pt idx="19">
                  <c:v>0.58300546196866665</c:v>
                </c:pt>
                <c:pt idx="20">
                  <c:v>0.38641747300548063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CCh!$C$3:$C$23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CCh!$D$3:$D$23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17632"/>
        <c:axId val="95739904"/>
      </c:lineChart>
      <c:catAx>
        <c:axId val="9571763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5739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57399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7176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CRes!$I$2:$I$23</c:f>
              <c:numCache>
                <c:formatCode>#,##0.00;[Red]#,##0.00</c:formatCode>
                <c:ptCount val="22"/>
                <c:pt idx="0">
                  <c:v>33112.58</c:v>
                </c:pt>
                <c:pt idx="1">
                  <c:v>33089.15</c:v>
                </c:pt>
                <c:pt idx="2">
                  <c:v>33103.339999999997</c:v>
                </c:pt>
                <c:pt idx="3">
                  <c:v>33130.730000000003</c:v>
                </c:pt>
                <c:pt idx="4">
                  <c:v>33084.86</c:v>
                </c:pt>
                <c:pt idx="5">
                  <c:v>33149.65</c:v>
                </c:pt>
                <c:pt idx="6">
                  <c:v>33204.629999999997</c:v>
                </c:pt>
                <c:pt idx="7">
                  <c:v>33237.300000000003</c:v>
                </c:pt>
                <c:pt idx="8">
                  <c:v>33246.660000000003</c:v>
                </c:pt>
                <c:pt idx="9">
                  <c:v>33272.879999999997</c:v>
                </c:pt>
                <c:pt idx="10">
                  <c:v>33293.94</c:v>
                </c:pt>
                <c:pt idx="11">
                  <c:v>33273.660000000003</c:v>
                </c:pt>
                <c:pt idx="12">
                  <c:v>33285.26</c:v>
                </c:pt>
                <c:pt idx="13">
                  <c:v>33315.379999999997</c:v>
                </c:pt>
                <c:pt idx="14">
                  <c:v>33298.879999999997</c:v>
                </c:pt>
                <c:pt idx="15">
                  <c:v>33348.019999999997</c:v>
                </c:pt>
                <c:pt idx="16">
                  <c:v>33375.71</c:v>
                </c:pt>
                <c:pt idx="17">
                  <c:v>33465.769999999997</c:v>
                </c:pt>
                <c:pt idx="18">
                  <c:v>33573.65</c:v>
                </c:pt>
                <c:pt idx="19">
                  <c:v>33714.949999999997</c:v>
                </c:pt>
                <c:pt idx="20">
                  <c:v>33911.51</c:v>
                </c:pt>
                <c:pt idx="21">
                  <c:v>34042.550000000003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830016"/>
        <c:axId val="95831552"/>
      </c:lineChart>
      <c:catAx>
        <c:axId val="9583001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583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831552"/>
        <c:scaling>
          <c:orientation val="minMax"/>
          <c:min val="33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8300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CCh!$E$3:$E$23</c:f>
              <c:numCache>
                <c:formatCode>#,##0.0000;[Red]#,##0.0000</c:formatCode>
                <c:ptCount val="21"/>
                <c:pt idx="0">
                  <c:v>-7.075860594372152E-2</c:v>
                </c:pt>
                <c:pt idx="1">
                  <c:v>-1.3953374655328865E-2</c:v>
                </c:pt>
                <c:pt idx="2">
                  <c:v>1.8267664255988691E-2</c:v>
                </c:pt>
                <c:pt idx="3">
                  <c:v>-2.0935175063829803E-2</c:v>
                </c:pt>
                <c:pt idx="4">
                  <c:v>2.2380262115939686E-2</c:v>
                </c:pt>
                <c:pt idx="5">
                  <c:v>4.6278262237131607E-2</c:v>
                </c:pt>
                <c:pt idx="6">
                  <c:v>5.372111962747006E-2</c:v>
                </c:pt>
                <c:pt idx="7">
                  <c:v>5.0525764056064126E-2</c:v>
                </c:pt>
                <c:pt idx="8">
                  <c:v>5.3674178936091721E-2</c:v>
                </c:pt>
                <c:pt idx="9">
                  <c:v>5.4636198560453764E-2</c:v>
                </c:pt>
                <c:pt idx="10">
                  <c:v>4.4126300021996023E-2</c:v>
                </c:pt>
                <c:pt idx="11">
                  <c:v>4.3354276478324572E-2</c:v>
                </c:pt>
                <c:pt idx="12">
                  <c:v>4.6979352008658104E-2</c:v>
                </c:pt>
                <c:pt idx="13">
                  <c:v>4.0082975263056042E-2</c:v>
                </c:pt>
                <c:pt idx="14">
                  <c:v>4.7245354990455013E-2</c:v>
                </c:pt>
                <c:pt idx="15">
                  <c:v>4.9481733804634942E-2</c:v>
                </c:pt>
                <c:pt idx="16">
                  <c:v>6.2430390252776746E-2</c:v>
                </c:pt>
                <c:pt idx="17">
                  <c:v>7.6853197565207587E-2</c:v>
                </c:pt>
                <c:pt idx="18">
                  <c:v>9.4929706406654546E-2</c:v>
                </c:pt>
                <c:pt idx="19">
                  <c:v>0.11927714958774871</c:v>
                </c:pt>
                <c:pt idx="20">
                  <c:v>0.13198198235750969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CCh!$F$3:$F$23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CCh!$G$3:$G$23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CCh!$H$3:$H$23</c:f>
            </c:numRef>
          </c:val>
          <c:smooth val="0"/>
        </c:ser>
        <c:ser>
          <c:idx val="4"/>
          <c:order val="4"/>
          <c:marker>
            <c:symbol val="none"/>
          </c:marker>
          <c:val>
            <c:numRef>
              <c:f>CCh!$I$3:$I$23</c:f>
              <c:numCache>
                <c:formatCode>#,##0.00;[Red]#,##0.00</c:formatCode>
                <c:ptCount val="21"/>
                <c:pt idx="4" formatCode="#,##0.0000;[Red]#,##0.0000">
                  <c:v>0.19582975415342041</c:v>
                </c:pt>
                <c:pt idx="5" formatCode="#,##0.0000;[Red]#,##0.0000">
                  <c:v>0.18084072498032455</c:v>
                </c:pt>
                <c:pt idx="6" formatCode="#,##0.0000;[Red]#,##0.0000">
                  <c:v>0.15334957108970038</c:v>
                </c:pt>
                <c:pt idx="7" formatCode="#,##0.0000;[Red]#,##0.0000">
                  <c:v>0.12203778052730652</c:v>
                </c:pt>
                <c:pt idx="8" formatCode="#,##0.0000;[Red]#,##0.0000">
                  <c:v>0.11340174773557532</c:v>
                </c:pt>
                <c:pt idx="9" formatCode="#,##0.0000;[Red]#,##0.0000">
                  <c:v>0.10504884624746857</c:v>
                </c:pt>
                <c:pt idx="10" formatCode="#,##0.0000;[Red]#,##0.0000">
                  <c:v>8.1323293284274456E-2</c:v>
                </c:pt>
                <c:pt idx="11" formatCode="#,##0.0000;[Red]#,##0.0000">
                  <c:v>7.5514503084761486E-2</c:v>
                </c:pt>
                <c:pt idx="12" formatCode="#,##0.0000;[Red]#,##0.0000">
                  <c:v>7.717839268090998E-2</c:v>
                </c:pt>
                <c:pt idx="13" formatCode="#,##0.0000;[Red]#,##0.0000">
                  <c:v>6.4500661305366691E-2</c:v>
                </c:pt>
                <c:pt idx="14" formatCode="#,##0.0000;[Red]#,##0.0000">
                  <c:v>7.2049801173035277E-2</c:v>
                </c:pt>
                <c:pt idx="15" formatCode="#,##0.0000;[Red]#,##0.0000">
                  <c:v>7.2965056323748279E-2</c:v>
                </c:pt>
                <c:pt idx="16" formatCode="#,##0.0000;[Red]#,##0.0000">
                  <c:v>8.8095315546143915E-2</c:v>
                </c:pt>
                <c:pt idx="17" formatCode="#,##0.0000;[Red]#,##0.0000">
                  <c:v>0.10481029608688797</c:v>
                </c:pt>
                <c:pt idx="18" formatCode="#,##0.0000;[Red]#,##0.0000">
                  <c:v>0.12584967923601198</c:v>
                </c:pt>
                <c:pt idx="19" formatCode="#,##0.0000;[Red]#,##0.0000">
                  <c:v>0.15436094437983883</c:v>
                </c:pt>
                <c:pt idx="20" formatCode="#,##0.0000;[Red]#,##0.0000">
                  <c:v>0.16799646702851945</c:v>
                </c:pt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val>
            <c:numRef>
              <c:f>CCh!$J$3:$J$23</c:f>
            </c:numRef>
          </c:val>
          <c:smooth val="0"/>
        </c:ser>
        <c:ser>
          <c:idx val="6"/>
          <c:order val="6"/>
          <c:marker>
            <c:symbol val="none"/>
          </c:marker>
          <c:val>
            <c:numRef>
              <c:f>CCh!$K$3:$K$23</c:f>
            </c:numRef>
          </c:val>
          <c:smooth val="0"/>
        </c:ser>
        <c:ser>
          <c:idx val="7"/>
          <c:order val="7"/>
          <c:marker>
            <c:symbol val="none"/>
          </c:marker>
          <c:val>
            <c:numRef>
              <c:f>CCh!$L$3:$L$23</c:f>
              <c:numCache>
                <c:formatCode>#,##0.00;[Red]#,##0.00</c:formatCode>
                <c:ptCount val="21"/>
                <c:pt idx="16">
                  <c:v>0.2698369562774694</c:v>
                </c:pt>
                <c:pt idx="17">
                  <c:v>0.2960946573442147</c:v>
                </c:pt>
                <c:pt idx="18">
                  <c:v>0.33766779303077143</c:v>
                </c:pt>
                <c:pt idx="19">
                  <c:v>0.3989460515842369</c:v>
                </c:pt>
                <c:pt idx="20">
                  <c:v>0.39644021078586444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430336"/>
        <c:axId val="96432128"/>
      </c:lineChart>
      <c:catAx>
        <c:axId val="9643033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643212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432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430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30972163515190054"/>
                  <c:y val="-0.121707923764431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62908024264187878"/>
                  <c:y val="-5.0152162352254989E-2"/>
                </c:manualLayout>
              </c:layout>
              <c:numFmt formatCode="General" sourceLinked="0"/>
            </c:trendlineLbl>
          </c:trendline>
          <c:val>
            <c:numRef>
              <c:f>CLog!$H$3:$H$24</c:f>
              <c:numCache>
                <c:formatCode>#,##0.00;[Red]#,##0.00</c:formatCode>
                <c:ptCount val="22"/>
                <c:pt idx="0">
                  <c:v>112.58000000000175</c:v>
                </c:pt>
                <c:pt idx="1">
                  <c:v>89.150000000001455</c:v>
                </c:pt>
                <c:pt idx="2">
                  <c:v>103.33999999999651</c:v>
                </c:pt>
                <c:pt idx="3">
                  <c:v>130.7300000000032</c:v>
                </c:pt>
                <c:pt idx="4">
                  <c:v>84.860000000000582</c:v>
                </c:pt>
                <c:pt idx="5">
                  <c:v>149.65000000000146</c:v>
                </c:pt>
                <c:pt idx="6">
                  <c:v>204.62999999999738</c:v>
                </c:pt>
                <c:pt idx="7">
                  <c:v>237.30000000000291</c:v>
                </c:pt>
                <c:pt idx="8">
                  <c:v>246.66000000000349</c:v>
                </c:pt>
                <c:pt idx="9">
                  <c:v>272.87999999999738</c:v>
                </c:pt>
                <c:pt idx="10">
                  <c:v>293.94000000000233</c:v>
                </c:pt>
                <c:pt idx="11">
                  <c:v>273.66000000000349</c:v>
                </c:pt>
                <c:pt idx="12">
                  <c:v>285.26000000000204</c:v>
                </c:pt>
                <c:pt idx="13">
                  <c:v>315.37999999999738</c:v>
                </c:pt>
                <c:pt idx="14">
                  <c:v>298.87999999999738</c:v>
                </c:pt>
                <c:pt idx="15">
                  <c:v>348.0199999999968</c:v>
                </c:pt>
                <c:pt idx="16">
                  <c:v>375.70999999999913</c:v>
                </c:pt>
                <c:pt idx="17">
                  <c:v>465.7699999999968</c:v>
                </c:pt>
                <c:pt idx="18">
                  <c:v>573.65000000000146</c:v>
                </c:pt>
                <c:pt idx="19">
                  <c:v>714.94999999999709</c:v>
                </c:pt>
                <c:pt idx="20">
                  <c:v>911.51000000000204</c:v>
                </c:pt>
                <c:pt idx="21">
                  <c:v>1042.5500000000029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249728"/>
        <c:axId val="96251264"/>
      </c:barChart>
      <c:catAx>
        <c:axId val="9624972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625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2512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2497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14.189999999995052</c:v>
                </c:pt>
                <c:pt idx="2">
                  <c:v>20.790000000000873</c:v>
                </c:pt>
                <c:pt idx="3">
                  <c:v>20.790000000000873</c:v>
                </c:pt>
                <c:pt idx="4">
                  <c:v>35.456666666667537</c:v>
                </c:pt>
                <c:pt idx="5">
                  <c:v>40.337499999999636</c:v>
                </c:pt>
                <c:pt idx="6">
                  <c:v>38.804000000000812</c:v>
                </c:pt>
                <c:pt idx="7">
                  <c:v>33.896666666667443</c:v>
                </c:pt>
                <c:pt idx="8">
                  <c:v>32.799999999999791</c:v>
                </c:pt>
                <c:pt idx="9">
                  <c:v>31.332500000000437</c:v>
                </c:pt>
                <c:pt idx="10">
                  <c:v>31.332500000000437</c:v>
                </c:pt>
                <c:pt idx="11">
                  <c:v>29.140000000000228</c:v>
                </c:pt>
                <c:pt idx="12">
                  <c:v>29.237999999999737</c:v>
                </c:pt>
                <c:pt idx="13">
                  <c:v>29.237999999999737</c:v>
                </c:pt>
                <c:pt idx="14">
                  <c:v>31.047272727272436</c:v>
                </c:pt>
                <c:pt idx="15">
                  <c:v>30.767499999999927</c:v>
                </c:pt>
                <c:pt idx="16">
                  <c:v>35.328461538461291</c:v>
                </c:pt>
                <c:pt idx="17">
                  <c:v>40.510714285714393</c:v>
                </c:pt>
                <c:pt idx="18">
                  <c:v>47.229999999999805</c:v>
                </c:pt>
                <c:pt idx="19">
                  <c:v>56.563125000000127</c:v>
                </c:pt>
                <c:pt idx="20">
                  <c:v>60.944117647058995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964160"/>
        <c:axId val="96508928"/>
      </c:barChart>
      <c:catAx>
        <c:axId val="9596416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650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508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964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-23.430000000000291</c:v>
                </c:pt>
                <c:pt idx="1">
                  <c:v>-23.430000000000291</c:v>
                </c:pt>
                <c:pt idx="2">
                  <c:v>-23.430000000000291</c:v>
                </c:pt>
                <c:pt idx="3">
                  <c:v>-34.650000000001455</c:v>
                </c:pt>
                <c:pt idx="4">
                  <c:v>-34.650000000001455</c:v>
                </c:pt>
                <c:pt idx="5">
                  <c:v>-34.650000000001455</c:v>
                </c:pt>
                <c:pt idx="6">
                  <c:v>-34.650000000001455</c:v>
                </c:pt>
                <c:pt idx="7">
                  <c:v>-34.650000000001455</c:v>
                </c:pt>
                <c:pt idx="8">
                  <c:v>-34.650000000001455</c:v>
                </c:pt>
                <c:pt idx="9">
                  <c:v>-34.650000000001455</c:v>
                </c:pt>
                <c:pt idx="10">
                  <c:v>-29.860000000000582</c:v>
                </c:pt>
                <c:pt idx="11">
                  <c:v>-29.860000000000582</c:v>
                </c:pt>
                <c:pt idx="12">
                  <c:v>-29.860000000000582</c:v>
                </c:pt>
                <c:pt idx="13">
                  <c:v>-26.520000000000437</c:v>
                </c:pt>
                <c:pt idx="14">
                  <c:v>-26.520000000000437</c:v>
                </c:pt>
                <c:pt idx="15">
                  <c:v>-26.520000000000437</c:v>
                </c:pt>
                <c:pt idx="16">
                  <c:v>-26.520000000000437</c:v>
                </c:pt>
                <c:pt idx="17">
                  <c:v>-26.520000000000437</c:v>
                </c:pt>
                <c:pt idx="18">
                  <c:v>-26.520000000000437</c:v>
                </c:pt>
                <c:pt idx="19">
                  <c:v>-26.520000000000437</c:v>
                </c:pt>
                <c:pt idx="20">
                  <c:v>-26.520000000000437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799360"/>
        <c:axId val="96825728"/>
      </c:barChart>
      <c:catAx>
        <c:axId val="9679936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682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8257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799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0.60563380281668266</c:v>
                </c:pt>
                <c:pt idx="1">
                  <c:v>0.88732394366199807</c:v>
                </c:pt>
                <c:pt idx="2">
                  <c:v>0.6</c:v>
                </c:pt>
                <c:pt idx="3">
                  <c:v>1.0232804232804054</c:v>
                </c:pt>
                <c:pt idx="4">
                  <c:v>1.1641414141413549</c:v>
                </c:pt>
                <c:pt idx="5">
                  <c:v>1.1198845598845364</c:v>
                </c:pt>
                <c:pt idx="6">
                  <c:v>0.97825877825875962</c:v>
                </c:pt>
                <c:pt idx="7">
                  <c:v>0.94660894660890083</c:v>
                </c:pt>
                <c:pt idx="8">
                  <c:v>0.90425685425682889</c:v>
                </c:pt>
                <c:pt idx="9">
                  <c:v>1.0493134628265179</c:v>
                </c:pt>
                <c:pt idx="10">
                  <c:v>0.97588747488277494</c:v>
                </c:pt>
                <c:pt idx="11">
                  <c:v>0.97916945746815698</c:v>
                </c:pt>
                <c:pt idx="12">
                  <c:v>1.1024886877827773</c:v>
                </c:pt>
                <c:pt idx="13">
                  <c:v>1.1707116412998464</c:v>
                </c:pt>
                <c:pt idx="14">
                  <c:v>1.160162141779767</c:v>
                </c:pt>
                <c:pt idx="15">
                  <c:v>1.3321441002436165</c:v>
                </c:pt>
                <c:pt idx="16">
                  <c:v>1.5275533290238961</c:v>
                </c:pt>
                <c:pt idx="17">
                  <c:v>1.7809200603317883</c:v>
                </c:pt>
                <c:pt idx="18">
                  <c:v>2.1328478506787025</c:v>
                </c:pt>
                <c:pt idx="19">
                  <c:v>2.298043651849849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899456"/>
        <c:axId val="96900992"/>
      </c:barChart>
      <c:catAx>
        <c:axId val="96899456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690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9009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8994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12</xdr:row>
      <xdr:rowOff>9525</xdr:rowOff>
    </xdr:from>
    <xdr:to>
      <xdr:col>24</xdr:col>
      <xdr:colOff>0</xdr:colOff>
      <xdr:row>29</xdr:row>
      <xdr:rowOff>0</xdr:rowOff>
    </xdr:to>
    <xdr:graphicFrame macro="">
      <xdr:nvGraphicFramePr>
        <xdr:cNvPr id="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</xdr:colOff>
      <xdr:row>20</xdr:row>
      <xdr:rowOff>4232</xdr:rowOff>
    </xdr:from>
    <xdr:to>
      <xdr:col>14</xdr:col>
      <xdr:colOff>0</xdr:colOff>
      <xdr:row>33</xdr:row>
      <xdr:rowOff>0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169333</xdr:colOff>
      <xdr:row>1</xdr:row>
      <xdr:rowOff>10584</xdr:rowOff>
    </xdr:from>
    <xdr:to>
      <xdr:col>21</xdr:col>
      <xdr:colOff>497416</xdr:colOff>
      <xdr:row>13</xdr:row>
      <xdr:rowOff>10584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201085</xdr:colOff>
      <xdr:row>13</xdr:row>
      <xdr:rowOff>158751</xdr:rowOff>
    </xdr:from>
    <xdr:to>
      <xdr:col>21</xdr:col>
      <xdr:colOff>508000</xdr:colOff>
      <xdr:row>33</xdr:row>
      <xdr:rowOff>0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18</xdr:row>
      <xdr:rowOff>9525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106951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106932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topLeftCell="C1" zoomScale="90" zoomScaleNormal="90" workbookViewId="0">
      <selection activeCell="R6" sqref="R6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80" t="s">
        <v>35</v>
      </c>
      <c r="H2" s="411">
        <f>IF(E12="","",IF(G8="",E8,G8))</f>
        <v>34042.550000000003</v>
      </c>
      <c r="I2" s="412"/>
      <c r="M2" s="24" t="s">
        <v>70</v>
      </c>
      <c r="N2" s="24" t="s">
        <v>35</v>
      </c>
      <c r="O2" s="287" t="s">
        <v>184</v>
      </c>
      <c r="Q2" s="409" t="s">
        <v>47</v>
      </c>
      <c r="R2" s="410"/>
    </row>
    <row r="3" spans="2:18" x14ac:dyDescent="0.2">
      <c r="G3" s="24" t="s">
        <v>41</v>
      </c>
      <c r="H3" s="413">
        <v>0.5</v>
      </c>
      <c r="I3" s="412"/>
      <c r="M3" s="24">
        <v>0</v>
      </c>
      <c r="N3" s="5">
        <f>IF(R3="","",R3)</f>
        <v>1000</v>
      </c>
      <c r="O3" s="5">
        <f t="shared" ref="O3:O25" si="0">100*(N3-R$3)/R$3</f>
        <v>0</v>
      </c>
      <c r="Q3" s="24" t="s">
        <v>39</v>
      </c>
      <c r="R3" s="25">
        <v>1000</v>
      </c>
    </row>
    <row r="4" spans="2:18" x14ac:dyDescent="0.2">
      <c r="G4" s="24" t="s">
        <v>42</v>
      </c>
      <c r="H4" s="414">
        <v>30</v>
      </c>
      <c r="I4" s="410"/>
      <c r="M4" s="24">
        <f t="shared" ref="M4:M33" si="1">M3+1</f>
        <v>1</v>
      </c>
      <c r="N4" s="5">
        <f t="shared" ref="N4:N25" si="2">N3*(1+R$5/100)</f>
        <v>1432.3999999999999</v>
      </c>
      <c r="O4" s="5">
        <f t="shared" si="0"/>
        <v>43.239999999999988</v>
      </c>
      <c r="Q4" s="24" t="s">
        <v>46</v>
      </c>
      <c r="R4" s="25">
        <v>0</v>
      </c>
    </row>
    <row r="5" spans="2:18" x14ac:dyDescent="0.2">
      <c r="M5" s="24">
        <f t="shared" si="1"/>
        <v>2</v>
      </c>
      <c r="N5" s="5">
        <f t="shared" si="2"/>
        <v>2051.7697599999997</v>
      </c>
      <c r="O5" s="5">
        <f t="shared" si="0"/>
        <v>105.17697599999997</v>
      </c>
      <c r="Q5" s="24" t="s">
        <v>71</v>
      </c>
      <c r="R5" s="25">
        <v>43.24</v>
      </c>
    </row>
    <row r="6" spans="2:18" x14ac:dyDescent="0.2">
      <c r="C6" s="406" t="s">
        <v>146</v>
      </c>
      <c r="D6" s="407"/>
      <c r="E6" s="407"/>
      <c r="F6" s="407"/>
      <c r="G6" s="407"/>
      <c r="H6" s="407"/>
      <c r="I6" s="407"/>
      <c r="J6" s="407"/>
      <c r="K6" s="408"/>
      <c r="M6" s="24">
        <f t="shared" si="1"/>
        <v>3</v>
      </c>
      <c r="N6" s="5">
        <f t="shared" si="2"/>
        <v>2938.9550042239994</v>
      </c>
      <c r="O6" s="5">
        <f t="shared" si="0"/>
        <v>193.89550042239992</v>
      </c>
    </row>
    <row r="7" spans="2:18" x14ac:dyDescent="0.2">
      <c r="C7" s="24" t="s">
        <v>33</v>
      </c>
      <c r="E7" s="24" t="s">
        <v>39</v>
      </c>
      <c r="G7" s="24" t="s">
        <v>200</v>
      </c>
      <c r="H7" s="24" t="s">
        <v>36</v>
      </c>
      <c r="I7" s="24" t="s">
        <v>37</v>
      </c>
      <c r="J7" s="24" t="s">
        <v>38</v>
      </c>
      <c r="K7" s="24" t="s">
        <v>34</v>
      </c>
      <c r="M7" s="24">
        <f t="shared" si="1"/>
        <v>4</v>
      </c>
      <c r="N7" s="5">
        <f t="shared" si="2"/>
        <v>4209.7591480504561</v>
      </c>
      <c r="O7" s="5">
        <f t="shared" si="0"/>
        <v>320.97591480504559</v>
      </c>
    </row>
    <row r="8" spans="2:18" x14ac:dyDescent="0.2">
      <c r="C8" s="286">
        <f>IF(C12="","",VLOOKUP(MAX(B12:B33),B12:C33,2,FALSE))</f>
        <v>42766</v>
      </c>
      <c r="E8" s="22">
        <f>IF(E12="","",VLOOKUP(MAX(D12:D33),D12:E33,2,FALSE))</f>
        <v>34042.550000000003</v>
      </c>
      <c r="G8" s="22" t="str">
        <f>IF(G12="","",IF(VLOOKUP(MAX(F12:F33),F12:G33,2,FALSE)="","",VLOOKUP(MAX(F12:F33),F12:G33,2,FALSE)))</f>
        <v/>
      </c>
      <c r="H8" s="22">
        <f>IF(E8="","",IF(H$3="","",E8*(1+H$3/100)))</f>
        <v>34212.762750000002</v>
      </c>
      <c r="I8" s="22" t="str">
        <f>IF(E8="","",IF(G8="","",G8-E8))</f>
        <v/>
      </c>
      <c r="J8" s="22" t="str">
        <f>IF(I8="","",100*I8/E8)</f>
        <v/>
      </c>
      <c r="K8" s="23" t="str">
        <f>IF(J8="","",IF(J8&lt;=-H$4,"Stop",IF(J8&gt;=H$3,"Alvo",IF(G8="","Continue",""))))</f>
        <v/>
      </c>
      <c r="M8" s="24">
        <f t="shared" si="1"/>
        <v>5</v>
      </c>
      <c r="N8" s="5">
        <f t="shared" si="2"/>
        <v>6030.059003667473</v>
      </c>
      <c r="O8" s="5">
        <f t="shared" si="0"/>
        <v>503.00590036674731</v>
      </c>
      <c r="Q8" s="409" t="s">
        <v>67</v>
      </c>
      <c r="R8" s="410"/>
    </row>
    <row r="9" spans="2:18" x14ac:dyDescent="0.2">
      <c r="M9" s="24">
        <f t="shared" si="1"/>
        <v>6</v>
      </c>
      <c r="N9" s="5">
        <f t="shared" si="2"/>
        <v>8637.4565168532881</v>
      </c>
      <c r="O9" s="5">
        <f t="shared" si="0"/>
        <v>763.74565168532877</v>
      </c>
    </row>
    <row r="10" spans="2:18" x14ac:dyDescent="0.2">
      <c r="C10" s="406" t="s">
        <v>151</v>
      </c>
      <c r="D10" s="407"/>
      <c r="E10" s="407"/>
      <c r="F10" s="407"/>
      <c r="G10" s="407"/>
      <c r="H10" s="407"/>
      <c r="I10" s="407"/>
      <c r="J10" s="407"/>
      <c r="K10" s="408"/>
      <c r="M10" s="24">
        <f t="shared" si="1"/>
        <v>7</v>
      </c>
      <c r="N10" s="5">
        <f t="shared" si="2"/>
        <v>12372.29271474065</v>
      </c>
      <c r="O10" s="5">
        <f t="shared" si="0"/>
        <v>1137.2292714740649</v>
      </c>
      <c r="Q10" s="287" t="s">
        <v>230</v>
      </c>
      <c r="R10" s="25">
        <v>0.5</v>
      </c>
    </row>
    <row r="11" spans="2:18" x14ac:dyDescent="0.2">
      <c r="B11" s="82" t="s">
        <v>0</v>
      </c>
      <c r="C11" s="24" t="s">
        <v>33</v>
      </c>
      <c r="D11" s="82" t="s">
        <v>0</v>
      </c>
      <c r="E11" s="24" t="s">
        <v>39</v>
      </c>
      <c r="F11" s="82" t="s">
        <v>0</v>
      </c>
      <c r="G11" s="24" t="s">
        <v>40</v>
      </c>
      <c r="H11" s="24" t="s">
        <v>36</v>
      </c>
      <c r="I11" s="24" t="s">
        <v>37</v>
      </c>
      <c r="J11" s="24" t="s">
        <v>38</v>
      </c>
      <c r="K11" s="24" t="s">
        <v>34</v>
      </c>
      <c r="M11" s="24">
        <f t="shared" si="1"/>
        <v>8</v>
      </c>
      <c r="N11" s="5">
        <f t="shared" si="2"/>
        <v>17722.072084594507</v>
      </c>
      <c r="O11" s="5">
        <f t="shared" si="0"/>
        <v>1672.2072084594506</v>
      </c>
      <c r="Q11" s="24" t="s">
        <v>65</v>
      </c>
      <c r="R11" s="5">
        <f>100*((1+R10/100)^5-1)</f>
        <v>2.5251253128124151</v>
      </c>
    </row>
    <row r="12" spans="2:18" x14ac:dyDescent="0.2">
      <c r="B12" s="81">
        <v>0</v>
      </c>
      <c r="C12" s="21">
        <v>42766</v>
      </c>
      <c r="D12" s="81">
        <v>0</v>
      </c>
      <c r="E12" s="397">
        <v>34042.550000000003</v>
      </c>
      <c r="F12" s="81">
        <v>0</v>
      </c>
      <c r="G12" s="6"/>
      <c r="H12" s="22">
        <f>IF(E12="","",IF(H$3="","",E12*(1+H$3/100)))</f>
        <v>34212.762750000002</v>
      </c>
      <c r="I12" s="22" t="str">
        <f>IF(E12="","",IF(G12="","",G12-E12))</f>
        <v/>
      </c>
      <c r="J12" s="22" t="str">
        <f t="shared" ref="J12:J32" si="3">IF(I12="","",100*I12/E12)</f>
        <v/>
      </c>
      <c r="K12" s="23" t="str">
        <f t="shared" ref="K12:K22" si="4">IF(J12="","",IF(J12&lt;=-H$4,"Stop",IF(J12&gt;=H$3,"Alvo",IF(G12="","Continue",""))))</f>
        <v/>
      </c>
      <c r="M12" s="24">
        <f t="shared" si="1"/>
        <v>9</v>
      </c>
      <c r="N12" s="5">
        <f t="shared" si="2"/>
        <v>25385.096053973171</v>
      </c>
      <c r="O12" s="5">
        <f t="shared" si="0"/>
        <v>2438.509605397317</v>
      </c>
      <c r="Q12" s="24" t="s">
        <v>66</v>
      </c>
      <c r="R12" s="5">
        <f>100*((1+R10/100)^(30*5/7)-1)</f>
        <v>11.279613624844998</v>
      </c>
    </row>
    <row r="13" spans="2:18" x14ac:dyDescent="0.2">
      <c r="B13" s="4">
        <f t="shared" ref="B13:B18" si="5">IF(C13="",B12,B12+1)</f>
        <v>0</v>
      </c>
      <c r="C13" s="21"/>
      <c r="D13" s="4" t="str">
        <f t="shared" ref="D13:D29" si="6">IF(E13="","",IF(C13="",D12,D12+1))</f>
        <v/>
      </c>
      <c r="E13" s="22" t="str">
        <f t="shared" ref="E13:E33" si="7">IF(G12="","",G12)</f>
        <v/>
      </c>
      <c r="F13" s="4" t="str">
        <f t="shared" ref="F13:F23" si="8">IF(G13="",IF(C13="","",F12+1),F12+1)</f>
        <v/>
      </c>
      <c r="G13" s="6"/>
      <c r="H13" s="22" t="str">
        <f t="shared" ref="H13:H32" si="9">IF(E13="","",IF(H$3="","",E13*(1+H$3/100)))</f>
        <v/>
      </c>
      <c r="I13" s="22" t="str">
        <f t="shared" ref="I13:I32" si="10">IF(E13="","",IF(G13="","",G13-E13))</f>
        <v/>
      </c>
      <c r="J13" s="22" t="str">
        <f t="shared" si="3"/>
        <v/>
      </c>
      <c r="K13" s="23" t="str">
        <f t="shared" si="4"/>
        <v/>
      </c>
      <c r="M13" s="24">
        <f t="shared" si="1"/>
        <v>10</v>
      </c>
      <c r="N13" s="5">
        <f t="shared" si="2"/>
        <v>36361.611587711166</v>
      </c>
      <c r="O13" s="5">
        <f t="shared" si="0"/>
        <v>3536.1611587711168</v>
      </c>
      <c r="Q13" s="24" t="s">
        <v>69</v>
      </c>
      <c r="R13" s="5">
        <f>100*((1+R10/100)^(360*5/7)-1)</f>
        <v>260.56810615519947</v>
      </c>
    </row>
    <row r="14" spans="2:18" x14ac:dyDescent="0.2">
      <c r="B14" s="4">
        <f t="shared" si="5"/>
        <v>0</v>
      </c>
      <c r="C14" s="21"/>
      <c r="D14" s="4" t="str">
        <f t="shared" si="6"/>
        <v/>
      </c>
      <c r="E14" s="22" t="str">
        <f t="shared" si="7"/>
        <v/>
      </c>
      <c r="F14" s="4" t="str">
        <f t="shared" si="8"/>
        <v/>
      </c>
      <c r="G14" s="6"/>
      <c r="H14" s="22" t="str">
        <f t="shared" si="9"/>
        <v/>
      </c>
      <c r="I14" s="22" t="str">
        <f t="shared" si="10"/>
        <v/>
      </c>
      <c r="J14" s="22" t="str">
        <f t="shared" si="3"/>
        <v/>
      </c>
      <c r="K14" s="23" t="str">
        <f t="shared" si="4"/>
        <v/>
      </c>
      <c r="M14" s="24">
        <f t="shared" si="1"/>
        <v>11</v>
      </c>
      <c r="N14" s="5">
        <f t="shared" si="2"/>
        <v>52084.372438237471</v>
      </c>
      <c r="O14" s="5">
        <f t="shared" si="0"/>
        <v>5108.4372438237469</v>
      </c>
    </row>
    <row r="15" spans="2:18" x14ac:dyDescent="0.2">
      <c r="B15" s="4">
        <f t="shared" si="5"/>
        <v>0</v>
      </c>
      <c r="C15" s="21"/>
      <c r="D15" s="4" t="str">
        <f t="shared" si="6"/>
        <v/>
      </c>
      <c r="E15" s="22" t="str">
        <f t="shared" si="7"/>
        <v/>
      </c>
      <c r="F15" s="4" t="str">
        <f t="shared" si="8"/>
        <v/>
      </c>
      <c r="G15" s="6"/>
      <c r="H15" s="22" t="str">
        <f t="shared" si="9"/>
        <v/>
      </c>
      <c r="I15" s="22" t="str">
        <f t="shared" si="10"/>
        <v/>
      </c>
      <c r="J15" s="22" t="str">
        <f t="shared" si="3"/>
        <v/>
      </c>
      <c r="K15" s="23" t="str">
        <f t="shared" si="4"/>
        <v/>
      </c>
      <c r="M15" s="24">
        <f t="shared" si="1"/>
        <v>12</v>
      </c>
      <c r="N15" s="5">
        <f t="shared" si="2"/>
        <v>74605.655080531345</v>
      </c>
      <c r="O15" s="5">
        <f t="shared" si="0"/>
        <v>7360.5655080531342</v>
      </c>
      <c r="Q15" s="24" t="s">
        <v>65</v>
      </c>
      <c r="R15" s="235">
        <v>1</v>
      </c>
    </row>
    <row r="16" spans="2:18" x14ac:dyDescent="0.2">
      <c r="B16" s="4">
        <f t="shared" si="5"/>
        <v>0</v>
      </c>
      <c r="C16" s="21"/>
      <c r="D16" s="4" t="str">
        <f t="shared" si="6"/>
        <v/>
      </c>
      <c r="E16" s="22" t="str">
        <f t="shared" si="7"/>
        <v/>
      </c>
      <c r="F16" s="4" t="str">
        <f t="shared" si="8"/>
        <v/>
      </c>
      <c r="G16" s="6"/>
      <c r="H16" s="22" t="str">
        <f t="shared" si="9"/>
        <v/>
      </c>
      <c r="I16" s="22" t="str">
        <f t="shared" si="10"/>
        <v/>
      </c>
      <c r="J16" s="22" t="str">
        <f t="shared" si="3"/>
        <v/>
      </c>
      <c r="K16" s="23" t="str">
        <f t="shared" si="4"/>
        <v/>
      </c>
      <c r="M16" s="24">
        <f t="shared" si="1"/>
        <v>13</v>
      </c>
      <c r="N16" s="5">
        <f t="shared" si="2"/>
        <v>106865.14033735309</v>
      </c>
      <c r="O16" s="5">
        <f t="shared" si="0"/>
        <v>10586.51403373531</v>
      </c>
      <c r="Q16" s="24" t="s">
        <v>66</v>
      </c>
      <c r="R16" s="5">
        <f>100*((1+R15/100)^(30/7)-1)</f>
        <v>4.3566606173939704</v>
      </c>
    </row>
    <row r="17" spans="2:18" x14ac:dyDescent="0.2">
      <c r="B17" s="4">
        <f t="shared" si="5"/>
        <v>0</v>
      </c>
      <c r="C17" s="21"/>
      <c r="D17" s="4" t="str">
        <f t="shared" si="6"/>
        <v/>
      </c>
      <c r="E17" s="22" t="str">
        <f t="shared" si="7"/>
        <v/>
      </c>
      <c r="F17" s="4" t="str">
        <f t="shared" si="8"/>
        <v/>
      </c>
      <c r="G17" s="6"/>
      <c r="H17" s="22" t="str">
        <f t="shared" si="9"/>
        <v/>
      </c>
      <c r="I17" s="22" t="str">
        <f t="shared" si="10"/>
        <v/>
      </c>
      <c r="J17" s="22" t="str">
        <f t="shared" si="3"/>
        <v/>
      </c>
      <c r="K17" s="23" t="str">
        <f t="shared" si="4"/>
        <v/>
      </c>
      <c r="M17" s="24">
        <f t="shared" si="1"/>
        <v>14</v>
      </c>
      <c r="N17" s="5">
        <f t="shared" si="2"/>
        <v>153073.62701922457</v>
      </c>
      <c r="O17" s="5">
        <f t="shared" si="0"/>
        <v>15207.362701922457</v>
      </c>
      <c r="Q17" s="24" t="s">
        <v>69</v>
      </c>
      <c r="R17" s="5">
        <f>100*((1+R15/100)^(360/7)-1)</f>
        <v>66.817681250594802</v>
      </c>
    </row>
    <row r="18" spans="2:18" x14ac:dyDescent="0.2">
      <c r="B18" s="4">
        <f t="shared" si="5"/>
        <v>0</v>
      </c>
      <c r="C18" s="21"/>
      <c r="D18" s="4" t="str">
        <f t="shared" si="6"/>
        <v/>
      </c>
      <c r="E18" s="22" t="str">
        <f t="shared" si="7"/>
        <v/>
      </c>
      <c r="F18" s="4" t="str">
        <f t="shared" si="8"/>
        <v/>
      </c>
      <c r="G18" s="6"/>
      <c r="H18" s="22" t="str">
        <f t="shared" si="9"/>
        <v/>
      </c>
      <c r="I18" s="22" t="str">
        <f t="shared" si="10"/>
        <v/>
      </c>
      <c r="J18" s="22" t="str">
        <f t="shared" si="3"/>
        <v/>
      </c>
      <c r="K18" s="23" t="str">
        <f t="shared" si="4"/>
        <v/>
      </c>
      <c r="M18" s="24">
        <f t="shared" si="1"/>
        <v>15</v>
      </c>
      <c r="N18" s="5">
        <f t="shared" si="2"/>
        <v>219262.66334233727</v>
      </c>
      <c r="O18" s="5">
        <f t="shared" si="0"/>
        <v>21826.266334233726</v>
      </c>
    </row>
    <row r="19" spans="2:18" x14ac:dyDescent="0.2">
      <c r="B19" s="4">
        <f t="shared" ref="B19:B33" si="11">IF(C19="",B18,B18+1)</f>
        <v>0</v>
      </c>
      <c r="C19" s="21"/>
      <c r="D19" s="4" t="str">
        <f t="shared" si="6"/>
        <v/>
      </c>
      <c r="E19" s="22" t="str">
        <f t="shared" si="7"/>
        <v/>
      </c>
      <c r="F19" s="4" t="str">
        <f t="shared" si="8"/>
        <v/>
      </c>
      <c r="G19" s="6"/>
      <c r="H19" s="22" t="str">
        <f t="shared" si="9"/>
        <v/>
      </c>
      <c r="I19" s="22" t="str">
        <f t="shared" si="10"/>
        <v/>
      </c>
      <c r="J19" s="22" t="str">
        <f t="shared" si="3"/>
        <v/>
      </c>
      <c r="K19" s="23" t="str">
        <f t="shared" si="4"/>
        <v/>
      </c>
      <c r="M19" s="24">
        <f t="shared" si="1"/>
        <v>16</v>
      </c>
      <c r="N19" s="5">
        <f t="shared" si="2"/>
        <v>314071.83897156391</v>
      </c>
      <c r="O19" s="5">
        <f t="shared" si="0"/>
        <v>31307.183897156392</v>
      </c>
      <c r="Q19" s="24" t="s">
        <v>66</v>
      </c>
      <c r="R19" s="25">
        <v>20</v>
      </c>
    </row>
    <row r="20" spans="2:18" x14ac:dyDescent="0.2">
      <c r="B20" s="4">
        <f t="shared" si="11"/>
        <v>0</v>
      </c>
      <c r="C20" s="21"/>
      <c r="D20" s="4" t="str">
        <f t="shared" si="6"/>
        <v/>
      </c>
      <c r="E20" s="22" t="str">
        <f t="shared" si="7"/>
        <v/>
      </c>
      <c r="F20" s="4" t="str">
        <f t="shared" si="8"/>
        <v/>
      </c>
      <c r="G20" s="6"/>
      <c r="H20" s="22" t="str">
        <f t="shared" si="9"/>
        <v/>
      </c>
      <c r="I20" s="22" t="str">
        <f t="shared" si="10"/>
        <v/>
      </c>
      <c r="J20" s="22" t="str">
        <f t="shared" si="3"/>
        <v/>
      </c>
      <c r="K20" s="23" t="str">
        <f t="shared" si="4"/>
        <v/>
      </c>
      <c r="M20" s="24">
        <f t="shared" si="1"/>
        <v>17</v>
      </c>
      <c r="N20" s="5">
        <f t="shared" si="2"/>
        <v>449876.50214286812</v>
      </c>
      <c r="O20" s="5">
        <f t="shared" si="0"/>
        <v>44887.650214286812</v>
      </c>
      <c r="Q20" s="24" t="s">
        <v>69</v>
      </c>
      <c r="R20" s="5">
        <f>100*((1+R19/100)^12-1)</f>
        <v>791.61004482559974</v>
      </c>
    </row>
    <row r="21" spans="2:18" x14ac:dyDescent="0.2">
      <c r="B21" s="4">
        <f t="shared" si="11"/>
        <v>0</v>
      </c>
      <c r="C21" s="21"/>
      <c r="D21" s="4" t="str">
        <f t="shared" si="6"/>
        <v/>
      </c>
      <c r="E21" s="22" t="str">
        <f t="shared" si="7"/>
        <v/>
      </c>
      <c r="F21" s="4" t="str">
        <f t="shared" si="8"/>
        <v/>
      </c>
      <c r="G21" s="6"/>
      <c r="H21" s="22" t="str">
        <f t="shared" si="9"/>
        <v/>
      </c>
      <c r="I21" s="22" t="str">
        <f t="shared" si="10"/>
        <v/>
      </c>
      <c r="J21" s="22" t="str">
        <f t="shared" si="3"/>
        <v/>
      </c>
      <c r="K21" s="23" t="str">
        <f t="shared" si="4"/>
        <v/>
      </c>
      <c r="M21" s="24">
        <f t="shared" si="1"/>
        <v>18</v>
      </c>
      <c r="N21" s="5">
        <f t="shared" si="2"/>
        <v>644403.10166944424</v>
      </c>
      <c r="O21" s="5">
        <f t="shared" si="0"/>
        <v>64340.310166944422</v>
      </c>
    </row>
    <row r="22" spans="2:18" x14ac:dyDescent="0.2">
      <c r="B22" s="4">
        <f t="shared" si="11"/>
        <v>0</v>
      </c>
      <c r="C22" s="21"/>
      <c r="D22" s="4" t="str">
        <f t="shared" si="6"/>
        <v/>
      </c>
      <c r="E22" s="22" t="str">
        <f t="shared" si="7"/>
        <v/>
      </c>
      <c r="F22" s="4" t="str">
        <f t="shared" si="8"/>
        <v/>
      </c>
      <c r="G22" s="6"/>
      <c r="H22" s="22" t="str">
        <f t="shared" si="9"/>
        <v/>
      </c>
      <c r="I22" s="22" t="str">
        <f t="shared" si="10"/>
        <v/>
      </c>
      <c r="J22" s="22" t="str">
        <f t="shared" si="3"/>
        <v/>
      </c>
      <c r="K22" s="23" t="str">
        <f t="shared" si="4"/>
        <v/>
      </c>
      <c r="M22" s="24">
        <f t="shared" si="1"/>
        <v>19</v>
      </c>
      <c r="N22" s="5">
        <f t="shared" si="2"/>
        <v>923043.0028313119</v>
      </c>
      <c r="O22" s="5">
        <f t="shared" si="0"/>
        <v>92204.300283131175</v>
      </c>
    </row>
    <row r="23" spans="2:18" x14ac:dyDescent="0.2">
      <c r="B23" s="4">
        <f t="shared" si="11"/>
        <v>0</v>
      </c>
      <c r="C23" s="21"/>
      <c r="D23" s="4" t="str">
        <f t="shared" si="6"/>
        <v/>
      </c>
      <c r="E23" s="22" t="str">
        <f t="shared" si="7"/>
        <v/>
      </c>
      <c r="F23" s="4" t="str">
        <f t="shared" si="8"/>
        <v/>
      </c>
      <c r="G23" s="6"/>
      <c r="H23" s="22" t="str">
        <f t="shared" si="9"/>
        <v/>
      </c>
      <c r="I23" s="22" t="str">
        <f t="shared" si="10"/>
        <v/>
      </c>
      <c r="J23" s="22" t="str">
        <f t="shared" si="3"/>
        <v/>
      </c>
      <c r="K23" s="23" t="str">
        <f t="shared" ref="K23:K32" si="12">IF(J23="","",IF(J23&lt;=-H$4,"Stop",IF(J23&gt;=H$3,"Alvo",IF(G23="","Continue",""))))</f>
        <v/>
      </c>
      <c r="M23" s="24">
        <f t="shared" si="1"/>
        <v>20</v>
      </c>
      <c r="N23" s="5">
        <f t="shared" si="2"/>
        <v>1322166.797255571</v>
      </c>
      <c r="O23" s="5">
        <f t="shared" si="0"/>
        <v>132116.6797255571</v>
      </c>
      <c r="Q23" s="24" t="s">
        <v>69</v>
      </c>
      <c r="R23" s="25">
        <v>100</v>
      </c>
    </row>
    <row r="24" spans="2:18" x14ac:dyDescent="0.2">
      <c r="B24" s="4">
        <f>IF(C24="",B23,B23+1)</f>
        <v>0</v>
      </c>
      <c r="C24" s="21"/>
      <c r="D24" s="4" t="str">
        <f t="shared" si="6"/>
        <v/>
      </c>
      <c r="E24" s="22" t="str">
        <f t="shared" si="7"/>
        <v/>
      </c>
      <c r="F24" s="4" t="str">
        <f>IF(G24="",IF(C24="","",F23+1),F23+1)</f>
        <v/>
      </c>
      <c r="G24" s="6"/>
      <c r="H24" s="22" t="str">
        <f t="shared" si="9"/>
        <v/>
      </c>
      <c r="I24" s="22" t="str">
        <f t="shared" si="10"/>
        <v/>
      </c>
      <c r="J24" s="22" t="str">
        <f t="shared" si="3"/>
        <v/>
      </c>
      <c r="K24" s="23" t="str">
        <f t="shared" si="12"/>
        <v/>
      </c>
      <c r="M24" s="24">
        <f t="shared" si="1"/>
        <v>21</v>
      </c>
      <c r="N24" s="5">
        <f t="shared" si="2"/>
        <v>1893871.7203888798</v>
      </c>
      <c r="O24" s="5">
        <f t="shared" si="0"/>
        <v>189287.17203888798</v>
      </c>
      <c r="Q24" s="24" t="s">
        <v>66</v>
      </c>
      <c r="R24" s="5">
        <f>100*((1+R23/100)^(1/12)-1)</f>
        <v>5.946309435929531</v>
      </c>
    </row>
    <row r="25" spans="2:18" x14ac:dyDescent="0.2">
      <c r="B25" s="4">
        <f t="shared" si="11"/>
        <v>0</v>
      </c>
      <c r="C25" s="21"/>
      <c r="D25" s="4" t="str">
        <f t="shared" si="6"/>
        <v/>
      </c>
      <c r="E25" s="22" t="str">
        <f t="shared" si="7"/>
        <v/>
      </c>
      <c r="F25" s="4" t="str">
        <f t="shared" ref="F25:F33" si="13">IF(G25="",IF(C25="","",F24+1),F24+1)</f>
        <v/>
      </c>
      <c r="G25" s="6"/>
      <c r="H25" s="22" t="str">
        <f t="shared" si="9"/>
        <v/>
      </c>
      <c r="I25" s="22" t="str">
        <f t="shared" si="10"/>
        <v/>
      </c>
      <c r="J25" s="22" t="str">
        <f t="shared" si="3"/>
        <v/>
      </c>
      <c r="K25" s="23" t="str">
        <f t="shared" si="12"/>
        <v/>
      </c>
      <c r="M25" s="24">
        <f t="shared" si="1"/>
        <v>22</v>
      </c>
      <c r="N25" s="5">
        <f t="shared" si="2"/>
        <v>2712781.8522850312</v>
      </c>
      <c r="O25" s="5">
        <f t="shared" si="0"/>
        <v>271178.18522850313</v>
      </c>
      <c r="Q25" s="24" t="s">
        <v>65</v>
      </c>
      <c r="R25" s="5">
        <f>100*((1+R23/100)^(7/360)-1)</f>
        <v>1.3569097651253692</v>
      </c>
    </row>
    <row r="26" spans="2:18" x14ac:dyDescent="0.2">
      <c r="B26" s="4">
        <f t="shared" si="11"/>
        <v>0</v>
      </c>
      <c r="C26" s="21"/>
      <c r="D26" s="4" t="str">
        <f t="shared" si="6"/>
        <v/>
      </c>
      <c r="E26" s="22" t="str">
        <f t="shared" si="7"/>
        <v/>
      </c>
      <c r="F26" s="4" t="str">
        <f t="shared" si="13"/>
        <v/>
      </c>
      <c r="G26" s="6"/>
      <c r="H26" s="22" t="str">
        <f t="shared" si="9"/>
        <v/>
      </c>
      <c r="I26" s="22" t="str">
        <f t="shared" si="10"/>
        <v/>
      </c>
      <c r="J26" s="22" t="str">
        <f t="shared" si="3"/>
        <v/>
      </c>
      <c r="K26" s="23" t="str">
        <f t="shared" si="12"/>
        <v/>
      </c>
      <c r="M26" s="24">
        <f>M25+1</f>
        <v>23</v>
      </c>
      <c r="N26" s="5">
        <f t="shared" ref="N26:N33" si="14">N25*(1+R$5/100)</f>
        <v>3885788.7252130783</v>
      </c>
      <c r="O26" s="5">
        <f t="shared" ref="O26:O33" si="15">100*(N26-R$3)/R$3</f>
        <v>388478.87252130784</v>
      </c>
      <c r="Q26" s="287" t="s">
        <v>230</v>
      </c>
      <c r="R26" s="5">
        <f>100*((1+R23/100)^(7/360/5)-1)</f>
        <v>0.26992086906307833</v>
      </c>
    </row>
    <row r="27" spans="2:18" x14ac:dyDescent="0.2">
      <c r="B27" s="4">
        <f t="shared" si="11"/>
        <v>0</v>
      </c>
      <c r="C27" s="21"/>
      <c r="D27" s="4" t="str">
        <f t="shared" si="6"/>
        <v/>
      </c>
      <c r="E27" s="22" t="str">
        <f t="shared" si="7"/>
        <v/>
      </c>
      <c r="F27" s="4" t="str">
        <f t="shared" si="13"/>
        <v/>
      </c>
      <c r="G27" s="6"/>
      <c r="H27" s="22" t="str">
        <f t="shared" si="9"/>
        <v/>
      </c>
      <c r="I27" s="22" t="str">
        <f t="shared" si="10"/>
        <v/>
      </c>
      <c r="J27" s="22" t="str">
        <f t="shared" si="3"/>
        <v/>
      </c>
      <c r="K27" s="23" t="str">
        <f t="shared" si="12"/>
        <v/>
      </c>
      <c r="M27" s="24">
        <f t="shared" si="1"/>
        <v>24</v>
      </c>
      <c r="N27" s="5">
        <f t="shared" si="14"/>
        <v>5566003.7699952126</v>
      </c>
      <c r="O27" s="5">
        <f t="shared" si="15"/>
        <v>556500.37699952128</v>
      </c>
    </row>
    <row r="28" spans="2:18" x14ac:dyDescent="0.2">
      <c r="B28" s="4">
        <f t="shared" si="11"/>
        <v>0</v>
      </c>
      <c r="C28" s="21"/>
      <c r="D28" s="4" t="str">
        <f t="shared" si="6"/>
        <v/>
      </c>
      <c r="E28" s="22" t="str">
        <f t="shared" si="7"/>
        <v/>
      </c>
      <c r="F28" s="4" t="str">
        <f t="shared" si="13"/>
        <v/>
      </c>
      <c r="G28" s="6"/>
      <c r="H28" s="22" t="str">
        <f t="shared" si="9"/>
        <v/>
      </c>
      <c r="I28" s="22" t="str">
        <f t="shared" si="10"/>
        <v/>
      </c>
      <c r="J28" s="22" t="str">
        <f t="shared" si="3"/>
        <v/>
      </c>
      <c r="K28" s="23" t="str">
        <f t="shared" si="12"/>
        <v/>
      </c>
      <c r="M28" s="24">
        <f t="shared" si="1"/>
        <v>25</v>
      </c>
      <c r="N28" s="5">
        <f t="shared" si="14"/>
        <v>7972743.8001411417</v>
      </c>
      <c r="O28" s="5">
        <f t="shared" si="15"/>
        <v>797174.3800141142</v>
      </c>
      <c r="Q28" s="24" t="s">
        <v>66</v>
      </c>
      <c r="R28" s="25">
        <v>20</v>
      </c>
    </row>
    <row r="29" spans="2:18" x14ac:dyDescent="0.2">
      <c r="B29" s="4">
        <f t="shared" si="11"/>
        <v>0</v>
      </c>
      <c r="C29" s="21"/>
      <c r="D29" s="4" t="str">
        <f t="shared" si="6"/>
        <v/>
      </c>
      <c r="E29" s="22" t="str">
        <f t="shared" si="7"/>
        <v/>
      </c>
      <c r="F29" s="4" t="str">
        <f t="shared" si="13"/>
        <v/>
      </c>
      <c r="G29" s="6"/>
      <c r="H29" s="22" t="str">
        <f t="shared" si="9"/>
        <v/>
      </c>
      <c r="I29" s="22" t="str">
        <f t="shared" si="10"/>
        <v/>
      </c>
      <c r="J29" s="22" t="str">
        <f t="shared" si="3"/>
        <v/>
      </c>
      <c r="K29" s="23" t="str">
        <f t="shared" si="12"/>
        <v/>
      </c>
      <c r="M29" s="24">
        <f t="shared" si="1"/>
        <v>26</v>
      </c>
      <c r="N29" s="5">
        <f t="shared" si="14"/>
        <v>11420158.219322171</v>
      </c>
      <c r="O29" s="5">
        <f t="shared" si="15"/>
        <v>1141915.8219322171</v>
      </c>
      <c r="Q29" s="24" t="s">
        <v>65</v>
      </c>
      <c r="R29" s="5">
        <f>100*((1+R28/100)^(7/30)-1)</f>
        <v>4.3459564167287246</v>
      </c>
    </row>
    <row r="30" spans="2:18" x14ac:dyDescent="0.2">
      <c r="B30" s="4">
        <f t="shared" si="11"/>
        <v>0</v>
      </c>
      <c r="C30" s="21"/>
      <c r="D30" s="4" t="str">
        <f>IF(E30="","",IF(C30="",D29,D29+1))</f>
        <v/>
      </c>
      <c r="E30" s="22" t="str">
        <f t="shared" si="7"/>
        <v/>
      </c>
      <c r="F30" s="4" t="str">
        <f t="shared" si="13"/>
        <v/>
      </c>
      <c r="G30" s="6"/>
      <c r="H30" s="22" t="str">
        <f t="shared" si="9"/>
        <v/>
      </c>
      <c r="I30" s="22" t="str">
        <f t="shared" si="10"/>
        <v/>
      </c>
      <c r="J30" s="22" t="str">
        <f t="shared" si="3"/>
        <v/>
      </c>
      <c r="K30" s="23" t="str">
        <f t="shared" si="12"/>
        <v/>
      </c>
      <c r="M30" s="24">
        <f t="shared" si="1"/>
        <v>27</v>
      </c>
      <c r="N30" s="5">
        <f t="shared" si="14"/>
        <v>16358234.633357076</v>
      </c>
      <c r="O30" s="5">
        <f t="shared" si="15"/>
        <v>1635723.4633357076</v>
      </c>
      <c r="Q30" s="287" t="s">
        <v>230</v>
      </c>
      <c r="R30" s="5">
        <f>100*((1+R28/100)^(7/150)-1)</f>
        <v>0.85446381104679059</v>
      </c>
    </row>
    <row r="31" spans="2:18" x14ac:dyDescent="0.2">
      <c r="B31" s="4">
        <f t="shared" si="11"/>
        <v>0</v>
      </c>
      <c r="C31" s="21"/>
      <c r="D31" s="4" t="str">
        <f t="shared" ref="D31:D32" si="16">IF(E31="","",IF(C31="",D30,D30+1))</f>
        <v/>
      </c>
      <c r="E31" s="22" t="str">
        <f t="shared" si="7"/>
        <v/>
      </c>
      <c r="F31" s="4" t="str">
        <f t="shared" si="13"/>
        <v/>
      </c>
      <c r="G31" s="6"/>
      <c r="H31" s="22" t="str">
        <f t="shared" si="9"/>
        <v/>
      </c>
      <c r="I31" s="22" t="str">
        <f t="shared" si="10"/>
        <v/>
      </c>
      <c r="J31" s="22" t="str">
        <f t="shared" si="3"/>
        <v/>
      </c>
      <c r="K31" s="23" t="str">
        <f t="shared" si="12"/>
        <v/>
      </c>
      <c r="M31" s="24">
        <f t="shared" si="1"/>
        <v>28</v>
      </c>
      <c r="N31" s="5">
        <f t="shared" si="14"/>
        <v>23431535.288820673</v>
      </c>
      <c r="O31" s="5">
        <f t="shared" si="15"/>
        <v>2343053.5288820672</v>
      </c>
    </row>
    <row r="32" spans="2:18" x14ac:dyDescent="0.2">
      <c r="B32" s="4">
        <f t="shared" si="11"/>
        <v>0</v>
      </c>
      <c r="C32" s="21"/>
      <c r="D32" s="4" t="str">
        <f t="shared" si="16"/>
        <v/>
      </c>
      <c r="E32" s="22" t="str">
        <f t="shared" si="7"/>
        <v/>
      </c>
      <c r="F32" s="4" t="str">
        <f t="shared" si="13"/>
        <v/>
      </c>
      <c r="G32" s="6"/>
      <c r="H32" s="22" t="str">
        <f t="shared" si="9"/>
        <v/>
      </c>
      <c r="I32" s="22" t="str">
        <f t="shared" si="10"/>
        <v/>
      </c>
      <c r="J32" s="22" t="str">
        <f t="shared" si="3"/>
        <v/>
      </c>
      <c r="K32" s="23" t="str">
        <f t="shared" si="12"/>
        <v/>
      </c>
      <c r="M32" s="24">
        <f t="shared" si="1"/>
        <v>29</v>
      </c>
      <c r="N32" s="5">
        <f t="shared" si="14"/>
        <v>33563331.147706732</v>
      </c>
      <c r="O32" s="5">
        <f t="shared" si="15"/>
        <v>3356233.1147706732</v>
      </c>
      <c r="Q32" s="24" t="s">
        <v>65</v>
      </c>
      <c r="R32" s="25">
        <v>5</v>
      </c>
    </row>
    <row r="33" spans="2:18" x14ac:dyDescent="0.2">
      <c r="B33" s="4">
        <f t="shared" si="11"/>
        <v>0</v>
      </c>
      <c r="C33" s="238"/>
      <c r="D33" s="4" t="str">
        <f>IF(E33="","",IF(C33="",D32,D32+1))</f>
        <v/>
      </c>
      <c r="E33" s="22" t="str">
        <f t="shared" si="7"/>
        <v/>
      </c>
      <c r="F33" s="4" t="str">
        <f t="shared" si="13"/>
        <v/>
      </c>
      <c r="G33" s="238"/>
      <c r="H33" s="238"/>
      <c r="I33" s="238"/>
      <c r="J33" s="238"/>
      <c r="K33" s="238"/>
      <c r="M33" s="24">
        <f t="shared" si="1"/>
        <v>30</v>
      </c>
      <c r="N33" s="5">
        <f t="shared" si="14"/>
        <v>48076115.535975121</v>
      </c>
      <c r="O33" s="5">
        <f t="shared" si="15"/>
        <v>4807511.5535975127</v>
      </c>
      <c r="Q33" s="287" t="s">
        <v>230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workbookViewId="0">
      <selection activeCell="H17" sqref="H17"/>
    </sheetView>
  </sheetViews>
  <sheetFormatPr defaultRowHeight="12.75" x14ac:dyDescent="0.2"/>
  <cols>
    <col min="1" max="1" width="3.140625" style="27" customWidth="1"/>
    <col min="2" max="2" width="5.85546875" customWidth="1"/>
    <col min="3" max="3" width="5.85546875" style="28" hidden="1" customWidth="1"/>
    <col min="4" max="4" width="8.5703125" style="29" customWidth="1"/>
    <col min="5" max="5" width="10.85546875" style="29" bestFit="1" customWidth="1"/>
    <col min="6" max="6" width="9.28515625" style="28" customWidth="1"/>
    <col min="7" max="7" width="10" style="28" customWidth="1"/>
    <col min="8" max="8" width="9.7109375" style="28" customWidth="1"/>
    <col min="9" max="9" width="12.7109375" style="28" bestFit="1" customWidth="1"/>
    <col min="10" max="10" width="4.42578125" style="27" hidden="1" customWidth="1"/>
    <col min="11" max="11" width="10.7109375" style="27" hidden="1" customWidth="1"/>
    <col min="12" max="12" width="9.140625" style="28" bestFit="1" customWidth="1"/>
    <col min="13" max="13" width="9.7109375" style="27" customWidth="1"/>
    <col min="14" max="14" width="9.85546875" style="27" customWidth="1"/>
    <col min="15" max="15" width="9.85546875" style="28" customWidth="1"/>
    <col min="16" max="16" width="15.140625" style="27" bestFit="1" customWidth="1"/>
    <col min="17" max="17" width="12" style="27" customWidth="1"/>
    <col min="18" max="18" width="3.140625" style="27" customWidth="1"/>
    <col min="19" max="16384" width="9.140625" style="27"/>
  </cols>
  <sheetData>
    <row r="1" spans="2:20" ht="13.5" thickBot="1" x14ac:dyDescent="0.25">
      <c r="O1" s="193"/>
      <c r="Q1" s="147"/>
    </row>
    <row r="2" spans="2:20" ht="13.5" thickBot="1" x14ac:dyDescent="0.25">
      <c r="F2" s="177" t="s">
        <v>144</v>
      </c>
      <c r="G2" s="221">
        <f>10000*(E6-E7)</f>
        <v>1.8999999999991246</v>
      </c>
      <c r="H2" s="180" t="s">
        <v>52</v>
      </c>
      <c r="I2" s="222">
        <f>SUM(E5:H5)</f>
        <v>34042.550000000003</v>
      </c>
      <c r="K2" s="323" t="s">
        <v>199</v>
      </c>
      <c r="L2" s="428" t="s">
        <v>110</v>
      </c>
      <c r="M2" s="429"/>
      <c r="N2" s="429"/>
      <c r="O2" s="430"/>
      <c r="Q2" s="313" t="s">
        <v>143</v>
      </c>
    </row>
    <row r="3" spans="2:20" ht="13.5" thickBot="1" x14ac:dyDescent="0.25">
      <c r="B3" s="444" t="s">
        <v>53</v>
      </c>
      <c r="C3" s="445"/>
      <c r="D3" s="445"/>
      <c r="E3" s="457" t="s">
        <v>72</v>
      </c>
      <c r="F3" s="458"/>
      <c r="G3" s="447" t="s">
        <v>50</v>
      </c>
      <c r="H3" s="448"/>
      <c r="I3" s="449"/>
      <c r="K3" s="322" t="str">
        <f>IF(I10="","",MATCH(VLOOKUP(MAX(J10:J27),J10:K27,2,FALSE),K10:K27,0))</f>
        <v/>
      </c>
      <c r="L3" s="203" t="s">
        <v>114</v>
      </c>
      <c r="M3" s="315" t="s">
        <v>50</v>
      </c>
      <c r="N3" s="314" t="s">
        <v>116</v>
      </c>
      <c r="O3" s="316" t="s">
        <v>153</v>
      </c>
      <c r="P3" s="316" t="s">
        <v>154</v>
      </c>
      <c r="Q3" s="176">
        <f ca="1">IF(Q6&lt;&gt;"",Q6,IF(Q4&lt;&gt;"",Q4,IF(I6&lt;-Q3,-I6,Q3)))</f>
        <v>0</v>
      </c>
      <c r="R3"/>
      <c r="S3"/>
    </row>
    <row r="4" spans="2:20" ht="13.5" thickBot="1" x14ac:dyDescent="0.25">
      <c r="B4" s="446"/>
      <c r="C4" s="440"/>
      <c r="D4" s="440"/>
      <c r="E4" s="459"/>
      <c r="F4" s="460"/>
      <c r="G4" s="179" t="s">
        <v>91</v>
      </c>
      <c r="H4" s="118" t="s">
        <v>92</v>
      </c>
      <c r="I4" s="178" t="s">
        <v>115</v>
      </c>
      <c r="K4" s="148" t="s">
        <v>155</v>
      </c>
      <c r="L4" s="192">
        <v>1</v>
      </c>
      <c r="M4" s="53" t="str">
        <f>IF(L4="","",IF(Q10="","",IF(D28=0,"",L4*Q10)))</f>
        <v/>
      </c>
      <c r="N4" s="53" t="str">
        <f>IF(M4="","",IF(E5="","",100*M4/E5))</f>
        <v/>
      </c>
      <c r="O4" s="305" t="str">
        <f>IF(L4="","",IF(L10="","",IF(D28="","",IF(D28=0,"",IF(M4="","",L10+(M4-G5-H5)/Q18/D28)))))</f>
        <v/>
      </c>
      <c r="P4" s="317" t="str">
        <f>IF(D28="","",IF(D10=D28,"",(M4-G5-H5-D28*Q18*(K7-L10))/(D28-K5)/Q18+K7))</f>
        <v/>
      </c>
      <c r="Q4" s="304"/>
    </row>
    <row r="5" spans="2:20" ht="13.5" thickBot="1" x14ac:dyDescent="0.25">
      <c r="B5" s="454">
        <f>E5+G5</f>
        <v>34042.550000000003</v>
      </c>
      <c r="C5" s="455"/>
      <c r="D5" s="456"/>
      <c r="E5" s="431">
        <f>DLog!$H$2</f>
        <v>34042.550000000003</v>
      </c>
      <c r="F5" s="432"/>
      <c r="G5" s="145">
        <f>SUM(M10:M27)</f>
        <v>0</v>
      </c>
      <c r="H5" s="53">
        <f>SUM(N10:N27)</f>
        <v>0</v>
      </c>
      <c r="I5" s="55">
        <f>G5+H5</f>
        <v>0</v>
      </c>
      <c r="K5" s="183" t="str">
        <f>IF(I10="","",INDEX(B10:B27,K3))</f>
        <v/>
      </c>
      <c r="L5" s="308" t="str">
        <f>IF(M5="","",IF(Q10="","",M5/Q10))</f>
        <v/>
      </c>
      <c r="M5" s="302" t="str">
        <f>IF(O5="","",IF(L10="","",IF(D28="","",G5+H5+(O5-L10)*Q18*D28)))</f>
        <v/>
      </c>
      <c r="N5" s="302" t="str">
        <f>IF(M5="","",100*M5/E5)</f>
        <v/>
      </c>
      <c r="O5" s="309"/>
      <c r="P5" s="306" t="s">
        <v>185</v>
      </c>
      <c r="Q5" s="187" t="s">
        <v>166</v>
      </c>
    </row>
    <row r="6" spans="2:20" ht="13.5" thickBot="1" x14ac:dyDescent="0.25">
      <c r="B6" s="436" t="s">
        <v>55</v>
      </c>
      <c r="C6" s="437"/>
      <c r="D6" s="438"/>
      <c r="E6" s="434">
        <f>[1]!EURUSD/100000</f>
        <v>1.06951</v>
      </c>
      <c r="F6" s="435"/>
      <c r="G6" s="146">
        <f>100*G5/E5</f>
        <v>0</v>
      </c>
      <c r="H6" s="58">
        <f>100*H5/E5</f>
        <v>0</v>
      </c>
      <c r="I6" s="60">
        <f>100*(I2/E5-1)</f>
        <v>0</v>
      </c>
      <c r="K6" s="148" t="s">
        <v>156</v>
      </c>
      <c r="L6" s="310" t="s">
        <v>117</v>
      </c>
      <c r="M6" s="53">
        <f>IF(N6="","",-N6*E5/100)</f>
        <v>-10212.765000000001</v>
      </c>
      <c r="N6" s="54">
        <v>30</v>
      </c>
      <c r="O6" s="220" t="str">
        <f>IF(N6="","",IF(L10="","",IF(D28=0,"",L10-(I2-E5-M6)/Q18/D28)))</f>
        <v/>
      </c>
      <c r="P6" s="311"/>
      <c r="Q6" s="254" t="str">
        <f>IF(P6="","",IF(D28="","",IF(D28&gt;0,ABS(100*(D28*Q18*(P6-L10)+I5)/E5),ABS(100*(D28*Q18*(P6-L10+0.00015)+I5)/E5))))</f>
        <v/>
      </c>
      <c r="T6"/>
    </row>
    <row r="7" spans="2:20" ht="13.5" thickBot="1" x14ac:dyDescent="0.25">
      <c r="B7" s="439" t="s">
        <v>56</v>
      </c>
      <c r="C7" s="440"/>
      <c r="D7" s="441"/>
      <c r="E7" s="423">
        <f>[2]!EURUSD/100000</f>
        <v>1.06932</v>
      </c>
      <c r="F7" s="424"/>
      <c r="G7" s="447" t="s">
        <v>51</v>
      </c>
      <c r="H7" s="448"/>
      <c r="I7" s="449"/>
      <c r="K7" s="307" t="str">
        <f>IF(I10="","",INDEX(F10:F27,K3))</f>
        <v/>
      </c>
      <c r="L7" s="319" t="s">
        <v>118</v>
      </c>
      <c r="M7" s="302">
        <f>IF(N7="","",-N7*E5/100)</f>
        <v>-33906.615012803384</v>
      </c>
      <c r="N7" s="320">
        <f>Risk!$C$28</f>
        <v>99.600690937674713</v>
      </c>
      <c r="O7" s="321" t="str">
        <f>IF(N7="","",IF(L10="","",IF(N7=0,"",IF(D28=0,"",L10-(I2-E5-M7)/Q18/D28))))</f>
        <v/>
      </c>
      <c r="P7" s="230" t="s">
        <v>198</v>
      </c>
      <c r="Q7" s="312">
        <f ca="1">IF(N7="","",IF(N7=0,"Kelly = 0",IF(Q3="","",100*Q3/N7)))</f>
        <v>0</v>
      </c>
    </row>
    <row r="8" spans="2:20" ht="12.75" customHeight="1" x14ac:dyDescent="0.2">
      <c r="B8" s="450" t="s">
        <v>73</v>
      </c>
      <c r="C8" s="421" t="s">
        <v>0</v>
      </c>
      <c r="D8" s="419" t="s">
        <v>108</v>
      </c>
      <c r="E8" s="425" t="s">
        <v>111</v>
      </c>
      <c r="F8" s="425" t="s">
        <v>112</v>
      </c>
      <c r="G8" s="419" t="s">
        <v>113</v>
      </c>
      <c r="H8" s="426" t="s">
        <v>49</v>
      </c>
      <c r="I8" s="419" t="s">
        <v>109</v>
      </c>
      <c r="J8" s="421" t="s">
        <v>0</v>
      </c>
      <c r="K8" s="421" t="s">
        <v>0</v>
      </c>
      <c r="L8" s="425" t="s">
        <v>194</v>
      </c>
      <c r="M8" s="419" t="s">
        <v>89</v>
      </c>
      <c r="N8" s="419" t="s">
        <v>90</v>
      </c>
      <c r="O8" s="452" t="s">
        <v>51</v>
      </c>
      <c r="P8" s="415" t="s">
        <v>149</v>
      </c>
      <c r="Q8" s="416"/>
    </row>
    <row r="9" spans="2:20" ht="13.5" thickBot="1" x14ac:dyDescent="0.25">
      <c r="B9" s="451"/>
      <c r="C9" s="422"/>
      <c r="D9" s="433"/>
      <c r="E9" s="420"/>
      <c r="F9" s="420"/>
      <c r="G9" s="420"/>
      <c r="H9" s="427"/>
      <c r="I9" s="420"/>
      <c r="J9" s="422"/>
      <c r="K9" s="422"/>
      <c r="L9" s="420"/>
      <c r="M9" s="420"/>
      <c r="N9" s="420"/>
      <c r="O9" s="453"/>
      <c r="P9" s="318" t="s">
        <v>147</v>
      </c>
      <c r="Q9" s="303" t="s">
        <v>148</v>
      </c>
    </row>
    <row r="10" spans="2:20" ht="13.5" thickBot="1" x14ac:dyDescent="0.25">
      <c r="B10" s="330"/>
      <c r="C10" s="331" t="str">
        <f>IF(D10="","",1)</f>
        <v/>
      </c>
      <c r="D10" s="53" t="str">
        <f t="shared" ref="D10:D27" si="0">IF(B10="","",IF(I10="p",D9,IF(I10="o",D9+B10,IF(I10="c",D9,IF(I10="","","Status?")))))</f>
        <v/>
      </c>
      <c r="E10" s="332"/>
      <c r="F10" s="332"/>
      <c r="G10" s="53" t="str">
        <f t="shared" ref="G10:G27" si="1">IF(B10="","",IF(E10="","",IF(F10="","",B10*Q$18*(F10-E10))))</f>
        <v/>
      </c>
      <c r="H10" s="54"/>
      <c r="I10" s="54"/>
      <c r="J10" s="331" t="str">
        <f>IF(I10="o",1,"")</f>
        <v/>
      </c>
      <c r="K10" s="331" t="str">
        <f>IF(I10="o",1,"")</f>
        <v/>
      </c>
      <c r="L10" s="333" t="str">
        <f t="shared" ref="L10:L27" si="2">IF(B10="","",IF(I10&lt;&gt;"o","",IF(B10&gt;0,E$7,IF(B10&lt;0,E$6,"Posição?"))))</f>
        <v/>
      </c>
      <c r="M10" s="53" t="str">
        <f t="shared" ref="M10:M27" si="3">IF(B10="","",IF(E10="","",IF(F10="","",IF(H10="","",IF(I10="c",B10*Q$18*(F10-E10)+H10,"")))))</f>
        <v/>
      </c>
      <c r="N10" s="53" t="str">
        <f t="shared" ref="N10:N27" si="4">IF(B10="","",IF(E10="","",IF(H10="","",IF(I10="o",B10*Q$18*(L10-E10)+H10,""))))</f>
        <v/>
      </c>
      <c r="O10" s="55" t="str">
        <f t="shared" ref="O10:O27" si="5">IF(B10="","",IF(E10="","",IF(H10="","",IF(I10="p",100*G10/E$5,IF(I10="o",100*N10/E$5,IF(I10="c",100*M10/E$5,""))))))</f>
        <v/>
      </c>
      <c r="P10" s="253"/>
      <c r="Q10" s="254" t="str">
        <f>IF(B10="","",IF(E10="","",IF(P10="","",B10*Q$18*(P10-E10))))</f>
        <v/>
      </c>
    </row>
    <row r="11" spans="2:20" x14ac:dyDescent="0.2">
      <c r="B11" s="56"/>
      <c r="C11" s="4" t="str">
        <f t="shared" ref="C11:C27" si="6">IF(D11="","",C10+1)</f>
        <v/>
      </c>
      <c r="D11" s="50" t="str">
        <f t="shared" si="0"/>
        <v/>
      </c>
      <c r="E11" s="51"/>
      <c r="F11" s="51"/>
      <c r="G11" s="181" t="str">
        <f t="shared" si="1"/>
        <v/>
      </c>
      <c r="H11" s="49"/>
      <c r="I11" s="49"/>
      <c r="J11" s="4" t="str">
        <f>IF(J10="","",IF(I11="","",J10+1))</f>
        <v/>
      </c>
      <c r="K11" s="4" t="str">
        <f t="shared" ref="K11:K27" si="7">IF(K10="","",IF(I11="","",IF(I11="o",K10+1,K10)))</f>
        <v/>
      </c>
      <c r="L11" s="52" t="str">
        <f t="shared" si="2"/>
        <v/>
      </c>
      <c r="M11" s="181" t="str">
        <f t="shared" si="3"/>
        <v/>
      </c>
      <c r="N11" s="181" t="str">
        <f t="shared" si="4"/>
        <v/>
      </c>
      <c r="O11" s="57" t="str">
        <f t="shared" si="5"/>
        <v/>
      </c>
      <c r="P11" s="229" t="s">
        <v>159</v>
      </c>
      <c r="Q11" s="184" t="str">
        <f>IF(G10="","",SUM(G10:H27))</f>
        <v/>
      </c>
    </row>
    <row r="12" spans="2:20" x14ac:dyDescent="0.2">
      <c r="B12" s="56"/>
      <c r="C12" s="4" t="str">
        <f t="shared" si="6"/>
        <v/>
      </c>
      <c r="D12" s="50" t="str">
        <f t="shared" si="0"/>
        <v/>
      </c>
      <c r="E12" s="51"/>
      <c r="F12" s="51"/>
      <c r="G12" s="181" t="str">
        <f t="shared" si="1"/>
        <v/>
      </c>
      <c r="H12" s="49"/>
      <c r="I12" s="49"/>
      <c r="J12" s="4" t="str">
        <f t="shared" ref="J12:J27" si="8">IF(J11="","",IF(I12="","",J11+1))</f>
        <v/>
      </c>
      <c r="K12" s="4" t="str">
        <f t="shared" si="7"/>
        <v/>
      </c>
      <c r="L12" s="52" t="str">
        <f t="shared" si="2"/>
        <v/>
      </c>
      <c r="M12" s="181" t="str">
        <f t="shared" si="3"/>
        <v/>
      </c>
      <c r="N12" s="181" t="str">
        <f t="shared" si="4"/>
        <v/>
      </c>
      <c r="O12" s="57" t="str">
        <f t="shared" si="5"/>
        <v/>
      </c>
      <c r="P12" s="186" t="s">
        <v>152</v>
      </c>
      <c r="Q12" s="185" t="str">
        <f>IF(Q11="","",100*Q11/E5)</f>
        <v/>
      </c>
    </row>
    <row r="13" spans="2:20" ht="13.5" thickBot="1" x14ac:dyDescent="0.25">
      <c r="B13" s="56"/>
      <c r="C13" s="4" t="str">
        <f t="shared" si="6"/>
        <v/>
      </c>
      <c r="D13" s="50" t="str">
        <f t="shared" si="0"/>
        <v/>
      </c>
      <c r="E13" s="51"/>
      <c r="F13" s="51"/>
      <c r="G13" s="181" t="str">
        <f t="shared" si="1"/>
        <v/>
      </c>
      <c r="H13" s="49"/>
      <c r="I13" s="49"/>
      <c r="J13" s="4" t="str">
        <f t="shared" si="8"/>
        <v/>
      </c>
      <c r="K13" s="4" t="str">
        <f t="shared" si="7"/>
        <v/>
      </c>
      <c r="L13" s="52" t="str">
        <f t="shared" si="2"/>
        <v/>
      </c>
      <c r="M13" s="181" t="str">
        <f t="shared" si="3"/>
        <v/>
      </c>
      <c r="N13" s="181" t="str">
        <f t="shared" si="4"/>
        <v/>
      </c>
      <c r="O13" s="57" t="str">
        <f t="shared" si="5"/>
        <v/>
      </c>
      <c r="P13" s="187" t="s">
        <v>150</v>
      </c>
      <c r="Q13" s="191" t="str">
        <f>IF(Q11=0,"",IF(Q10="","",Q11/Q10))</f>
        <v/>
      </c>
    </row>
    <row r="14" spans="2:20" ht="13.5" thickBot="1" x14ac:dyDescent="0.25">
      <c r="B14" s="56"/>
      <c r="C14" s="4" t="str">
        <f t="shared" si="6"/>
        <v/>
      </c>
      <c r="D14" s="50" t="str">
        <f t="shared" si="0"/>
        <v/>
      </c>
      <c r="E14" s="51"/>
      <c r="F14" s="51"/>
      <c r="G14" s="181" t="str">
        <f t="shared" si="1"/>
        <v/>
      </c>
      <c r="H14" s="49"/>
      <c r="I14" s="49"/>
      <c r="J14" s="4" t="str">
        <f t="shared" si="8"/>
        <v/>
      </c>
      <c r="K14" s="4" t="str">
        <f t="shared" si="7"/>
        <v/>
      </c>
      <c r="L14" s="52" t="str">
        <f t="shared" si="2"/>
        <v/>
      </c>
      <c r="M14" s="181" t="str">
        <f t="shared" si="3"/>
        <v/>
      </c>
      <c r="N14" s="181" t="str">
        <f t="shared" si="4"/>
        <v/>
      </c>
      <c r="O14" s="57" t="str">
        <f t="shared" si="5"/>
        <v/>
      </c>
      <c r="P14" s="417" t="s">
        <v>186</v>
      </c>
      <c r="Q14" s="418"/>
    </row>
    <row r="15" spans="2:20" x14ac:dyDescent="0.2">
      <c r="B15" s="56"/>
      <c r="C15" s="4" t="str">
        <f t="shared" si="6"/>
        <v/>
      </c>
      <c r="D15" s="50" t="str">
        <f t="shared" si="0"/>
        <v/>
      </c>
      <c r="E15" s="51"/>
      <c r="F15" s="51"/>
      <c r="G15" s="181" t="str">
        <f t="shared" si="1"/>
        <v/>
      </c>
      <c r="H15" s="49"/>
      <c r="I15" s="49"/>
      <c r="J15" s="4" t="str">
        <f t="shared" si="8"/>
        <v/>
      </c>
      <c r="K15" s="4" t="str">
        <f t="shared" si="7"/>
        <v/>
      </c>
      <c r="L15" s="52" t="str">
        <f t="shared" si="2"/>
        <v/>
      </c>
      <c r="M15" s="181" t="str">
        <f t="shared" si="3"/>
        <v/>
      </c>
      <c r="N15" s="181" t="str">
        <f t="shared" si="4"/>
        <v/>
      </c>
      <c r="O15" s="360" t="str">
        <f t="shared" si="5"/>
        <v/>
      </c>
      <c r="P15" s="363" t="s">
        <v>145</v>
      </c>
      <c r="Q15" s="361">
        <v>1</v>
      </c>
    </row>
    <row r="16" spans="2:20" x14ac:dyDescent="0.2">
      <c r="B16" s="56"/>
      <c r="C16" s="4" t="str">
        <f t="shared" si="6"/>
        <v/>
      </c>
      <c r="D16" s="50" t="str">
        <f t="shared" si="0"/>
        <v/>
      </c>
      <c r="E16" s="51"/>
      <c r="F16" s="51"/>
      <c r="G16" s="181" t="str">
        <f t="shared" si="1"/>
        <v/>
      </c>
      <c r="H16" s="49"/>
      <c r="I16" s="49"/>
      <c r="J16" s="4" t="str">
        <f t="shared" si="8"/>
        <v/>
      </c>
      <c r="K16" s="4" t="str">
        <f t="shared" si="7"/>
        <v/>
      </c>
      <c r="L16" s="52" t="str">
        <f t="shared" si="2"/>
        <v/>
      </c>
      <c r="M16" s="181" t="str">
        <f t="shared" si="3"/>
        <v/>
      </c>
      <c r="N16" s="181" t="str">
        <f t="shared" si="4"/>
        <v/>
      </c>
      <c r="O16" s="360" t="str">
        <f t="shared" si="5"/>
        <v/>
      </c>
      <c r="P16" s="188" t="s">
        <v>216</v>
      </c>
      <c r="Q16" s="189">
        <v>110</v>
      </c>
    </row>
    <row r="17" spans="2:20" ht="13.5" thickBot="1" x14ac:dyDescent="0.25">
      <c r="B17" s="56"/>
      <c r="C17" s="4" t="str">
        <f t="shared" si="6"/>
        <v/>
      </c>
      <c r="D17" s="50" t="str">
        <f t="shared" si="0"/>
        <v/>
      </c>
      <c r="E17" s="51"/>
      <c r="F17" s="51"/>
      <c r="G17" s="181" t="str">
        <f t="shared" si="1"/>
        <v/>
      </c>
      <c r="H17" s="49"/>
      <c r="I17" s="49"/>
      <c r="J17" s="4" t="str">
        <f t="shared" si="8"/>
        <v/>
      </c>
      <c r="K17" s="4" t="str">
        <f t="shared" si="7"/>
        <v/>
      </c>
      <c r="L17" s="52" t="str">
        <f t="shared" si="2"/>
        <v/>
      </c>
      <c r="M17" s="181" t="str">
        <f t="shared" si="3"/>
        <v/>
      </c>
      <c r="N17" s="181" t="str">
        <f t="shared" si="4"/>
        <v/>
      </c>
      <c r="O17" s="360" t="str">
        <f t="shared" si="5"/>
        <v/>
      </c>
      <c r="P17" s="338" t="s">
        <v>68</v>
      </c>
      <c r="Q17" s="339">
        <f>IF(Q15="","",IF(Q16="","",IF(O28="","",Q15*(1+Q16*(O28-1)/100))))</f>
        <v>3.5520253343814061</v>
      </c>
    </row>
    <row r="18" spans="2:20" x14ac:dyDescent="0.2">
      <c r="B18" s="56"/>
      <c r="C18" s="4" t="str">
        <f t="shared" si="6"/>
        <v/>
      </c>
      <c r="D18" s="50" t="str">
        <f t="shared" si="0"/>
        <v/>
      </c>
      <c r="E18" s="51"/>
      <c r="F18" s="51"/>
      <c r="G18" s="181" t="str">
        <f t="shared" si="1"/>
        <v/>
      </c>
      <c r="H18" s="49"/>
      <c r="I18" s="49"/>
      <c r="J18" s="4" t="str">
        <f t="shared" si="8"/>
        <v/>
      </c>
      <c r="K18" s="4" t="str">
        <f t="shared" si="7"/>
        <v/>
      </c>
      <c r="L18" s="52" t="str">
        <f t="shared" si="2"/>
        <v/>
      </c>
      <c r="M18" s="181" t="str">
        <f t="shared" si="3"/>
        <v/>
      </c>
      <c r="N18" s="181" t="str">
        <f t="shared" si="4"/>
        <v/>
      </c>
      <c r="O18" s="360" t="str">
        <f t="shared" si="5"/>
        <v/>
      </c>
      <c r="P18" s="363" t="s">
        <v>158</v>
      </c>
      <c r="Q18" s="365">
        <v>100000</v>
      </c>
    </row>
    <row r="19" spans="2:20" x14ac:dyDescent="0.2">
      <c r="B19" s="56"/>
      <c r="C19" s="4" t="str">
        <f t="shared" si="6"/>
        <v/>
      </c>
      <c r="D19" s="50" t="str">
        <f t="shared" si="0"/>
        <v/>
      </c>
      <c r="E19" s="51"/>
      <c r="F19" s="51"/>
      <c r="G19" s="181" t="str">
        <f t="shared" si="1"/>
        <v/>
      </c>
      <c r="H19" s="49"/>
      <c r="I19" s="49"/>
      <c r="J19" s="4" t="str">
        <f t="shared" si="8"/>
        <v/>
      </c>
      <c r="K19" s="4" t="str">
        <f t="shared" si="7"/>
        <v/>
      </c>
      <c r="L19" s="52" t="str">
        <f t="shared" si="2"/>
        <v/>
      </c>
      <c r="M19" s="181" t="str">
        <f t="shared" si="3"/>
        <v/>
      </c>
      <c r="N19" s="181" t="str">
        <f t="shared" si="4"/>
        <v/>
      </c>
      <c r="O19" s="360" t="str">
        <f t="shared" si="5"/>
        <v/>
      </c>
      <c r="P19" s="367" t="s">
        <v>217</v>
      </c>
      <c r="Q19" s="366">
        <v>500</v>
      </c>
    </row>
    <row r="20" spans="2:20" x14ac:dyDescent="0.2">
      <c r="B20" s="56"/>
      <c r="C20" s="4" t="str">
        <f t="shared" si="6"/>
        <v/>
      </c>
      <c r="D20" s="50" t="str">
        <f t="shared" si="0"/>
        <v/>
      </c>
      <c r="E20" s="51"/>
      <c r="F20" s="51"/>
      <c r="G20" s="181" t="str">
        <f t="shared" si="1"/>
        <v/>
      </c>
      <c r="H20" s="49"/>
      <c r="I20" s="49"/>
      <c r="J20" s="4" t="str">
        <f t="shared" si="8"/>
        <v/>
      </c>
      <c r="K20" s="4" t="str">
        <f t="shared" si="7"/>
        <v/>
      </c>
      <c r="L20" s="52" t="str">
        <f t="shared" si="2"/>
        <v/>
      </c>
      <c r="M20" s="181" t="str">
        <f t="shared" si="3"/>
        <v/>
      </c>
      <c r="N20" s="181" t="str">
        <f t="shared" si="4"/>
        <v/>
      </c>
      <c r="O20" s="360" t="str">
        <f t="shared" si="5"/>
        <v/>
      </c>
      <c r="P20" s="367" t="s">
        <v>218</v>
      </c>
      <c r="Q20" s="185">
        <f>IF(E5="","",IF(Q18="","",IF(Q19="","",E5*Q19/Q18)))</f>
        <v>170.21275</v>
      </c>
    </row>
    <row r="21" spans="2:20" x14ac:dyDescent="0.2">
      <c r="B21" s="56"/>
      <c r="C21" s="4" t="str">
        <f t="shared" si="6"/>
        <v/>
      </c>
      <c r="D21" s="50" t="str">
        <f t="shared" si="0"/>
        <v/>
      </c>
      <c r="E21" s="51"/>
      <c r="F21" s="51"/>
      <c r="G21" s="181" t="str">
        <f t="shared" si="1"/>
        <v/>
      </c>
      <c r="H21" s="49"/>
      <c r="I21" s="49"/>
      <c r="J21" s="4" t="str">
        <f t="shared" si="8"/>
        <v/>
      </c>
      <c r="K21" s="4" t="str">
        <f t="shared" si="7"/>
        <v/>
      </c>
      <c r="L21" s="52" t="str">
        <f t="shared" si="2"/>
        <v/>
      </c>
      <c r="M21" s="181" t="str">
        <f t="shared" si="3"/>
        <v/>
      </c>
      <c r="N21" s="181" t="str">
        <f t="shared" si="4"/>
        <v/>
      </c>
      <c r="O21" s="360" t="str">
        <f t="shared" si="5"/>
        <v/>
      </c>
      <c r="P21" s="188" t="s">
        <v>187</v>
      </c>
      <c r="Q21" s="185">
        <f>IF(E5="","",IF(Q17="","",IF(Q18="","",IF(E5*Q17/Q18&gt;Q20,"",E5*Q17/Q18))))</f>
        <v>1.2092000004694574</v>
      </c>
    </row>
    <row r="22" spans="2:20" x14ac:dyDescent="0.2">
      <c r="B22" s="56"/>
      <c r="C22" s="4" t="str">
        <f t="shared" si="6"/>
        <v/>
      </c>
      <c r="D22" s="50" t="str">
        <f t="shared" si="0"/>
        <v/>
      </c>
      <c r="E22" s="51"/>
      <c r="F22" s="51"/>
      <c r="G22" s="181" t="str">
        <f t="shared" si="1"/>
        <v/>
      </c>
      <c r="H22" s="49"/>
      <c r="I22" s="49"/>
      <c r="J22" s="4" t="str">
        <f t="shared" si="8"/>
        <v/>
      </c>
      <c r="K22" s="4" t="str">
        <f t="shared" si="7"/>
        <v/>
      </c>
      <c r="L22" s="52" t="str">
        <f t="shared" si="2"/>
        <v/>
      </c>
      <c r="M22" s="181" t="str">
        <f t="shared" si="3"/>
        <v/>
      </c>
      <c r="N22" s="181" t="str">
        <f t="shared" si="4"/>
        <v/>
      </c>
      <c r="O22" s="360" t="str">
        <f t="shared" si="5"/>
        <v/>
      </c>
      <c r="P22" s="188" t="s">
        <v>188</v>
      </c>
      <c r="Q22" s="185">
        <f>IF(Q21="","",IF(SUM(Q$21:Q21)=Q$20,"",IF(2*Q21+SUM(Q$21:Q21)&gt;Q$20,Q$20-SUM(Q$21:Q21),2*Q21)))</f>
        <v>2.4184000009389148</v>
      </c>
    </row>
    <row r="23" spans="2:20" x14ac:dyDescent="0.2">
      <c r="B23" s="56"/>
      <c r="C23" s="4" t="str">
        <f t="shared" si="6"/>
        <v/>
      </c>
      <c r="D23" s="50" t="str">
        <f t="shared" si="0"/>
        <v/>
      </c>
      <c r="E23" s="51"/>
      <c r="F23" s="51"/>
      <c r="G23" s="181" t="str">
        <f t="shared" si="1"/>
        <v/>
      </c>
      <c r="H23" s="49"/>
      <c r="I23" s="49"/>
      <c r="J23" s="4" t="str">
        <f t="shared" si="8"/>
        <v/>
      </c>
      <c r="K23" s="4" t="str">
        <f t="shared" si="7"/>
        <v/>
      </c>
      <c r="L23" s="52" t="str">
        <f t="shared" si="2"/>
        <v/>
      </c>
      <c r="M23" s="181" t="str">
        <f t="shared" si="3"/>
        <v/>
      </c>
      <c r="N23" s="181" t="str">
        <f t="shared" si="4"/>
        <v/>
      </c>
      <c r="O23" s="360" t="str">
        <f t="shared" si="5"/>
        <v/>
      </c>
      <c r="P23" s="188" t="s">
        <v>189</v>
      </c>
      <c r="Q23" s="185">
        <f>IF(Q22="","",IF(SUM(Q$21:Q22)=Q$20,"",IF(2*Q22+SUM(Q$21:Q22)&gt;Q$20,Q$20-SUM(Q$21:Q22),2*Q22)))</f>
        <v>4.8368000018778297</v>
      </c>
    </row>
    <row r="24" spans="2:20" x14ac:dyDescent="0.2">
      <c r="B24" s="56"/>
      <c r="C24" s="4" t="str">
        <f t="shared" si="6"/>
        <v/>
      </c>
      <c r="D24" s="50" t="str">
        <f t="shared" si="0"/>
        <v/>
      </c>
      <c r="E24" s="51"/>
      <c r="F24" s="51"/>
      <c r="G24" s="181" t="str">
        <f t="shared" si="1"/>
        <v/>
      </c>
      <c r="H24" s="49"/>
      <c r="I24" s="49"/>
      <c r="J24" s="4" t="str">
        <f t="shared" si="8"/>
        <v/>
      </c>
      <c r="K24" s="4" t="str">
        <f t="shared" si="7"/>
        <v/>
      </c>
      <c r="L24" s="52" t="str">
        <f t="shared" si="2"/>
        <v/>
      </c>
      <c r="M24" s="181" t="str">
        <f t="shared" si="3"/>
        <v/>
      </c>
      <c r="N24" s="181" t="str">
        <f t="shared" si="4"/>
        <v/>
      </c>
      <c r="O24" s="360" t="str">
        <f t="shared" si="5"/>
        <v/>
      </c>
      <c r="P24" s="188" t="s">
        <v>190</v>
      </c>
      <c r="Q24" s="185">
        <f>IF(Q23="","",IF(SUM(Q$21:Q23)=Q$20,"",IF(2*Q23+SUM(Q$21:Q23)&gt;Q$20,Q$20-SUM(Q$21:Q23),2*Q23)))</f>
        <v>9.6736000037556593</v>
      </c>
    </row>
    <row r="25" spans="2:20" x14ac:dyDescent="0.2">
      <c r="B25" s="56"/>
      <c r="C25" s="4" t="str">
        <f t="shared" si="6"/>
        <v/>
      </c>
      <c r="D25" s="50" t="str">
        <f t="shared" si="0"/>
        <v/>
      </c>
      <c r="E25" s="51"/>
      <c r="F25" s="51"/>
      <c r="G25" s="181" t="str">
        <f t="shared" si="1"/>
        <v/>
      </c>
      <c r="H25" s="49"/>
      <c r="I25" s="49"/>
      <c r="J25" s="4" t="str">
        <f t="shared" si="8"/>
        <v/>
      </c>
      <c r="K25" s="4" t="str">
        <f t="shared" si="7"/>
        <v/>
      </c>
      <c r="L25" s="52" t="str">
        <f t="shared" si="2"/>
        <v/>
      </c>
      <c r="M25" s="181" t="str">
        <f t="shared" si="3"/>
        <v/>
      </c>
      <c r="N25" s="181" t="str">
        <f t="shared" si="4"/>
        <v/>
      </c>
      <c r="O25" s="360" t="str">
        <f t="shared" si="5"/>
        <v/>
      </c>
      <c r="P25" s="188" t="s">
        <v>191</v>
      </c>
      <c r="Q25" s="185">
        <f>IF(Q24="","",IF(SUM(Q$21:Q24)=Q$20,"",IF(2*Q24+SUM(Q$21:Q24)&gt;Q$20,Q$20-SUM(Q$21:Q24),2*Q24)))</f>
        <v>19.347200007511319</v>
      </c>
    </row>
    <row r="26" spans="2:20" x14ac:dyDescent="0.2">
      <c r="B26" s="56"/>
      <c r="C26" s="4" t="str">
        <f t="shared" si="6"/>
        <v/>
      </c>
      <c r="D26" s="50" t="str">
        <f t="shared" si="0"/>
        <v/>
      </c>
      <c r="E26" s="51"/>
      <c r="F26" s="51"/>
      <c r="G26" s="181" t="str">
        <f t="shared" si="1"/>
        <v/>
      </c>
      <c r="H26" s="49"/>
      <c r="I26" s="49"/>
      <c r="J26" s="4" t="str">
        <f t="shared" si="8"/>
        <v/>
      </c>
      <c r="K26" s="4" t="str">
        <f t="shared" si="7"/>
        <v/>
      </c>
      <c r="L26" s="52" t="str">
        <f t="shared" si="2"/>
        <v/>
      </c>
      <c r="M26" s="181" t="str">
        <f t="shared" si="3"/>
        <v/>
      </c>
      <c r="N26" s="181" t="str">
        <f t="shared" si="4"/>
        <v/>
      </c>
      <c r="O26" s="360" t="str">
        <f t="shared" si="5"/>
        <v/>
      </c>
      <c r="P26" s="188" t="s">
        <v>195</v>
      </c>
      <c r="Q26" s="185">
        <f>IF(Q25="","",IF(SUM(Q$21:Q25)=Q$20,"",IF(2*Q25+SUM(Q$21:Q25)&gt;Q$20,Q$20-SUM(Q$21:Q25),2*Q25)))</f>
        <v>38.694400015022637</v>
      </c>
    </row>
    <row r="27" spans="2:20" ht="13.5" thickBot="1" x14ac:dyDescent="0.25">
      <c r="B27" s="334"/>
      <c r="C27" s="8" t="str">
        <f t="shared" si="6"/>
        <v/>
      </c>
      <c r="D27" s="58" t="str">
        <f t="shared" si="0"/>
        <v/>
      </c>
      <c r="E27" s="335"/>
      <c r="F27" s="335"/>
      <c r="G27" s="336" t="str">
        <f t="shared" si="1"/>
        <v/>
      </c>
      <c r="H27" s="59"/>
      <c r="I27" s="59"/>
      <c r="J27" s="8" t="str">
        <f t="shared" si="8"/>
        <v/>
      </c>
      <c r="K27" s="8" t="str">
        <f t="shared" si="7"/>
        <v/>
      </c>
      <c r="L27" s="337" t="str">
        <f t="shared" si="2"/>
        <v/>
      </c>
      <c r="M27" s="336" t="str">
        <f t="shared" si="3"/>
        <v/>
      </c>
      <c r="N27" s="336" t="str">
        <f t="shared" si="4"/>
        <v/>
      </c>
      <c r="O27" s="364" t="str">
        <f t="shared" si="5"/>
        <v/>
      </c>
      <c r="P27" s="188" t="s">
        <v>196</v>
      </c>
      <c r="Q27" s="185">
        <f>IF(Q26="","",IF(SUM(Q$21:Q26)=Q$20,"",IF(2*Q26+SUM(Q$21:Q26)&gt;Q$20,Q$20-SUM(Q$21:Q26),2*Q26)))</f>
        <v>77.388800030045275</v>
      </c>
    </row>
    <row r="28" spans="2:20" ht="13.5" thickBot="1" x14ac:dyDescent="0.25">
      <c r="B28" s="326" t="s">
        <v>115</v>
      </c>
      <c r="C28" s="327"/>
      <c r="D28" s="328" t="str">
        <f>IF(D10="","",VLOOKUP(MAX(C10:C27),C10:D27,2,FALSE))</f>
        <v/>
      </c>
      <c r="E28" s="442" t="s">
        <v>157</v>
      </c>
      <c r="F28" s="443"/>
      <c r="G28" s="329" t="str">
        <f>IF(Q18="","",IF(D28="","",IF(E5="","",ABS(Q18*D28/E5))))</f>
        <v/>
      </c>
      <c r="M28" s="461" t="s">
        <v>209</v>
      </c>
      <c r="N28" s="462"/>
      <c r="O28" s="324">
        <f>IF(N6="",1,IF(N7="",1,IF(N7=0,1,IF(N7&lt;N6,1,N7/N6))))</f>
        <v>3.3200230312558237</v>
      </c>
      <c r="P28" s="190" t="s">
        <v>197</v>
      </c>
      <c r="Q28" s="362">
        <f>IF(Q27="","",IF(SUM(Q$21:Q27)=Q$20,"",IF(2*Q27+SUM(Q$21:Q27)&gt;Q$20,Q$20-SUM(Q$21:Q27),2*Q27)))</f>
        <v>16.644349940378902</v>
      </c>
      <c r="T28"/>
    </row>
  </sheetData>
  <mergeCells count="29">
    <mergeCell ref="E28:F28"/>
    <mergeCell ref="B3:D4"/>
    <mergeCell ref="G7:I7"/>
    <mergeCell ref="B8:B9"/>
    <mergeCell ref="O8:O9"/>
    <mergeCell ref="B5:D5"/>
    <mergeCell ref="C8:C9"/>
    <mergeCell ref="E3:F4"/>
    <mergeCell ref="G3:I3"/>
    <mergeCell ref="M28:N28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P8:Q8"/>
    <mergeCell ref="P14:Q14"/>
    <mergeCell ref="N8:N9"/>
    <mergeCell ref="K8:K9"/>
    <mergeCell ref="E7:F7"/>
    <mergeCell ref="I8:I9"/>
    <mergeCell ref="F8:F9"/>
    <mergeCell ref="H8:H9"/>
    <mergeCell ref="J8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03"/>
  <sheetViews>
    <sheetView workbookViewId="0">
      <selection activeCell="V11" sqref="V11"/>
    </sheetView>
  </sheetViews>
  <sheetFormatPr defaultRowHeight="12.75" x14ac:dyDescent="0.2"/>
  <cols>
    <col min="1" max="1" width="2.140625" customWidth="1"/>
    <col min="2" max="2" width="4.28515625" customWidth="1"/>
    <col min="3" max="3" width="8.140625" bestFit="1" customWidth="1"/>
    <col min="4" max="4" width="10.140625" bestFit="1" customWidth="1"/>
    <col min="5" max="5" width="3" hidden="1" customWidth="1"/>
    <col min="6" max="6" width="6.7109375" customWidth="1"/>
    <col min="7" max="7" width="3" hidden="1" customWidth="1"/>
    <col min="8" max="8" width="10.140625" bestFit="1" customWidth="1"/>
    <col min="9" max="9" width="5.85546875" bestFit="1" customWidth="1"/>
    <col min="10" max="10" width="3" hidden="1" customWidth="1"/>
    <col min="11" max="11" width="4.7109375" hidden="1" customWidth="1"/>
    <col min="12" max="12" width="3" hidden="1" customWidth="1"/>
    <col min="13" max="13" width="6.140625" hidden="1" customWidth="1"/>
    <col min="14" max="14" width="6.5703125" bestFit="1" customWidth="1"/>
    <col min="15" max="15" width="2.140625" customWidth="1"/>
    <col min="16" max="16" width="9.85546875" bestFit="1" customWidth="1"/>
    <col min="17" max="17" width="9.5703125" bestFit="1" customWidth="1"/>
    <col min="18" max="18" width="10.140625" bestFit="1" customWidth="1"/>
    <col min="20" max="20" width="2.140625" customWidth="1"/>
    <col min="22" max="22" width="12.42578125" bestFit="1" customWidth="1"/>
    <col min="25" max="25" width="2.140625" customWidth="1"/>
  </cols>
  <sheetData>
    <row r="1" spans="2:24" ht="13.5" thickBot="1" x14ac:dyDescent="0.25">
      <c r="K1" s="28"/>
    </row>
    <row r="2" spans="2:24" s="261" customFormat="1" ht="12.75" customHeight="1" x14ac:dyDescent="0.2">
      <c r="B2" s="260" t="s">
        <v>0</v>
      </c>
      <c r="C2" s="268" t="s">
        <v>33</v>
      </c>
      <c r="D2" s="257" t="s">
        <v>64</v>
      </c>
      <c r="E2" s="260" t="s">
        <v>0</v>
      </c>
      <c r="F2" s="258" t="s">
        <v>101</v>
      </c>
      <c r="G2" s="260" t="s">
        <v>0</v>
      </c>
      <c r="H2" s="258" t="s">
        <v>179</v>
      </c>
      <c r="I2" s="262" t="s">
        <v>164</v>
      </c>
      <c r="J2" s="260" t="s">
        <v>0</v>
      </c>
      <c r="K2" s="270" t="s">
        <v>229</v>
      </c>
      <c r="L2" s="260" t="s">
        <v>0</v>
      </c>
      <c r="M2" s="399" t="s">
        <v>70</v>
      </c>
      <c r="N2" s="262" t="s">
        <v>69</v>
      </c>
      <c r="P2" s="392" t="s">
        <v>179</v>
      </c>
      <c r="Q2" s="400">
        <f>IF(H4="","",VLOOKUP(MAX(G4:G103),G4:H103,2,FALSE))</f>
        <v>0.13198198235753189</v>
      </c>
      <c r="R2" s="401" t="s">
        <v>237</v>
      </c>
      <c r="S2" s="395">
        <f>IF(F4="","",VLOOKUP(MAX(E4:E103),E4:F103,2,FALSE))</f>
        <v>0.38641747300548063</v>
      </c>
      <c r="U2" s="463" t="s">
        <v>183</v>
      </c>
      <c r="V2" s="464"/>
      <c r="W2" s="464"/>
      <c r="X2" s="465"/>
    </row>
    <row r="3" spans="2:24" ht="13.5" thickBot="1" x14ac:dyDescent="0.25">
      <c r="B3" s="255">
        <v>0</v>
      </c>
      <c r="C3" s="134">
        <v>42737</v>
      </c>
      <c r="D3" s="126">
        <v>33112.58</v>
      </c>
      <c r="E3" s="255">
        <v>0</v>
      </c>
      <c r="F3" s="256"/>
      <c r="G3" s="255">
        <v>0</v>
      </c>
      <c r="H3" s="256"/>
      <c r="I3" s="256"/>
      <c r="J3" s="255">
        <v>0</v>
      </c>
      <c r="K3" s="255">
        <v>0</v>
      </c>
      <c r="L3" s="255">
        <v>0</v>
      </c>
      <c r="M3" s="255">
        <v>0</v>
      </c>
      <c r="N3" s="256"/>
      <c r="P3" s="396" t="s">
        <v>229</v>
      </c>
      <c r="Q3" s="402">
        <f>IF(C3="","",VLOOKUP(MAX(J4:J103),J4:K103,2,FALSE))</f>
        <v>28</v>
      </c>
      <c r="R3" s="403" t="s">
        <v>70</v>
      </c>
      <c r="S3" s="398">
        <f>IF(L4="","",VLOOKUP(MAX(L4:L103),L4:M103,2,FALSE))</f>
        <v>21</v>
      </c>
      <c r="U3" s="466"/>
      <c r="V3" s="467"/>
      <c r="W3" s="467"/>
      <c r="X3" s="468"/>
    </row>
    <row r="4" spans="2:24" ht="13.5" thickBot="1" x14ac:dyDescent="0.25">
      <c r="B4" s="4">
        <f t="shared" ref="B4:B67" si="0">B3+1</f>
        <v>1</v>
      </c>
      <c r="C4" s="134">
        <v>42737</v>
      </c>
      <c r="D4" s="126">
        <v>33089.15</v>
      </c>
      <c r="E4" s="4">
        <f>IF(D4="","",E3+1)</f>
        <v>1</v>
      </c>
      <c r="F4" s="259">
        <f t="shared" ref="F4:F26" si="1">IF(D4="","",100*(D4-D3)/D3)</f>
        <v>-7.0758605943723768E-2</v>
      </c>
      <c r="G4" s="4">
        <f t="shared" ref="G4:G35" si="2">IF(D4="","",G3+1)</f>
        <v>1</v>
      </c>
      <c r="H4" s="266">
        <f t="shared" ref="H4:H35" si="3">IF(F4="","",100*(((D4-D$3)/D$3+1)^(1/G4)-1))</f>
        <v>-7.075860594372152E-2</v>
      </c>
      <c r="I4" s="126">
        <v>7.0000000000000007E-2</v>
      </c>
      <c r="J4" s="4">
        <f t="shared" ref="J4:J67" si="4">IF(H4="","",J3+1)</f>
        <v>1</v>
      </c>
      <c r="K4" s="4">
        <f t="shared" ref="K4:K35" si="5">IF(D4="","",IF(C4="",K3,C4-C$3))</f>
        <v>0</v>
      </c>
      <c r="L4" s="4">
        <f t="shared" ref="L4:M67" si="6">IF(J4="","",L3+1)</f>
        <v>1</v>
      </c>
      <c r="M4" s="4">
        <f t="shared" si="6"/>
        <v>1</v>
      </c>
      <c r="N4" s="126"/>
      <c r="U4" s="469" t="s">
        <v>240</v>
      </c>
      <c r="V4" s="470"/>
      <c r="W4" s="284">
        <f>_xlfn.T.TEST(D3:D13,D14:D24,2,3)</f>
        <v>2.0140398620812584E-3</v>
      </c>
      <c r="X4" s="285">
        <f>1-W4</f>
        <v>0.99798596013791874</v>
      </c>
    </row>
    <row r="5" spans="2:24" ht="13.5" thickBot="1" x14ac:dyDescent="0.25">
      <c r="B5" s="4">
        <f t="shared" si="0"/>
        <v>2</v>
      </c>
      <c r="C5" s="21">
        <v>42738</v>
      </c>
      <c r="D5" s="126">
        <v>33103.339999999997</v>
      </c>
      <c r="E5" s="4">
        <f t="shared" ref="E5:E68" si="7">IF(D5="","",E4+1)</f>
        <v>2</v>
      </c>
      <c r="F5" s="259">
        <f t="shared" si="1"/>
        <v>4.288414782487629E-2</v>
      </c>
      <c r="G5" s="4">
        <f t="shared" si="2"/>
        <v>2</v>
      </c>
      <c r="H5" s="266">
        <f t="shared" si="3"/>
        <v>-1.3953374655328865E-2</v>
      </c>
      <c r="I5" s="126">
        <v>0.05</v>
      </c>
      <c r="J5" s="4">
        <f t="shared" si="4"/>
        <v>2</v>
      </c>
      <c r="K5" s="4">
        <f t="shared" si="5"/>
        <v>1</v>
      </c>
      <c r="L5" s="4">
        <f t="shared" si="6"/>
        <v>2</v>
      </c>
      <c r="M5" s="4">
        <f t="shared" si="6"/>
        <v>2</v>
      </c>
      <c r="N5" s="126"/>
      <c r="P5" s="475" t="s">
        <v>232</v>
      </c>
      <c r="Q5" s="476"/>
      <c r="R5" s="476"/>
      <c r="S5" s="477"/>
    </row>
    <row r="6" spans="2:24" ht="13.5" thickBot="1" x14ac:dyDescent="0.25">
      <c r="B6" s="4">
        <f t="shared" si="0"/>
        <v>3</v>
      </c>
      <c r="C6" s="21"/>
      <c r="D6" s="126">
        <v>33130.730000000003</v>
      </c>
      <c r="E6" s="4">
        <f t="shared" si="7"/>
        <v>3</v>
      </c>
      <c r="F6" s="259">
        <f t="shared" si="1"/>
        <v>8.2740895631699687E-2</v>
      </c>
      <c r="G6" s="4">
        <f t="shared" si="2"/>
        <v>3</v>
      </c>
      <c r="H6" s="266">
        <f t="shared" si="3"/>
        <v>1.8267664255988691E-2</v>
      </c>
      <c r="I6" s="126">
        <v>0.14000000000000001</v>
      </c>
      <c r="J6" s="4">
        <f t="shared" si="4"/>
        <v>3</v>
      </c>
      <c r="K6" s="4">
        <f t="shared" si="5"/>
        <v>1</v>
      </c>
      <c r="L6" s="4">
        <f t="shared" si="6"/>
        <v>3</v>
      </c>
      <c r="M6" s="4">
        <f t="shared" si="6"/>
        <v>3</v>
      </c>
      <c r="N6" s="126"/>
      <c r="P6" s="471" t="s">
        <v>238</v>
      </c>
      <c r="Q6" s="472"/>
      <c r="R6" s="473" t="s">
        <v>239</v>
      </c>
      <c r="S6" s="474"/>
      <c r="U6" s="463" t="s">
        <v>182</v>
      </c>
      <c r="V6" s="464"/>
      <c r="W6" s="464"/>
      <c r="X6" s="465"/>
    </row>
    <row r="7" spans="2:24" ht="13.5" thickBot="1" x14ac:dyDescent="0.25">
      <c r="B7" s="4">
        <f t="shared" si="0"/>
        <v>4</v>
      </c>
      <c r="C7" s="21">
        <v>42740</v>
      </c>
      <c r="D7" s="126">
        <v>33084.86</v>
      </c>
      <c r="E7" s="4">
        <f t="shared" si="7"/>
        <v>4</v>
      </c>
      <c r="F7" s="259">
        <f t="shared" si="1"/>
        <v>-0.13845152219707388</v>
      </c>
      <c r="G7" s="4">
        <f t="shared" si="2"/>
        <v>4</v>
      </c>
      <c r="H7" s="266">
        <f t="shared" si="3"/>
        <v>-2.0935175063829803E-2</v>
      </c>
      <c r="I7" s="126">
        <v>0.15</v>
      </c>
      <c r="J7" s="4">
        <f t="shared" si="4"/>
        <v>4</v>
      </c>
      <c r="K7" s="4">
        <f t="shared" si="5"/>
        <v>3</v>
      </c>
      <c r="L7" s="4">
        <f t="shared" si="6"/>
        <v>4</v>
      </c>
      <c r="M7" s="4">
        <f t="shared" si="6"/>
        <v>4</v>
      </c>
      <c r="N7" s="126"/>
      <c r="P7" s="404" t="s">
        <v>227</v>
      </c>
      <c r="Q7" s="405">
        <f>Risk!$C$18</f>
        <v>0.13135501751757594</v>
      </c>
      <c r="R7" s="404" t="s">
        <v>227</v>
      </c>
      <c r="S7" s="405">
        <f>IF(S2="","",100*((1+S2/100)^(Risk!C26/100)*(1-Risk!C24/100)^((100-Risk!C26)/100)-1))</f>
        <v>0.38578445928461047</v>
      </c>
      <c r="U7" s="466"/>
      <c r="V7" s="467"/>
      <c r="W7" s="467"/>
      <c r="X7" s="468"/>
    </row>
    <row r="8" spans="2:24" ht="13.5" thickBot="1" x14ac:dyDescent="0.25">
      <c r="B8" s="4">
        <f t="shared" si="0"/>
        <v>5</v>
      </c>
      <c r="C8" s="21">
        <v>42741</v>
      </c>
      <c r="D8" s="126">
        <v>33149.65</v>
      </c>
      <c r="E8" s="4">
        <f t="shared" si="7"/>
        <v>5</v>
      </c>
      <c r="F8" s="259">
        <f t="shared" si="1"/>
        <v>0.195829754153413</v>
      </c>
      <c r="G8" s="4">
        <f t="shared" si="2"/>
        <v>5</v>
      </c>
      <c r="H8" s="266">
        <f t="shared" si="3"/>
        <v>2.2380262115939686E-2</v>
      </c>
      <c r="I8" s="126">
        <v>2.09</v>
      </c>
      <c r="J8" s="4">
        <f t="shared" si="4"/>
        <v>5</v>
      </c>
      <c r="K8" s="4">
        <f t="shared" si="5"/>
        <v>4</v>
      </c>
      <c r="L8" s="4">
        <f t="shared" si="6"/>
        <v>5</v>
      </c>
      <c r="M8" s="4">
        <f t="shared" si="6"/>
        <v>5</v>
      </c>
      <c r="N8" s="126"/>
      <c r="P8" s="386" t="s">
        <v>231</v>
      </c>
      <c r="Q8" s="387">
        <f>IF(Q7="","",100*((1+Q7/100)^(S3/Q3)-1))</f>
        <v>9.8500096228004708E-2</v>
      </c>
      <c r="R8" s="386" t="s">
        <v>231</v>
      </c>
      <c r="S8" s="387">
        <f>IF(S7="","",100*((1+S7/100)^(S3/Q3)-1))</f>
        <v>0.28919904046391665</v>
      </c>
      <c r="U8" s="469" t="s">
        <v>241</v>
      </c>
      <c r="V8" s="470"/>
      <c r="W8" s="284">
        <f>_xlfn.T.TEST(F4:F13,F14:F23,2,3)</f>
        <v>0.10258480242371862</v>
      </c>
      <c r="X8" s="285">
        <f>1-W8</f>
        <v>0.89741519757628141</v>
      </c>
    </row>
    <row r="9" spans="2:24" x14ac:dyDescent="0.2">
      <c r="B9" s="4">
        <f t="shared" si="0"/>
        <v>6</v>
      </c>
      <c r="C9" s="21">
        <v>42744</v>
      </c>
      <c r="D9" s="126">
        <v>33204.629999999997</v>
      </c>
      <c r="E9" s="4">
        <f t="shared" si="7"/>
        <v>6</v>
      </c>
      <c r="F9" s="259">
        <f t="shared" si="1"/>
        <v>0.16585393812603128</v>
      </c>
      <c r="G9" s="4">
        <f t="shared" si="2"/>
        <v>6</v>
      </c>
      <c r="H9" s="266">
        <f t="shared" si="3"/>
        <v>4.6278262237131607E-2</v>
      </c>
      <c r="I9" s="126">
        <v>2.25</v>
      </c>
      <c r="J9" s="4">
        <f t="shared" si="4"/>
        <v>6</v>
      </c>
      <c r="K9" s="4">
        <f t="shared" si="5"/>
        <v>7</v>
      </c>
      <c r="L9" s="4">
        <f t="shared" si="6"/>
        <v>6</v>
      </c>
      <c r="M9" s="4">
        <f t="shared" si="6"/>
        <v>6</v>
      </c>
      <c r="N9" s="126"/>
      <c r="P9" s="386" t="s">
        <v>228</v>
      </c>
      <c r="Q9" s="394">
        <f>IF(Q8="","",100*((1+Q8/100)^7-1))</f>
        <v>0.69154149823413835</v>
      </c>
      <c r="R9" s="386" t="s">
        <v>228</v>
      </c>
      <c r="S9" s="394">
        <f>IF(S8="","",100*((1+S8/100)^7-1))</f>
        <v>2.0420417625128806</v>
      </c>
      <c r="U9" s="119"/>
      <c r="W9" s="119"/>
      <c r="X9" s="119"/>
    </row>
    <row r="10" spans="2:24" x14ac:dyDescent="0.2">
      <c r="B10" s="4">
        <f t="shared" si="0"/>
        <v>7</v>
      </c>
      <c r="C10" s="21">
        <v>42745</v>
      </c>
      <c r="D10" s="126">
        <v>33237.300000000003</v>
      </c>
      <c r="E10" s="4">
        <f t="shared" si="7"/>
        <v>7</v>
      </c>
      <c r="F10" s="259">
        <f t="shared" si="1"/>
        <v>9.8389893216715651E-2</v>
      </c>
      <c r="G10" s="4">
        <f t="shared" si="2"/>
        <v>7</v>
      </c>
      <c r="H10" s="266">
        <f t="shared" si="3"/>
        <v>5.372111962747006E-2</v>
      </c>
      <c r="I10" s="126">
        <v>0.08</v>
      </c>
      <c r="J10" s="4">
        <f t="shared" si="4"/>
        <v>7</v>
      </c>
      <c r="K10" s="4">
        <f t="shared" si="5"/>
        <v>8</v>
      </c>
      <c r="L10" s="4">
        <f t="shared" si="6"/>
        <v>7</v>
      </c>
      <c r="M10" s="4">
        <f t="shared" si="6"/>
        <v>7</v>
      </c>
      <c r="N10" s="126"/>
      <c r="P10" s="386" t="s">
        <v>77</v>
      </c>
      <c r="Q10" s="388">
        <f>IF(Q8="","",100*((1+Q8/100)^30-1))</f>
        <v>2.9975983536304707</v>
      </c>
      <c r="R10" s="386" t="s">
        <v>77</v>
      </c>
      <c r="S10" s="388">
        <f>IF(S8="","",100*((1+S8/100)^30-1))</f>
        <v>9.0498029144904013</v>
      </c>
    </row>
    <row r="11" spans="2:24" ht="13.5" thickBot="1" x14ac:dyDescent="0.25">
      <c r="B11" s="4">
        <f t="shared" si="0"/>
        <v>8</v>
      </c>
      <c r="C11" s="21">
        <v>42746</v>
      </c>
      <c r="D11" s="126">
        <v>33246.660000000003</v>
      </c>
      <c r="E11" s="4">
        <f t="shared" si="7"/>
        <v>8</v>
      </c>
      <c r="F11" s="259">
        <f t="shared" si="1"/>
        <v>2.8161132221933134E-2</v>
      </c>
      <c r="G11" s="4">
        <f t="shared" si="2"/>
        <v>8</v>
      </c>
      <c r="H11" s="266">
        <f t="shared" si="3"/>
        <v>5.0525764056064126E-2</v>
      </c>
      <c r="I11" s="126">
        <v>0.05</v>
      </c>
      <c r="J11" s="4">
        <f t="shared" si="4"/>
        <v>8</v>
      </c>
      <c r="K11" s="4">
        <f t="shared" si="5"/>
        <v>9</v>
      </c>
      <c r="L11" s="4">
        <f t="shared" si="6"/>
        <v>8</v>
      </c>
      <c r="M11" s="4">
        <f t="shared" si="6"/>
        <v>8</v>
      </c>
      <c r="N11" s="126"/>
      <c r="P11" s="66" t="s">
        <v>76</v>
      </c>
      <c r="Q11" s="389">
        <f>IF(Q8="","",100*((1+Q8/100)^365-1))</f>
        <v>43.239576278014759</v>
      </c>
      <c r="R11" s="66" t="s">
        <v>76</v>
      </c>
      <c r="S11" s="389">
        <f>IF(S8="","",100*((1+S8/100)^365-1))</f>
        <v>186.92568976985098</v>
      </c>
      <c r="V11" s="119"/>
    </row>
    <row r="12" spans="2:24" s="119" customFormat="1" x14ac:dyDescent="0.2">
      <c r="B12" s="4">
        <f t="shared" si="0"/>
        <v>9</v>
      </c>
      <c r="C12" s="21">
        <v>42747</v>
      </c>
      <c r="D12" s="126">
        <v>33272.879999999997</v>
      </c>
      <c r="E12" s="4">
        <f t="shared" si="7"/>
        <v>9</v>
      </c>
      <c r="F12" s="259">
        <f t="shared" si="1"/>
        <v>7.8865064941843435E-2</v>
      </c>
      <c r="G12" s="4">
        <f t="shared" si="2"/>
        <v>9</v>
      </c>
      <c r="H12" s="266">
        <f t="shared" si="3"/>
        <v>5.3674178936091721E-2</v>
      </c>
      <c r="I12" s="126">
        <v>0.12</v>
      </c>
      <c r="J12" s="4">
        <f t="shared" si="4"/>
        <v>9</v>
      </c>
      <c r="K12" s="4">
        <f t="shared" si="5"/>
        <v>10</v>
      </c>
      <c r="L12" s="4">
        <f t="shared" si="6"/>
        <v>9</v>
      </c>
      <c r="M12" s="4">
        <f t="shared" si="6"/>
        <v>9</v>
      </c>
      <c r="N12" s="126"/>
      <c r="P12"/>
      <c r="Q12"/>
      <c r="V12"/>
    </row>
    <row r="13" spans="2:24" x14ac:dyDescent="0.2">
      <c r="B13" s="4">
        <f t="shared" si="0"/>
        <v>10</v>
      </c>
      <c r="C13" s="21">
        <v>42748</v>
      </c>
      <c r="D13" s="126">
        <v>33293.94</v>
      </c>
      <c r="E13" s="4">
        <f t="shared" si="7"/>
        <v>10</v>
      </c>
      <c r="F13" s="259">
        <f t="shared" si="1"/>
        <v>6.3294791433759115E-2</v>
      </c>
      <c r="G13" s="4">
        <f t="shared" si="2"/>
        <v>10</v>
      </c>
      <c r="H13" s="266">
        <f t="shared" si="3"/>
        <v>5.4636198560453764E-2</v>
      </c>
      <c r="I13" s="126">
        <v>0.06</v>
      </c>
      <c r="J13" s="4">
        <f t="shared" si="4"/>
        <v>10</v>
      </c>
      <c r="K13" s="4">
        <f t="shared" si="5"/>
        <v>11</v>
      </c>
      <c r="L13" s="4">
        <f t="shared" si="6"/>
        <v>10</v>
      </c>
      <c r="M13" s="4">
        <f t="shared" si="6"/>
        <v>10</v>
      </c>
      <c r="N13" s="126"/>
    </row>
    <row r="14" spans="2:24" x14ac:dyDescent="0.2">
      <c r="B14" s="4">
        <f t="shared" si="0"/>
        <v>11</v>
      </c>
      <c r="C14" s="21"/>
      <c r="D14" s="126">
        <v>33273.660000000003</v>
      </c>
      <c r="E14" s="4">
        <f t="shared" si="7"/>
        <v>11</v>
      </c>
      <c r="F14" s="259">
        <f t="shared" si="1"/>
        <v>-6.0911985784796979E-2</v>
      </c>
      <c r="G14" s="4">
        <f t="shared" si="2"/>
        <v>11</v>
      </c>
      <c r="H14" s="266">
        <f t="shared" si="3"/>
        <v>4.4126300021996023E-2</v>
      </c>
      <c r="I14" s="126">
        <v>0.15</v>
      </c>
      <c r="J14" s="4">
        <f t="shared" si="4"/>
        <v>11</v>
      </c>
      <c r="K14" s="4">
        <f t="shared" si="5"/>
        <v>11</v>
      </c>
      <c r="L14" s="4">
        <f t="shared" si="6"/>
        <v>11</v>
      </c>
      <c r="M14" s="4">
        <f t="shared" si="6"/>
        <v>11</v>
      </c>
      <c r="N14" s="126"/>
      <c r="P14" s="119"/>
      <c r="Q14" s="119"/>
    </row>
    <row r="15" spans="2:24" s="119" customFormat="1" x14ac:dyDescent="0.2">
      <c r="B15" s="4">
        <f t="shared" si="0"/>
        <v>12</v>
      </c>
      <c r="C15" s="21">
        <v>42751</v>
      </c>
      <c r="D15" s="126">
        <v>33285.26</v>
      </c>
      <c r="E15" s="4">
        <f t="shared" si="7"/>
        <v>12</v>
      </c>
      <c r="F15" s="259">
        <f t="shared" si="1"/>
        <v>3.4862410687608585E-2</v>
      </c>
      <c r="G15" s="4">
        <f t="shared" si="2"/>
        <v>12</v>
      </c>
      <c r="H15" s="266">
        <f t="shared" si="3"/>
        <v>4.3354276478324572E-2</v>
      </c>
      <c r="I15" s="126">
        <v>0.05</v>
      </c>
      <c r="J15" s="4">
        <f t="shared" si="4"/>
        <v>12</v>
      </c>
      <c r="K15" s="4">
        <f t="shared" si="5"/>
        <v>14</v>
      </c>
      <c r="L15" s="4">
        <f t="shared" si="6"/>
        <v>12</v>
      </c>
      <c r="M15" s="4">
        <f t="shared" si="6"/>
        <v>12</v>
      </c>
      <c r="N15" s="126"/>
      <c r="P15"/>
      <c r="Q15"/>
      <c r="U15"/>
      <c r="V15"/>
      <c r="W15"/>
      <c r="X15"/>
    </row>
    <row r="16" spans="2:24" x14ac:dyDescent="0.2">
      <c r="B16" s="4">
        <f t="shared" si="0"/>
        <v>13</v>
      </c>
      <c r="C16" s="21">
        <v>42752</v>
      </c>
      <c r="D16" s="126">
        <v>33315.379999999997</v>
      </c>
      <c r="E16" s="4">
        <f t="shared" si="7"/>
        <v>13</v>
      </c>
      <c r="F16" s="259">
        <f t="shared" si="1"/>
        <v>9.0490505406883831E-2</v>
      </c>
      <c r="G16" s="4">
        <f t="shared" si="2"/>
        <v>13</v>
      </c>
      <c r="H16" s="266">
        <f t="shared" si="3"/>
        <v>4.6979352008658104E-2</v>
      </c>
      <c r="I16" s="126">
        <v>0.53</v>
      </c>
      <c r="J16" s="4">
        <f t="shared" si="4"/>
        <v>13</v>
      </c>
      <c r="K16" s="4">
        <f t="shared" si="5"/>
        <v>15</v>
      </c>
      <c r="L16" s="4">
        <f t="shared" si="6"/>
        <v>13</v>
      </c>
      <c r="M16" s="4">
        <f t="shared" si="6"/>
        <v>13</v>
      </c>
      <c r="N16" s="126"/>
    </row>
    <row r="17" spans="2:24" x14ac:dyDescent="0.2">
      <c r="B17" s="4">
        <f t="shared" si="0"/>
        <v>14</v>
      </c>
      <c r="C17" s="21">
        <v>42753</v>
      </c>
      <c r="D17" s="126">
        <v>33298.879999999997</v>
      </c>
      <c r="E17" s="4">
        <f t="shared" si="7"/>
        <v>14</v>
      </c>
      <c r="F17" s="259">
        <f t="shared" si="1"/>
        <v>-4.9526675067191196E-2</v>
      </c>
      <c r="G17" s="4">
        <f t="shared" si="2"/>
        <v>14</v>
      </c>
      <c r="H17" s="266">
        <f t="shared" si="3"/>
        <v>4.0082975263056042E-2</v>
      </c>
      <c r="I17" s="126">
        <v>0.19</v>
      </c>
      <c r="J17" s="4">
        <f t="shared" si="4"/>
        <v>14</v>
      </c>
      <c r="K17" s="4">
        <f t="shared" si="5"/>
        <v>16</v>
      </c>
      <c r="L17" s="4">
        <f t="shared" si="6"/>
        <v>14</v>
      </c>
      <c r="M17" s="4">
        <f t="shared" si="6"/>
        <v>14</v>
      </c>
      <c r="N17" s="126"/>
      <c r="P17" s="119"/>
      <c r="Q17" s="26"/>
    </row>
    <row r="18" spans="2:24" x14ac:dyDescent="0.2">
      <c r="B18" s="4">
        <f t="shared" si="0"/>
        <v>15</v>
      </c>
      <c r="C18" s="21">
        <v>42754</v>
      </c>
      <c r="D18" s="126">
        <v>33348.019999999997</v>
      </c>
      <c r="E18" s="4">
        <f t="shared" si="7"/>
        <v>15</v>
      </c>
      <c r="F18" s="259">
        <f t="shared" si="1"/>
        <v>0.14757253096800679</v>
      </c>
      <c r="G18" s="4">
        <f t="shared" si="2"/>
        <v>15</v>
      </c>
      <c r="H18" s="266">
        <f t="shared" si="3"/>
        <v>4.7245354990455013E-2</v>
      </c>
      <c r="I18" s="126">
        <v>0.42</v>
      </c>
      <c r="J18" s="4">
        <f t="shared" si="4"/>
        <v>15</v>
      </c>
      <c r="K18" s="4">
        <f t="shared" si="5"/>
        <v>17</v>
      </c>
      <c r="L18" s="4">
        <f t="shared" si="6"/>
        <v>15</v>
      </c>
      <c r="M18" s="4">
        <f t="shared" si="6"/>
        <v>15</v>
      </c>
      <c r="N18" s="126"/>
    </row>
    <row r="19" spans="2:24" x14ac:dyDescent="0.2">
      <c r="B19" s="4">
        <f t="shared" si="0"/>
        <v>16</v>
      </c>
      <c r="C19" s="21">
        <v>42758</v>
      </c>
      <c r="D19" s="126">
        <v>33375.71</v>
      </c>
      <c r="E19" s="4">
        <f t="shared" si="7"/>
        <v>16</v>
      </c>
      <c r="F19" s="259">
        <f t="shared" si="1"/>
        <v>8.3033415477147765E-2</v>
      </c>
      <c r="G19" s="4">
        <f t="shared" si="2"/>
        <v>16</v>
      </c>
      <c r="H19" s="266">
        <f t="shared" si="3"/>
        <v>4.9481733804634942E-2</v>
      </c>
      <c r="I19" s="126">
        <v>0.04</v>
      </c>
      <c r="J19" s="4">
        <f t="shared" si="4"/>
        <v>16</v>
      </c>
      <c r="K19" s="4">
        <f t="shared" si="5"/>
        <v>21</v>
      </c>
      <c r="L19" s="4">
        <f t="shared" si="6"/>
        <v>16</v>
      </c>
      <c r="M19" s="4">
        <f t="shared" si="6"/>
        <v>16</v>
      </c>
      <c r="N19" s="126"/>
      <c r="V19" s="119"/>
    </row>
    <row r="20" spans="2:24" x14ac:dyDescent="0.2">
      <c r="B20" s="4">
        <f t="shared" si="0"/>
        <v>17</v>
      </c>
      <c r="C20" s="21">
        <v>42759</v>
      </c>
      <c r="D20" s="126">
        <v>33465.769999999997</v>
      </c>
      <c r="E20" s="4">
        <f t="shared" si="7"/>
        <v>17</v>
      </c>
      <c r="F20" s="259">
        <f t="shared" si="1"/>
        <v>0.26983695627747745</v>
      </c>
      <c r="G20" s="4">
        <f t="shared" si="2"/>
        <v>17</v>
      </c>
      <c r="H20" s="266">
        <f t="shared" si="3"/>
        <v>6.2430390252776746E-2</v>
      </c>
      <c r="I20" s="126">
        <v>0.78</v>
      </c>
      <c r="J20" s="4">
        <f t="shared" si="4"/>
        <v>17</v>
      </c>
      <c r="K20" s="4">
        <f t="shared" si="5"/>
        <v>22</v>
      </c>
      <c r="L20" s="4">
        <f t="shared" si="6"/>
        <v>17</v>
      </c>
      <c r="M20" s="4">
        <f t="shared" si="6"/>
        <v>17</v>
      </c>
      <c r="N20" s="126"/>
      <c r="U20" s="119"/>
      <c r="V20" s="119"/>
      <c r="W20" s="119"/>
      <c r="X20" s="119"/>
    </row>
    <row r="21" spans="2:24" x14ac:dyDescent="0.2">
      <c r="B21" s="4">
        <f t="shared" si="0"/>
        <v>18</v>
      </c>
      <c r="C21" s="21">
        <v>42760</v>
      </c>
      <c r="D21" s="126">
        <v>33573.65</v>
      </c>
      <c r="E21" s="4">
        <f t="shared" si="7"/>
        <v>18</v>
      </c>
      <c r="F21" s="259">
        <f t="shared" si="1"/>
        <v>0.32235923452532145</v>
      </c>
      <c r="G21" s="4">
        <f t="shared" si="2"/>
        <v>18</v>
      </c>
      <c r="H21" s="266">
        <f t="shared" si="3"/>
        <v>7.6853197565207587E-2</v>
      </c>
      <c r="I21" s="126">
        <v>0.18</v>
      </c>
      <c r="J21" s="4">
        <f t="shared" si="4"/>
        <v>18</v>
      </c>
      <c r="K21" s="4">
        <f t="shared" si="5"/>
        <v>23</v>
      </c>
      <c r="L21" s="4">
        <f t="shared" si="6"/>
        <v>18</v>
      </c>
      <c r="M21" s="4">
        <f t="shared" si="6"/>
        <v>18</v>
      </c>
      <c r="N21" s="126"/>
      <c r="U21" s="119"/>
      <c r="V21" s="119"/>
      <c r="W21" s="119"/>
      <c r="X21" s="119"/>
    </row>
    <row r="22" spans="2:24" x14ac:dyDescent="0.2">
      <c r="B22" s="4">
        <f t="shared" si="0"/>
        <v>19</v>
      </c>
      <c r="C22" s="21">
        <v>42761</v>
      </c>
      <c r="D22" s="126">
        <v>33714.949999999997</v>
      </c>
      <c r="E22" s="4">
        <f t="shared" si="7"/>
        <v>19</v>
      </c>
      <c r="F22" s="259">
        <f t="shared" si="1"/>
        <v>0.42086576824383298</v>
      </c>
      <c r="G22" s="4">
        <f t="shared" si="2"/>
        <v>19</v>
      </c>
      <c r="H22" s="266">
        <f t="shared" si="3"/>
        <v>9.4929706406654546E-2</v>
      </c>
      <c r="I22" s="126">
        <v>2.42</v>
      </c>
      <c r="J22" s="4">
        <f t="shared" si="4"/>
        <v>19</v>
      </c>
      <c r="K22" s="4">
        <f t="shared" si="5"/>
        <v>24</v>
      </c>
      <c r="L22" s="4">
        <f t="shared" si="6"/>
        <v>19</v>
      </c>
      <c r="M22" s="4">
        <f t="shared" si="6"/>
        <v>19</v>
      </c>
      <c r="N22" s="126">
        <v>31.54</v>
      </c>
      <c r="U22" s="119"/>
      <c r="V22" s="119"/>
      <c r="W22" s="119"/>
      <c r="X22" s="119"/>
    </row>
    <row r="23" spans="2:24" s="119" customFormat="1" x14ac:dyDescent="0.2">
      <c r="B23" s="4">
        <f t="shared" si="0"/>
        <v>20</v>
      </c>
      <c r="C23" s="21">
        <v>42762</v>
      </c>
      <c r="D23" s="126">
        <v>33911.51</v>
      </c>
      <c r="E23" s="4">
        <f t="shared" si="7"/>
        <v>20</v>
      </c>
      <c r="F23" s="259">
        <f t="shared" si="1"/>
        <v>0.58300546196866665</v>
      </c>
      <c r="G23" s="4">
        <f t="shared" si="2"/>
        <v>20</v>
      </c>
      <c r="H23" s="266">
        <f t="shared" si="3"/>
        <v>0.11927714958774871</v>
      </c>
      <c r="I23" s="126">
        <v>2.5099999999999998</v>
      </c>
      <c r="J23" s="4">
        <f t="shared" si="4"/>
        <v>20</v>
      </c>
      <c r="K23" s="4">
        <f t="shared" si="5"/>
        <v>25</v>
      </c>
      <c r="L23" s="4">
        <f t="shared" si="6"/>
        <v>20</v>
      </c>
      <c r="M23" s="4">
        <f t="shared" si="6"/>
        <v>20</v>
      </c>
      <c r="N23" s="126">
        <v>41.32</v>
      </c>
      <c r="P23"/>
      <c r="Q23"/>
    </row>
    <row r="24" spans="2:24" s="119" customFormat="1" x14ac:dyDescent="0.2">
      <c r="B24" s="4">
        <f t="shared" si="0"/>
        <v>21</v>
      </c>
      <c r="C24" s="21">
        <v>42765</v>
      </c>
      <c r="D24" s="126">
        <v>34042.550000000003</v>
      </c>
      <c r="E24" s="4">
        <f t="shared" si="7"/>
        <v>21</v>
      </c>
      <c r="F24" s="259">
        <f t="shared" si="1"/>
        <v>0.38641747300548063</v>
      </c>
      <c r="G24" s="4">
        <f t="shared" si="2"/>
        <v>21</v>
      </c>
      <c r="H24" s="266">
        <f t="shared" si="3"/>
        <v>0.13198198235753189</v>
      </c>
      <c r="I24" s="126">
        <v>0.34</v>
      </c>
      <c r="J24" s="4">
        <f t="shared" si="4"/>
        <v>21</v>
      </c>
      <c r="K24" s="4">
        <f t="shared" si="5"/>
        <v>28</v>
      </c>
      <c r="L24" s="4">
        <f t="shared" si="6"/>
        <v>21</v>
      </c>
      <c r="M24" s="4">
        <f t="shared" si="6"/>
        <v>21</v>
      </c>
      <c r="N24" s="126">
        <v>43.24</v>
      </c>
      <c r="P24"/>
      <c r="Q24"/>
    </row>
    <row r="25" spans="2:24" s="119" customFormat="1" x14ac:dyDescent="0.2">
      <c r="B25" s="4">
        <f t="shared" si="0"/>
        <v>22</v>
      </c>
      <c r="C25" s="21"/>
      <c r="D25" s="126"/>
      <c r="E25" s="4" t="str">
        <f t="shared" si="7"/>
        <v/>
      </c>
      <c r="F25" s="259" t="str">
        <f t="shared" si="1"/>
        <v/>
      </c>
      <c r="G25" s="4" t="str">
        <f t="shared" si="2"/>
        <v/>
      </c>
      <c r="H25" s="266" t="str">
        <f t="shared" si="3"/>
        <v/>
      </c>
      <c r="I25" s="126"/>
      <c r="J25" s="4" t="str">
        <f t="shared" si="4"/>
        <v/>
      </c>
      <c r="K25" s="4" t="str">
        <f t="shared" si="5"/>
        <v/>
      </c>
      <c r="L25" s="4" t="str">
        <f t="shared" si="6"/>
        <v/>
      </c>
      <c r="M25" s="4" t="str">
        <f t="shared" si="6"/>
        <v/>
      </c>
      <c r="N25" s="126"/>
      <c r="V25"/>
    </row>
    <row r="26" spans="2:24" s="119" customFormat="1" x14ac:dyDescent="0.2">
      <c r="B26" s="4">
        <f t="shared" si="0"/>
        <v>23</v>
      </c>
      <c r="C26" s="21"/>
      <c r="D26" s="126"/>
      <c r="E26" s="4" t="str">
        <f t="shared" si="7"/>
        <v/>
      </c>
      <c r="F26" s="259" t="str">
        <f t="shared" si="1"/>
        <v/>
      </c>
      <c r="G26" s="4" t="str">
        <f t="shared" si="2"/>
        <v/>
      </c>
      <c r="H26" s="266" t="str">
        <f t="shared" si="3"/>
        <v/>
      </c>
      <c r="I26" s="126"/>
      <c r="J26" s="4" t="str">
        <f t="shared" si="4"/>
        <v/>
      </c>
      <c r="K26" s="4" t="str">
        <f t="shared" si="5"/>
        <v/>
      </c>
      <c r="L26" s="4" t="str">
        <f t="shared" si="6"/>
        <v/>
      </c>
      <c r="M26" s="4" t="str">
        <f t="shared" si="6"/>
        <v/>
      </c>
      <c r="N26" s="126"/>
      <c r="U26"/>
      <c r="V26"/>
      <c r="W26"/>
      <c r="X26"/>
    </row>
    <row r="27" spans="2:24" s="119" customFormat="1" x14ac:dyDescent="0.2">
      <c r="B27" s="4">
        <f t="shared" si="0"/>
        <v>24</v>
      </c>
      <c r="C27" s="21"/>
      <c r="D27" s="126"/>
      <c r="E27" s="4" t="str">
        <f>IF(D27="","",E26+1)</f>
        <v/>
      </c>
      <c r="F27" s="259" t="str">
        <f>IF(D27="","",100*(D27-D26)/D26)</f>
        <v/>
      </c>
      <c r="G27" s="4" t="str">
        <f>IF(D27="","",G26+1)</f>
        <v/>
      </c>
      <c r="H27" s="266" t="str">
        <f>IF(F27="","",100*(((D27-D$3)/D$3+1)^(1/G27)-1))</f>
        <v/>
      </c>
      <c r="I27" s="126"/>
      <c r="J27" s="4" t="str">
        <f t="shared" si="4"/>
        <v/>
      </c>
      <c r="K27" s="4" t="str">
        <f>IF(D27="","",IF(C27="",K26,C27-C$3))</f>
        <v/>
      </c>
      <c r="L27" s="4" t="str">
        <f t="shared" si="6"/>
        <v/>
      </c>
      <c r="M27" s="4" t="str">
        <f t="shared" si="6"/>
        <v/>
      </c>
      <c r="N27" s="126"/>
      <c r="U27"/>
      <c r="V27"/>
      <c r="W27"/>
      <c r="X27"/>
    </row>
    <row r="28" spans="2:24" s="119" customFormat="1" x14ac:dyDescent="0.2">
      <c r="B28" s="4">
        <f t="shared" si="0"/>
        <v>25</v>
      </c>
      <c r="C28" s="21"/>
      <c r="D28" s="126"/>
      <c r="E28" s="4" t="str">
        <f t="shared" si="7"/>
        <v/>
      </c>
      <c r="F28" s="259" t="str">
        <f>IF(D28="","",100*(D28-D27)/D27)</f>
        <v/>
      </c>
      <c r="G28" s="4" t="str">
        <f t="shared" si="2"/>
        <v/>
      </c>
      <c r="H28" s="266" t="str">
        <f t="shared" si="3"/>
        <v/>
      </c>
      <c r="I28" s="126"/>
      <c r="J28" s="4" t="str">
        <f t="shared" si="4"/>
        <v/>
      </c>
      <c r="K28" s="4" t="str">
        <f t="shared" si="5"/>
        <v/>
      </c>
      <c r="L28" s="4" t="str">
        <f t="shared" si="6"/>
        <v/>
      </c>
      <c r="M28" s="4" t="str">
        <f t="shared" si="6"/>
        <v/>
      </c>
      <c r="N28" s="126"/>
      <c r="U28"/>
      <c r="V28"/>
      <c r="W28"/>
      <c r="X28"/>
    </row>
    <row r="29" spans="2:24" x14ac:dyDescent="0.2">
      <c r="B29" s="4">
        <f t="shared" si="0"/>
        <v>26</v>
      </c>
      <c r="C29" s="21"/>
      <c r="D29" s="126"/>
      <c r="E29" s="4" t="str">
        <f t="shared" si="7"/>
        <v/>
      </c>
      <c r="F29" s="259" t="str">
        <f t="shared" ref="F29:F92" si="8">IF(D29="","",100*(D29-D28)/D28)</f>
        <v/>
      </c>
      <c r="G29" s="4" t="str">
        <f t="shared" si="2"/>
        <v/>
      </c>
      <c r="H29" s="266" t="str">
        <f t="shared" si="3"/>
        <v/>
      </c>
      <c r="I29" s="126"/>
      <c r="J29" s="4" t="str">
        <f t="shared" si="4"/>
        <v/>
      </c>
      <c r="K29" s="4" t="str">
        <f t="shared" si="5"/>
        <v/>
      </c>
      <c r="L29" s="4" t="str">
        <f t="shared" si="6"/>
        <v/>
      </c>
      <c r="M29" s="4" t="str">
        <f t="shared" si="6"/>
        <v/>
      </c>
      <c r="N29" s="126"/>
      <c r="P29" s="119"/>
      <c r="Q29" s="119"/>
    </row>
    <row r="30" spans="2:24" x14ac:dyDescent="0.2">
      <c r="B30" s="4">
        <f t="shared" si="0"/>
        <v>27</v>
      </c>
      <c r="C30" s="21"/>
      <c r="D30" s="126"/>
      <c r="E30" s="4" t="str">
        <f t="shared" si="7"/>
        <v/>
      </c>
      <c r="F30" s="259" t="str">
        <f t="shared" si="8"/>
        <v/>
      </c>
      <c r="G30" s="4" t="str">
        <f t="shared" si="2"/>
        <v/>
      </c>
      <c r="H30" s="266" t="str">
        <f t="shared" si="3"/>
        <v/>
      </c>
      <c r="I30" s="126"/>
      <c r="J30" s="4" t="str">
        <f t="shared" si="4"/>
        <v/>
      </c>
      <c r="K30" s="4" t="str">
        <f t="shared" si="5"/>
        <v/>
      </c>
      <c r="L30" s="4" t="str">
        <f t="shared" si="6"/>
        <v/>
      </c>
      <c r="M30" s="4" t="str">
        <f t="shared" si="6"/>
        <v/>
      </c>
      <c r="N30" s="126"/>
      <c r="P30" s="119"/>
      <c r="Q30" s="119"/>
    </row>
    <row r="31" spans="2:24" x14ac:dyDescent="0.2">
      <c r="B31" s="4">
        <f t="shared" si="0"/>
        <v>28</v>
      </c>
      <c r="C31" s="21"/>
      <c r="D31" s="126"/>
      <c r="E31" s="4" t="str">
        <f t="shared" si="7"/>
        <v/>
      </c>
      <c r="F31" s="259" t="str">
        <f t="shared" si="8"/>
        <v/>
      </c>
      <c r="G31" s="4" t="str">
        <f t="shared" si="2"/>
        <v/>
      </c>
      <c r="H31" s="266" t="str">
        <f t="shared" si="3"/>
        <v/>
      </c>
      <c r="I31" s="126"/>
      <c r="J31" s="4" t="str">
        <f t="shared" si="4"/>
        <v/>
      </c>
      <c r="K31" s="4" t="str">
        <f t="shared" si="5"/>
        <v/>
      </c>
      <c r="L31" s="4" t="str">
        <f t="shared" si="6"/>
        <v/>
      </c>
      <c r="M31" s="4" t="str">
        <f t="shared" si="6"/>
        <v/>
      </c>
      <c r="N31" s="126"/>
    </row>
    <row r="32" spans="2:24" x14ac:dyDescent="0.2">
      <c r="B32" s="4">
        <f t="shared" si="0"/>
        <v>29</v>
      </c>
      <c r="C32" s="21"/>
      <c r="D32" s="126"/>
      <c r="E32" s="4" t="str">
        <f t="shared" si="7"/>
        <v/>
      </c>
      <c r="F32" s="259" t="str">
        <f t="shared" si="8"/>
        <v/>
      </c>
      <c r="G32" s="4" t="str">
        <f t="shared" si="2"/>
        <v/>
      </c>
      <c r="H32" s="266" t="str">
        <f t="shared" si="3"/>
        <v/>
      </c>
      <c r="I32" s="126"/>
      <c r="J32" s="4" t="str">
        <f t="shared" si="4"/>
        <v/>
      </c>
      <c r="K32" s="4" t="str">
        <f t="shared" si="5"/>
        <v/>
      </c>
      <c r="L32" s="4" t="str">
        <f t="shared" si="6"/>
        <v/>
      </c>
      <c r="M32" s="4" t="str">
        <f t="shared" si="6"/>
        <v/>
      </c>
      <c r="N32" s="126"/>
    </row>
    <row r="33" spans="2:14" x14ac:dyDescent="0.2">
      <c r="B33" s="4">
        <f t="shared" si="0"/>
        <v>30</v>
      </c>
      <c r="C33" s="21"/>
      <c r="D33" s="126"/>
      <c r="E33" s="4" t="str">
        <f t="shared" si="7"/>
        <v/>
      </c>
      <c r="F33" s="259" t="str">
        <f t="shared" si="8"/>
        <v/>
      </c>
      <c r="G33" s="4" t="str">
        <f t="shared" si="2"/>
        <v/>
      </c>
      <c r="H33" s="266" t="str">
        <f t="shared" si="3"/>
        <v/>
      </c>
      <c r="I33" s="126"/>
      <c r="J33" s="4" t="str">
        <f t="shared" si="4"/>
        <v/>
      </c>
      <c r="K33" s="4" t="str">
        <f t="shared" si="5"/>
        <v/>
      </c>
      <c r="L33" s="4" t="str">
        <f t="shared" si="6"/>
        <v/>
      </c>
      <c r="M33" s="4" t="str">
        <f t="shared" si="6"/>
        <v/>
      </c>
      <c r="N33" s="126"/>
    </row>
    <row r="34" spans="2:14" x14ac:dyDescent="0.2">
      <c r="B34" s="4">
        <f t="shared" si="0"/>
        <v>31</v>
      </c>
      <c r="C34" s="21"/>
      <c r="D34" s="126"/>
      <c r="E34" s="4" t="str">
        <f t="shared" si="7"/>
        <v/>
      </c>
      <c r="F34" s="259" t="str">
        <f t="shared" si="8"/>
        <v/>
      </c>
      <c r="G34" s="4" t="str">
        <f t="shared" si="2"/>
        <v/>
      </c>
      <c r="H34" s="266" t="str">
        <f t="shared" si="3"/>
        <v/>
      </c>
      <c r="I34" s="126"/>
      <c r="J34" s="4" t="str">
        <f t="shared" si="4"/>
        <v/>
      </c>
      <c r="K34" s="4" t="str">
        <f t="shared" si="5"/>
        <v/>
      </c>
      <c r="L34" s="4" t="str">
        <f t="shared" si="6"/>
        <v/>
      </c>
      <c r="M34" s="4" t="str">
        <f t="shared" si="6"/>
        <v/>
      </c>
      <c r="N34" s="126"/>
    </row>
    <row r="35" spans="2:14" x14ac:dyDescent="0.2">
      <c r="B35" s="4">
        <f t="shared" si="0"/>
        <v>32</v>
      </c>
      <c r="C35" s="21"/>
      <c r="D35" s="126"/>
      <c r="E35" s="4" t="str">
        <f t="shared" si="7"/>
        <v/>
      </c>
      <c r="F35" s="259" t="str">
        <f t="shared" si="8"/>
        <v/>
      </c>
      <c r="G35" s="4" t="str">
        <f t="shared" si="2"/>
        <v/>
      </c>
      <c r="H35" s="266" t="str">
        <f t="shared" si="3"/>
        <v/>
      </c>
      <c r="I35" s="126"/>
      <c r="J35" s="4" t="str">
        <f t="shared" si="4"/>
        <v/>
      </c>
      <c r="K35" s="4" t="str">
        <f t="shared" si="5"/>
        <v/>
      </c>
      <c r="L35" s="4" t="str">
        <f t="shared" si="6"/>
        <v/>
      </c>
      <c r="M35" s="4" t="str">
        <f t="shared" si="6"/>
        <v/>
      </c>
      <c r="N35" s="126"/>
    </row>
    <row r="36" spans="2:14" x14ac:dyDescent="0.2">
      <c r="B36" s="4">
        <f t="shared" si="0"/>
        <v>33</v>
      </c>
      <c r="C36" s="21"/>
      <c r="D36" s="126"/>
      <c r="E36" s="4" t="str">
        <f t="shared" si="7"/>
        <v/>
      </c>
      <c r="F36" s="259" t="str">
        <f t="shared" si="8"/>
        <v/>
      </c>
      <c r="G36" s="4" t="str">
        <f t="shared" ref="G36:G67" si="9">IF(D36="","",G35+1)</f>
        <v/>
      </c>
      <c r="H36" s="266" t="str">
        <f t="shared" ref="H36:H67" si="10">IF(F36="","",100*(((D36-D$3)/D$3+1)^(1/G36)-1))</f>
        <v/>
      </c>
      <c r="I36" s="126"/>
      <c r="J36" s="4" t="str">
        <f t="shared" si="4"/>
        <v/>
      </c>
      <c r="K36" s="4" t="str">
        <f t="shared" ref="K36:K67" si="11">IF(D36="","",IF(C36="",K35,C36-C$3))</f>
        <v/>
      </c>
      <c r="L36" s="4" t="str">
        <f t="shared" si="6"/>
        <v/>
      </c>
      <c r="M36" s="4" t="str">
        <f t="shared" si="6"/>
        <v/>
      </c>
      <c r="N36" s="126"/>
    </row>
    <row r="37" spans="2:14" x14ac:dyDescent="0.2">
      <c r="B37" s="4">
        <f t="shared" si="0"/>
        <v>34</v>
      </c>
      <c r="C37" s="21"/>
      <c r="D37" s="126"/>
      <c r="E37" s="4" t="str">
        <f t="shared" si="7"/>
        <v/>
      </c>
      <c r="F37" s="259" t="str">
        <f t="shared" si="8"/>
        <v/>
      </c>
      <c r="G37" s="4" t="str">
        <f t="shared" si="9"/>
        <v/>
      </c>
      <c r="H37" s="266" t="str">
        <f t="shared" si="10"/>
        <v/>
      </c>
      <c r="I37" s="126"/>
      <c r="J37" s="4" t="str">
        <f t="shared" si="4"/>
        <v/>
      </c>
      <c r="K37" s="4" t="str">
        <f t="shared" si="11"/>
        <v/>
      </c>
      <c r="L37" s="4" t="str">
        <f t="shared" si="6"/>
        <v/>
      </c>
      <c r="M37" s="4" t="str">
        <f t="shared" si="6"/>
        <v/>
      </c>
      <c r="N37" s="126"/>
    </row>
    <row r="38" spans="2:14" x14ac:dyDescent="0.2">
      <c r="B38" s="4">
        <f t="shared" si="0"/>
        <v>35</v>
      </c>
      <c r="C38" s="21"/>
      <c r="D38" s="126"/>
      <c r="E38" s="4" t="str">
        <f t="shared" si="7"/>
        <v/>
      </c>
      <c r="F38" s="259" t="str">
        <f t="shared" si="8"/>
        <v/>
      </c>
      <c r="G38" s="4" t="str">
        <f t="shared" si="9"/>
        <v/>
      </c>
      <c r="H38" s="266" t="str">
        <f t="shared" si="10"/>
        <v/>
      </c>
      <c r="I38" s="126"/>
      <c r="J38" s="4" t="str">
        <f t="shared" si="4"/>
        <v/>
      </c>
      <c r="K38" s="4" t="str">
        <f t="shared" si="11"/>
        <v/>
      </c>
      <c r="L38" s="4" t="str">
        <f t="shared" si="6"/>
        <v/>
      </c>
      <c r="M38" s="4" t="str">
        <f t="shared" si="6"/>
        <v/>
      </c>
      <c r="N38" s="126"/>
    </row>
    <row r="39" spans="2:14" x14ac:dyDescent="0.2">
      <c r="B39" s="4">
        <f t="shared" si="0"/>
        <v>36</v>
      </c>
      <c r="C39" s="21"/>
      <c r="D39" s="126"/>
      <c r="E39" s="4" t="str">
        <f t="shared" si="7"/>
        <v/>
      </c>
      <c r="F39" s="259" t="str">
        <f t="shared" si="8"/>
        <v/>
      </c>
      <c r="G39" s="4" t="str">
        <f t="shared" si="9"/>
        <v/>
      </c>
      <c r="H39" s="266" t="str">
        <f t="shared" si="10"/>
        <v/>
      </c>
      <c r="I39" s="126"/>
      <c r="J39" s="4" t="str">
        <f t="shared" si="4"/>
        <v/>
      </c>
      <c r="K39" s="4" t="str">
        <f t="shared" si="11"/>
        <v/>
      </c>
      <c r="L39" s="4" t="str">
        <f t="shared" si="6"/>
        <v/>
      </c>
      <c r="M39" s="4" t="str">
        <f t="shared" si="6"/>
        <v/>
      </c>
      <c r="N39" s="126"/>
    </row>
    <row r="40" spans="2:14" x14ac:dyDescent="0.2">
      <c r="B40" s="4">
        <f t="shared" si="0"/>
        <v>37</v>
      </c>
      <c r="C40" s="21"/>
      <c r="D40" s="126"/>
      <c r="E40" s="4" t="str">
        <f t="shared" si="7"/>
        <v/>
      </c>
      <c r="F40" s="259" t="str">
        <f t="shared" si="8"/>
        <v/>
      </c>
      <c r="G40" s="4" t="str">
        <f t="shared" si="9"/>
        <v/>
      </c>
      <c r="H40" s="266" t="str">
        <f t="shared" si="10"/>
        <v/>
      </c>
      <c r="I40" s="126"/>
      <c r="J40" s="4" t="str">
        <f t="shared" si="4"/>
        <v/>
      </c>
      <c r="K40" s="4" t="str">
        <f t="shared" si="11"/>
        <v/>
      </c>
      <c r="L40" s="4" t="str">
        <f t="shared" si="6"/>
        <v/>
      </c>
      <c r="M40" s="4" t="str">
        <f t="shared" si="6"/>
        <v/>
      </c>
      <c r="N40" s="126"/>
    </row>
    <row r="41" spans="2:14" x14ac:dyDescent="0.2">
      <c r="B41" s="4">
        <f t="shared" si="0"/>
        <v>38</v>
      </c>
      <c r="C41" s="21"/>
      <c r="D41" s="126"/>
      <c r="E41" s="4" t="str">
        <f t="shared" si="7"/>
        <v/>
      </c>
      <c r="F41" s="259" t="str">
        <f t="shared" si="8"/>
        <v/>
      </c>
      <c r="G41" s="4" t="str">
        <f t="shared" si="9"/>
        <v/>
      </c>
      <c r="H41" s="266" t="str">
        <f t="shared" si="10"/>
        <v/>
      </c>
      <c r="I41" s="126"/>
      <c r="J41" s="4" t="str">
        <f t="shared" si="4"/>
        <v/>
      </c>
      <c r="K41" s="4" t="str">
        <f t="shared" si="11"/>
        <v/>
      </c>
      <c r="L41" s="4" t="str">
        <f t="shared" si="6"/>
        <v/>
      </c>
      <c r="M41" s="4" t="str">
        <f t="shared" si="6"/>
        <v/>
      </c>
      <c r="N41" s="126"/>
    </row>
    <row r="42" spans="2:14" x14ac:dyDescent="0.2">
      <c r="B42" s="4">
        <f t="shared" si="0"/>
        <v>39</v>
      </c>
      <c r="C42" s="21"/>
      <c r="D42" s="126"/>
      <c r="E42" s="4" t="str">
        <f t="shared" si="7"/>
        <v/>
      </c>
      <c r="F42" s="259" t="str">
        <f t="shared" si="8"/>
        <v/>
      </c>
      <c r="G42" s="4" t="str">
        <f t="shared" si="9"/>
        <v/>
      </c>
      <c r="H42" s="266" t="str">
        <f t="shared" si="10"/>
        <v/>
      </c>
      <c r="I42" s="126"/>
      <c r="J42" s="4" t="str">
        <f t="shared" si="4"/>
        <v/>
      </c>
      <c r="K42" s="4" t="str">
        <f t="shared" si="11"/>
        <v/>
      </c>
      <c r="L42" s="4" t="str">
        <f t="shared" si="6"/>
        <v/>
      </c>
      <c r="M42" s="4" t="str">
        <f t="shared" si="6"/>
        <v/>
      </c>
      <c r="N42" s="126"/>
    </row>
    <row r="43" spans="2:14" x14ac:dyDescent="0.2">
      <c r="B43" s="4">
        <f t="shared" si="0"/>
        <v>40</v>
      </c>
      <c r="C43" s="21"/>
      <c r="D43" s="126"/>
      <c r="E43" s="4" t="str">
        <f t="shared" si="7"/>
        <v/>
      </c>
      <c r="F43" s="259" t="str">
        <f t="shared" si="8"/>
        <v/>
      </c>
      <c r="G43" s="4" t="str">
        <f t="shared" si="9"/>
        <v/>
      </c>
      <c r="H43" s="266" t="str">
        <f t="shared" si="10"/>
        <v/>
      </c>
      <c r="I43" s="126"/>
      <c r="J43" s="4" t="str">
        <f t="shared" si="4"/>
        <v/>
      </c>
      <c r="K43" s="4" t="str">
        <f t="shared" si="11"/>
        <v/>
      </c>
      <c r="L43" s="4" t="str">
        <f t="shared" si="6"/>
        <v/>
      </c>
      <c r="M43" s="4" t="str">
        <f t="shared" si="6"/>
        <v/>
      </c>
      <c r="N43" s="126"/>
    </row>
    <row r="44" spans="2:14" x14ac:dyDescent="0.2">
      <c r="B44" s="4">
        <f t="shared" si="0"/>
        <v>41</v>
      </c>
      <c r="C44" s="21"/>
      <c r="D44" s="126"/>
      <c r="E44" s="4" t="str">
        <f t="shared" si="7"/>
        <v/>
      </c>
      <c r="F44" s="259" t="str">
        <f t="shared" si="8"/>
        <v/>
      </c>
      <c r="G44" s="4" t="str">
        <f t="shared" si="9"/>
        <v/>
      </c>
      <c r="H44" s="266" t="str">
        <f t="shared" si="10"/>
        <v/>
      </c>
      <c r="I44" s="126"/>
      <c r="J44" s="4" t="str">
        <f t="shared" si="4"/>
        <v/>
      </c>
      <c r="K44" s="4" t="str">
        <f t="shared" si="11"/>
        <v/>
      </c>
      <c r="L44" s="4" t="str">
        <f t="shared" si="6"/>
        <v/>
      </c>
      <c r="M44" s="4" t="str">
        <f t="shared" si="6"/>
        <v/>
      </c>
      <c r="N44" s="126"/>
    </row>
    <row r="45" spans="2:14" x14ac:dyDescent="0.2">
      <c r="B45" s="4">
        <f t="shared" si="0"/>
        <v>42</v>
      </c>
      <c r="C45" s="21"/>
      <c r="D45" s="126"/>
      <c r="E45" s="4" t="str">
        <f t="shared" si="7"/>
        <v/>
      </c>
      <c r="F45" s="259" t="str">
        <f t="shared" si="8"/>
        <v/>
      </c>
      <c r="G45" s="4" t="str">
        <f t="shared" si="9"/>
        <v/>
      </c>
      <c r="H45" s="266" t="str">
        <f t="shared" si="10"/>
        <v/>
      </c>
      <c r="I45" s="126"/>
      <c r="J45" s="4" t="str">
        <f t="shared" si="4"/>
        <v/>
      </c>
      <c r="K45" s="4" t="str">
        <f t="shared" si="11"/>
        <v/>
      </c>
      <c r="L45" s="4" t="str">
        <f t="shared" si="6"/>
        <v/>
      </c>
      <c r="M45" s="4" t="str">
        <f t="shared" si="6"/>
        <v/>
      </c>
      <c r="N45" s="126"/>
    </row>
    <row r="46" spans="2:14" x14ac:dyDescent="0.2">
      <c r="B46" s="4">
        <f t="shared" si="0"/>
        <v>43</v>
      </c>
      <c r="C46" s="21"/>
      <c r="D46" s="126"/>
      <c r="E46" s="4" t="str">
        <f t="shared" si="7"/>
        <v/>
      </c>
      <c r="F46" s="259" t="str">
        <f t="shared" si="8"/>
        <v/>
      </c>
      <c r="G46" s="4" t="str">
        <f t="shared" si="9"/>
        <v/>
      </c>
      <c r="H46" s="266" t="str">
        <f t="shared" si="10"/>
        <v/>
      </c>
      <c r="I46" s="126"/>
      <c r="J46" s="4" t="str">
        <f t="shared" si="4"/>
        <v/>
      </c>
      <c r="K46" s="4" t="str">
        <f t="shared" si="11"/>
        <v/>
      </c>
      <c r="L46" s="4" t="str">
        <f t="shared" si="6"/>
        <v/>
      </c>
      <c r="M46" s="4" t="str">
        <f t="shared" si="6"/>
        <v/>
      </c>
      <c r="N46" s="126"/>
    </row>
    <row r="47" spans="2:14" x14ac:dyDescent="0.2">
      <c r="B47" s="4">
        <f t="shared" si="0"/>
        <v>44</v>
      </c>
      <c r="C47" s="21"/>
      <c r="D47" s="126"/>
      <c r="E47" s="4" t="str">
        <f t="shared" si="7"/>
        <v/>
      </c>
      <c r="F47" s="259" t="str">
        <f t="shared" si="8"/>
        <v/>
      </c>
      <c r="G47" s="4" t="str">
        <f t="shared" si="9"/>
        <v/>
      </c>
      <c r="H47" s="266" t="str">
        <f t="shared" si="10"/>
        <v/>
      </c>
      <c r="I47" s="126"/>
      <c r="J47" s="4" t="str">
        <f t="shared" si="4"/>
        <v/>
      </c>
      <c r="K47" s="4" t="str">
        <f t="shared" si="11"/>
        <v/>
      </c>
      <c r="L47" s="4" t="str">
        <f t="shared" si="6"/>
        <v/>
      </c>
      <c r="M47" s="4" t="str">
        <f t="shared" si="6"/>
        <v/>
      </c>
      <c r="N47" s="126"/>
    </row>
    <row r="48" spans="2:14" x14ac:dyDescent="0.2">
      <c r="B48" s="4">
        <f t="shared" si="0"/>
        <v>45</v>
      </c>
      <c r="C48" s="21"/>
      <c r="D48" s="126"/>
      <c r="E48" s="4" t="str">
        <f t="shared" si="7"/>
        <v/>
      </c>
      <c r="F48" s="259" t="str">
        <f t="shared" si="8"/>
        <v/>
      </c>
      <c r="G48" s="4" t="str">
        <f t="shared" si="9"/>
        <v/>
      </c>
      <c r="H48" s="266" t="str">
        <f t="shared" si="10"/>
        <v/>
      </c>
      <c r="I48" s="126"/>
      <c r="J48" s="4" t="str">
        <f t="shared" si="4"/>
        <v/>
      </c>
      <c r="K48" s="4" t="str">
        <f t="shared" si="11"/>
        <v/>
      </c>
      <c r="L48" s="4" t="str">
        <f t="shared" si="6"/>
        <v/>
      </c>
      <c r="M48" s="4" t="str">
        <f t="shared" si="6"/>
        <v/>
      </c>
      <c r="N48" s="126"/>
    </row>
    <row r="49" spans="2:14" x14ac:dyDescent="0.2">
      <c r="B49" s="4">
        <f t="shared" si="0"/>
        <v>46</v>
      </c>
      <c r="C49" s="21"/>
      <c r="D49" s="126"/>
      <c r="E49" s="4" t="str">
        <f t="shared" si="7"/>
        <v/>
      </c>
      <c r="F49" s="259" t="str">
        <f t="shared" si="8"/>
        <v/>
      </c>
      <c r="G49" s="4" t="str">
        <f t="shared" si="9"/>
        <v/>
      </c>
      <c r="H49" s="266" t="str">
        <f t="shared" si="10"/>
        <v/>
      </c>
      <c r="I49" s="126"/>
      <c r="J49" s="4" t="str">
        <f t="shared" si="4"/>
        <v/>
      </c>
      <c r="K49" s="4" t="str">
        <f t="shared" si="11"/>
        <v/>
      </c>
      <c r="L49" s="4" t="str">
        <f t="shared" si="6"/>
        <v/>
      </c>
      <c r="M49" s="4" t="str">
        <f t="shared" si="6"/>
        <v/>
      </c>
      <c r="N49" s="126"/>
    </row>
    <row r="50" spans="2:14" x14ac:dyDescent="0.2">
      <c r="B50" s="4">
        <f t="shared" si="0"/>
        <v>47</v>
      </c>
      <c r="C50" s="21"/>
      <c r="D50" s="126"/>
      <c r="E50" s="4" t="str">
        <f t="shared" si="7"/>
        <v/>
      </c>
      <c r="F50" s="259" t="str">
        <f t="shared" si="8"/>
        <v/>
      </c>
      <c r="G50" s="4" t="str">
        <f t="shared" si="9"/>
        <v/>
      </c>
      <c r="H50" s="266" t="str">
        <f t="shared" si="10"/>
        <v/>
      </c>
      <c r="I50" s="126"/>
      <c r="J50" s="4" t="str">
        <f t="shared" si="4"/>
        <v/>
      </c>
      <c r="K50" s="4" t="str">
        <f t="shared" si="11"/>
        <v/>
      </c>
      <c r="L50" s="4" t="str">
        <f t="shared" si="6"/>
        <v/>
      </c>
      <c r="M50" s="4" t="str">
        <f t="shared" si="6"/>
        <v/>
      </c>
      <c r="N50" s="126"/>
    </row>
    <row r="51" spans="2:14" x14ac:dyDescent="0.2">
      <c r="B51" s="4">
        <f t="shared" si="0"/>
        <v>48</v>
      </c>
      <c r="C51" s="21"/>
      <c r="D51" s="126"/>
      <c r="E51" s="4" t="str">
        <f t="shared" si="7"/>
        <v/>
      </c>
      <c r="F51" s="259" t="str">
        <f t="shared" si="8"/>
        <v/>
      </c>
      <c r="G51" s="4" t="str">
        <f t="shared" si="9"/>
        <v/>
      </c>
      <c r="H51" s="266" t="str">
        <f t="shared" si="10"/>
        <v/>
      </c>
      <c r="I51" s="126"/>
      <c r="J51" s="4" t="str">
        <f t="shared" si="4"/>
        <v/>
      </c>
      <c r="K51" s="4" t="str">
        <f t="shared" si="11"/>
        <v/>
      </c>
      <c r="L51" s="4" t="str">
        <f t="shared" si="6"/>
        <v/>
      </c>
      <c r="M51" s="4" t="str">
        <f t="shared" si="6"/>
        <v/>
      </c>
      <c r="N51" s="126"/>
    </row>
    <row r="52" spans="2:14" x14ac:dyDescent="0.2">
      <c r="B52" s="4">
        <f t="shared" si="0"/>
        <v>49</v>
      </c>
      <c r="C52" s="21"/>
      <c r="D52" s="126"/>
      <c r="E52" s="4" t="str">
        <f t="shared" si="7"/>
        <v/>
      </c>
      <c r="F52" s="259" t="str">
        <f t="shared" si="8"/>
        <v/>
      </c>
      <c r="G52" s="4" t="str">
        <f t="shared" si="9"/>
        <v/>
      </c>
      <c r="H52" s="266" t="str">
        <f t="shared" si="10"/>
        <v/>
      </c>
      <c r="I52" s="126"/>
      <c r="J52" s="4" t="str">
        <f t="shared" si="4"/>
        <v/>
      </c>
      <c r="K52" s="4" t="str">
        <f t="shared" si="11"/>
        <v/>
      </c>
      <c r="L52" s="4" t="str">
        <f t="shared" si="6"/>
        <v/>
      </c>
      <c r="M52" s="4" t="str">
        <f t="shared" si="6"/>
        <v/>
      </c>
      <c r="N52" s="126"/>
    </row>
    <row r="53" spans="2:14" x14ac:dyDescent="0.2">
      <c r="B53" s="4">
        <f t="shared" si="0"/>
        <v>50</v>
      </c>
      <c r="C53" s="21"/>
      <c r="D53" s="126"/>
      <c r="E53" s="4" t="str">
        <f t="shared" si="7"/>
        <v/>
      </c>
      <c r="F53" s="259" t="str">
        <f t="shared" si="8"/>
        <v/>
      </c>
      <c r="G53" s="4" t="str">
        <f t="shared" si="9"/>
        <v/>
      </c>
      <c r="H53" s="266" t="str">
        <f t="shared" si="10"/>
        <v/>
      </c>
      <c r="I53" s="126"/>
      <c r="J53" s="4" t="str">
        <f t="shared" si="4"/>
        <v/>
      </c>
      <c r="K53" s="4" t="str">
        <f t="shared" si="11"/>
        <v/>
      </c>
      <c r="L53" s="4" t="str">
        <f t="shared" si="6"/>
        <v/>
      </c>
      <c r="M53" s="4" t="str">
        <f t="shared" si="6"/>
        <v/>
      </c>
      <c r="N53" s="126"/>
    </row>
    <row r="54" spans="2:14" x14ac:dyDescent="0.2">
      <c r="B54" s="4">
        <f t="shared" si="0"/>
        <v>51</v>
      </c>
      <c r="C54" s="21"/>
      <c r="D54" s="126"/>
      <c r="E54" s="4" t="str">
        <f t="shared" si="7"/>
        <v/>
      </c>
      <c r="F54" s="259" t="str">
        <f t="shared" si="8"/>
        <v/>
      </c>
      <c r="G54" s="4" t="str">
        <f t="shared" si="9"/>
        <v/>
      </c>
      <c r="H54" s="266" t="str">
        <f t="shared" si="10"/>
        <v/>
      </c>
      <c r="I54" s="126"/>
      <c r="J54" s="4" t="str">
        <f t="shared" si="4"/>
        <v/>
      </c>
      <c r="K54" s="4" t="str">
        <f t="shared" si="11"/>
        <v/>
      </c>
      <c r="L54" s="4" t="str">
        <f t="shared" si="6"/>
        <v/>
      </c>
      <c r="M54" s="4" t="str">
        <f t="shared" si="6"/>
        <v/>
      </c>
      <c r="N54" s="126"/>
    </row>
    <row r="55" spans="2:14" x14ac:dyDescent="0.2">
      <c r="B55" s="4">
        <f t="shared" si="0"/>
        <v>52</v>
      </c>
      <c r="C55" s="21"/>
      <c r="D55" s="126"/>
      <c r="E55" s="4" t="str">
        <f t="shared" si="7"/>
        <v/>
      </c>
      <c r="F55" s="259" t="str">
        <f t="shared" si="8"/>
        <v/>
      </c>
      <c r="G55" s="4" t="str">
        <f t="shared" si="9"/>
        <v/>
      </c>
      <c r="H55" s="266" t="str">
        <f t="shared" si="10"/>
        <v/>
      </c>
      <c r="I55" s="126"/>
      <c r="J55" s="4" t="str">
        <f t="shared" si="4"/>
        <v/>
      </c>
      <c r="K55" s="4" t="str">
        <f t="shared" si="11"/>
        <v/>
      </c>
      <c r="L55" s="4" t="str">
        <f t="shared" si="6"/>
        <v/>
      </c>
      <c r="M55" s="4" t="str">
        <f t="shared" si="6"/>
        <v/>
      </c>
      <c r="N55" s="126"/>
    </row>
    <row r="56" spans="2:14" x14ac:dyDescent="0.2">
      <c r="B56" s="4">
        <f t="shared" si="0"/>
        <v>53</v>
      </c>
      <c r="C56" s="21"/>
      <c r="D56" s="126"/>
      <c r="E56" s="4" t="str">
        <f t="shared" si="7"/>
        <v/>
      </c>
      <c r="F56" s="259" t="str">
        <f t="shared" si="8"/>
        <v/>
      </c>
      <c r="G56" s="4" t="str">
        <f t="shared" si="9"/>
        <v/>
      </c>
      <c r="H56" s="266" t="str">
        <f t="shared" si="10"/>
        <v/>
      </c>
      <c r="I56" s="126"/>
      <c r="J56" s="4" t="str">
        <f t="shared" si="4"/>
        <v/>
      </c>
      <c r="K56" s="4" t="str">
        <f t="shared" si="11"/>
        <v/>
      </c>
      <c r="L56" s="4" t="str">
        <f t="shared" si="6"/>
        <v/>
      </c>
      <c r="M56" s="4" t="str">
        <f t="shared" si="6"/>
        <v/>
      </c>
      <c r="N56" s="126"/>
    </row>
    <row r="57" spans="2:14" x14ac:dyDescent="0.2">
      <c r="B57" s="4">
        <f t="shared" si="0"/>
        <v>54</v>
      </c>
      <c r="C57" s="21"/>
      <c r="D57" s="126"/>
      <c r="E57" s="4" t="str">
        <f t="shared" si="7"/>
        <v/>
      </c>
      <c r="F57" s="259" t="str">
        <f t="shared" si="8"/>
        <v/>
      </c>
      <c r="G57" s="4" t="str">
        <f t="shared" si="9"/>
        <v/>
      </c>
      <c r="H57" s="266" t="str">
        <f t="shared" si="10"/>
        <v/>
      </c>
      <c r="I57" s="126"/>
      <c r="J57" s="4" t="str">
        <f t="shared" si="4"/>
        <v/>
      </c>
      <c r="K57" s="4" t="str">
        <f t="shared" si="11"/>
        <v/>
      </c>
      <c r="L57" s="4" t="str">
        <f t="shared" si="6"/>
        <v/>
      </c>
      <c r="M57" s="4" t="str">
        <f t="shared" si="6"/>
        <v/>
      </c>
      <c r="N57" s="126"/>
    </row>
    <row r="58" spans="2:14" x14ac:dyDescent="0.2">
      <c r="B58" s="4">
        <f t="shared" si="0"/>
        <v>55</v>
      </c>
      <c r="C58" s="21"/>
      <c r="D58" s="126"/>
      <c r="E58" s="4" t="str">
        <f t="shared" si="7"/>
        <v/>
      </c>
      <c r="F58" s="259" t="str">
        <f t="shared" si="8"/>
        <v/>
      </c>
      <c r="G58" s="4" t="str">
        <f t="shared" si="9"/>
        <v/>
      </c>
      <c r="H58" s="266" t="str">
        <f t="shared" si="10"/>
        <v/>
      </c>
      <c r="I58" s="126"/>
      <c r="J58" s="4" t="str">
        <f t="shared" si="4"/>
        <v/>
      </c>
      <c r="K58" s="4" t="str">
        <f t="shared" si="11"/>
        <v/>
      </c>
      <c r="L58" s="4" t="str">
        <f t="shared" si="6"/>
        <v/>
      </c>
      <c r="M58" s="4" t="str">
        <f t="shared" si="6"/>
        <v/>
      </c>
      <c r="N58" s="126"/>
    </row>
    <row r="59" spans="2:14" x14ac:dyDescent="0.2">
      <c r="B59" s="4">
        <f t="shared" si="0"/>
        <v>56</v>
      </c>
      <c r="C59" s="21"/>
      <c r="D59" s="126"/>
      <c r="E59" s="4" t="str">
        <f t="shared" si="7"/>
        <v/>
      </c>
      <c r="F59" s="259" t="str">
        <f t="shared" si="8"/>
        <v/>
      </c>
      <c r="G59" s="4" t="str">
        <f t="shared" si="9"/>
        <v/>
      </c>
      <c r="H59" s="266" t="str">
        <f t="shared" si="10"/>
        <v/>
      </c>
      <c r="I59" s="126"/>
      <c r="J59" s="4" t="str">
        <f t="shared" si="4"/>
        <v/>
      </c>
      <c r="K59" s="4" t="str">
        <f t="shared" si="11"/>
        <v/>
      </c>
      <c r="L59" s="4" t="str">
        <f t="shared" si="6"/>
        <v/>
      </c>
      <c r="M59" s="4" t="str">
        <f t="shared" si="6"/>
        <v/>
      </c>
      <c r="N59" s="126"/>
    </row>
    <row r="60" spans="2:14" x14ac:dyDescent="0.2">
      <c r="B60" s="4">
        <f t="shared" si="0"/>
        <v>57</v>
      </c>
      <c r="C60" s="21"/>
      <c r="D60" s="126"/>
      <c r="E60" s="4" t="str">
        <f t="shared" si="7"/>
        <v/>
      </c>
      <c r="F60" s="259" t="str">
        <f t="shared" si="8"/>
        <v/>
      </c>
      <c r="G60" s="4" t="str">
        <f t="shared" si="9"/>
        <v/>
      </c>
      <c r="H60" s="266" t="str">
        <f t="shared" si="10"/>
        <v/>
      </c>
      <c r="I60" s="126"/>
      <c r="J60" s="4" t="str">
        <f t="shared" si="4"/>
        <v/>
      </c>
      <c r="K60" s="4" t="str">
        <f t="shared" si="11"/>
        <v/>
      </c>
      <c r="L60" s="4" t="str">
        <f t="shared" si="6"/>
        <v/>
      </c>
      <c r="M60" s="4" t="str">
        <f t="shared" si="6"/>
        <v/>
      </c>
      <c r="N60" s="126"/>
    </row>
    <row r="61" spans="2:14" x14ac:dyDescent="0.2">
      <c r="B61" s="4">
        <f t="shared" si="0"/>
        <v>58</v>
      </c>
      <c r="C61" s="21"/>
      <c r="D61" s="126"/>
      <c r="E61" s="4" t="str">
        <f t="shared" si="7"/>
        <v/>
      </c>
      <c r="F61" s="259" t="str">
        <f t="shared" si="8"/>
        <v/>
      </c>
      <c r="G61" s="4" t="str">
        <f t="shared" si="9"/>
        <v/>
      </c>
      <c r="H61" s="266" t="str">
        <f t="shared" si="10"/>
        <v/>
      </c>
      <c r="I61" s="126"/>
      <c r="J61" s="4" t="str">
        <f t="shared" si="4"/>
        <v/>
      </c>
      <c r="K61" s="4" t="str">
        <f t="shared" si="11"/>
        <v/>
      </c>
      <c r="L61" s="4" t="str">
        <f t="shared" si="6"/>
        <v/>
      </c>
      <c r="M61" s="4" t="str">
        <f t="shared" si="6"/>
        <v/>
      </c>
      <c r="N61" s="126"/>
    </row>
    <row r="62" spans="2:14" x14ac:dyDescent="0.2">
      <c r="B62" s="4">
        <f t="shared" si="0"/>
        <v>59</v>
      </c>
      <c r="C62" s="21"/>
      <c r="D62" s="126"/>
      <c r="E62" s="4" t="str">
        <f t="shared" si="7"/>
        <v/>
      </c>
      <c r="F62" s="259" t="str">
        <f t="shared" si="8"/>
        <v/>
      </c>
      <c r="G62" s="4" t="str">
        <f t="shared" si="9"/>
        <v/>
      </c>
      <c r="H62" s="266" t="str">
        <f t="shared" si="10"/>
        <v/>
      </c>
      <c r="I62" s="126"/>
      <c r="J62" s="4" t="str">
        <f t="shared" si="4"/>
        <v/>
      </c>
      <c r="K62" s="4" t="str">
        <f t="shared" si="11"/>
        <v/>
      </c>
      <c r="L62" s="4" t="str">
        <f t="shared" si="6"/>
        <v/>
      </c>
      <c r="M62" s="4" t="str">
        <f t="shared" si="6"/>
        <v/>
      </c>
      <c r="N62" s="126"/>
    </row>
    <row r="63" spans="2:14" x14ac:dyDescent="0.2">
      <c r="B63" s="4">
        <f t="shared" si="0"/>
        <v>60</v>
      </c>
      <c r="C63" s="21"/>
      <c r="D63" s="126"/>
      <c r="E63" s="4" t="str">
        <f t="shared" si="7"/>
        <v/>
      </c>
      <c r="F63" s="259" t="str">
        <f t="shared" si="8"/>
        <v/>
      </c>
      <c r="G63" s="4" t="str">
        <f t="shared" si="9"/>
        <v/>
      </c>
      <c r="H63" s="266" t="str">
        <f t="shared" si="10"/>
        <v/>
      </c>
      <c r="I63" s="126"/>
      <c r="J63" s="4" t="str">
        <f t="shared" si="4"/>
        <v/>
      </c>
      <c r="K63" s="4" t="str">
        <f t="shared" si="11"/>
        <v/>
      </c>
      <c r="L63" s="4" t="str">
        <f t="shared" si="6"/>
        <v/>
      </c>
      <c r="M63" s="4" t="str">
        <f t="shared" si="6"/>
        <v/>
      </c>
      <c r="N63" s="126"/>
    </row>
    <row r="64" spans="2:14" x14ac:dyDescent="0.2">
      <c r="B64" s="4">
        <f t="shared" si="0"/>
        <v>61</v>
      </c>
      <c r="C64" s="21"/>
      <c r="D64" s="126"/>
      <c r="E64" s="4" t="str">
        <f t="shared" si="7"/>
        <v/>
      </c>
      <c r="F64" s="259" t="str">
        <f t="shared" si="8"/>
        <v/>
      </c>
      <c r="G64" s="4" t="str">
        <f t="shared" si="9"/>
        <v/>
      </c>
      <c r="H64" s="266" t="str">
        <f t="shared" si="10"/>
        <v/>
      </c>
      <c r="I64" s="126"/>
      <c r="J64" s="4" t="str">
        <f t="shared" si="4"/>
        <v/>
      </c>
      <c r="K64" s="4" t="str">
        <f t="shared" si="11"/>
        <v/>
      </c>
      <c r="L64" s="4" t="str">
        <f t="shared" si="6"/>
        <v/>
      </c>
      <c r="M64" s="4" t="str">
        <f t="shared" si="6"/>
        <v/>
      </c>
      <c r="N64" s="126"/>
    </row>
    <row r="65" spans="2:14" x14ac:dyDescent="0.2">
      <c r="B65" s="4">
        <f t="shared" si="0"/>
        <v>62</v>
      </c>
      <c r="C65" s="21"/>
      <c r="D65" s="126"/>
      <c r="E65" s="4" t="str">
        <f t="shared" si="7"/>
        <v/>
      </c>
      <c r="F65" s="259" t="str">
        <f t="shared" si="8"/>
        <v/>
      </c>
      <c r="G65" s="4" t="str">
        <f t="shared" si="9"/>
        <v/>
      </c>
      <c r="H65" s="266" t="str">
        <f t="shared" si="10"/>
        <v/>
      </c>
      <c r="I65" s="126"/>
      <c r="J65" s="4" t="str">
        <f t="shared" si="4"/>
        <v/>
      </c>
      <c r="K65" s="4" t="str">
        <f t="shared" si="11"/>
        <v/>
      </c>
      <c r="L65" s="4" t="str">
        <f t="shared" si="6"/>
        <v/>
      </c>
      <c r="M65" s="4" t="str">
        <f t="shared" si="6"/>
        <v/>
      </c>
      <c r="N65" s="126"/>
    </row>
    <row r="66" spans="2:14" x14ac:dyDescent="0.2">
      <c r="B66" s="4">
        <f t="shared" si="0"/>
        <v>63</v>
      </c>
      <c r="C66" s="21"/>
      <c r="D66" s="126"/>
      <c r="E66" s="4" t="str">
        <f t="shared" si="7"/>
        <v/>
      </c>
      <c r="F66" s="259" t="str">
        <f t="shared" si="8"/>
        <v/>
      </c>
      <c r="G66" s="4" t="str">
        <f t="shared" si="9"/>
        <v/>
      </c>
      <c r="H66" s="266" t="str">
        <f t="shared" si="10"/>
        <v/>
      </c>
      <c r="I66" s="126"/>
      <c r="J66" s="4" t="str">
        <f t="shared" si="4"/>
        <v/>
      </c>
      <c r="K66" s="4" t="str">
        <f t="shared" si="11"/>
        <v/>
      </c>
      <c r="L66" s="4" t="str">
        <f t="shared" si="6"/>
        <v/>
      </c>
      <c r="M66" s="4" t="str">
        <f t="shared" si="6"/>
        <v/>
      </c>
      <c r="N66" s="126"/>
    </row>
    <row r="67" spans="2:14" x14ac:dyDescent="0.2">
      <c r="B67" s="4">
        <f t="shared" si="0"/>
        <v>64</v>
      </c>
      <c r="C67" s="21"/>
      <c r="D67" s="126"/>
      <c r="E67" s="4" t="str">
        <f t="shared" si="7"/>
        <v/>
      </c>
      <c r="F67" s="259" t="str">
        <f t="shared" si="8"/>
        <v/>
      </c>
      <c r="G67" s="4" t="str">
        <f t="shared" si="9"/>
        <v/>
      </c>
      <c r="H67" s="266" t="str">
        <f t="shared" si="10"/>
        <v/>
      </c>
      <c r="I67" s="126"/>
      <c r="J67" s="4" t="str">
        <f t="shared" si="4"/>
        <v/>
      </c>
      <c r="K67" s="4" t="str">
        <f t="shared" si="11"/>
        <v/>
      </c>
      <c r="L67" s="4" t="str">
        <f t="shared" si="6"/>
        <v/>
      </c>
      <c r="M67" s="4" t="str">
        <f t="shared" si="6"/>
        <v/>
      </c>
      <c r="N67" s="126"/>
    </row>
    <row r="68" spans="2:14" x14ac:dyDescent="0.2">
      <c r="B68" s="4">
        <f t="shared" ref="B68:B103" si="12">B67+1</f>
        <v>65</v>
      </c>
      <c r="C68" s="21"/>
      <c r="D68" s="126"/>
      <c r="E68" s="4" t="str">
        <f t="shared" si="7"/>
        <v/>
      </c>
      <c r="F68" s="259" t="str">
        <f t="shared" si="8"/>
        <v/>
      </c>
      <c r="G68" s="4" t="str">
        <f t="shared" ref="G68:G103" si="13">IF(D68="","",G67+1)</f>
        <v/>
      </c>
      <c r="H68" s="266" t="str">
        <f t="shared" ref="H68:H99" si="14">IF(F68="","",100*(((D68-D$3)/D$3+1)^(1/G68)-1))</f>
        <v/>
      </c>
      <c r="I68" s="126"/>
      <c r="J68" s="4" t="str">
        <f t="shared" ref="J68:J103" si="15">IF(H68="","",J67+1)</f>
        <v/>
      </c>
      <c r="K68" s="4" t="str">
        <f t="shared" ref="K68:K103" si="16">IF(D68="","",IF(C68="",K67,C68-C$3))</f>
        <v/>
      </c>
      <c r="L68" s="4" t="str">
        <f t="shared" ref="L68:M103" si="17">IF(J68="","",L67+1)</f>
        <v/>
      </c>
      <c r="M68" s="4" t="str">
        <f t="shared" si="17"/>
        <v/>
      </c>
      <c r="N68" s="126"/>
    </row>
    <row r="69" spans="2:14" x14ac:dyDescent="0.2">
      <c r="B69" s="4">
        <f t="shared" si="12"/>
        <v>66</v>
      </c>
      <c r="C69" s="21"/>
      <c r="D69" s="126"/>
      <c r="E69" s="4" t="str">
        <f t="shared" ref="E69:E103" si="18">IF(D69="","",E68+1)</f>
        <v/>
      </c>
      <c r="F69" s="259" t="str">
        <f t="shared" si="8"/>
        <v/>
      </c>
      <c r="G69" s="4" t="str">
        <f t="shared" si="13"/>
        <v/>
      </c>
      <c r="H69" s="266" t="str">
        <f t="shared" si="14"/>
        <v/>
      </c>
      <c r="I69" s="126"/>
      <c r="J69" s="4" t="str">
        <f t="shared" si="15"/>
        <v/>
      </c>
      <c r="K69" s="4" t="str">
        <f t="shared" si="16"/>
        <v/>
      </c>
      <c r="L69" s="4" t="str">
        <f t="shared" si="17"/>
        <v/>
      </c>
      <c r="M69" s="4" t="str">
        <f t="shared" si="17"/>
        <v/>
      </c>
      <c r="N69" s="126"/>
    </row>
    <row r="70" spans="2:14" x14ac:dyDescent="0.2">
      <c r="B70" s="4">
        <f t="shared" si="12"/>
        <v>67</v>
      </c>
      <c r="C70" s="21"/>
      <c r="D70" s="126"/>
      <c r="E70" s="4" t="str">
        <f t="shared" si="18"/>
        <v/>
      </c>
      <c r="F70" s="259" t="str">
        <f t="shared" si="8"/>
        <v/>
      </c>
      <c r="G70" s="4" t="str">
        <f t="shared" si="13"/>
        <v/>
      </c>
      <c r="H70" s="266" t="str">
        <f t="shared" si="14"/>
        <v/>
      </c>
      <c r="I70" s="126"/>
      <c r="J70" s="4" t="str">
        <f t="shared" si="15"/>
        <v/>
      </c>
      <c r="K70" s="4" t="str">
        <f t="shared" si="16"/>
        <v/>
      </c>
      <c r="L70" s="4" t="str">
        <f t="shared" si="17"/>
        <v/>
      </c>
      <c r="M70" s="4" t="str">
        <f t="shared" si="17"/>
        <v/>
      </c>
      <c r="N70" s="126"/>
    </row>
    <row r="71" spans="2:14" x14ac:dyDescent="0.2">
      <c r="B71" s="4">
        <f t="shared" si="12"/>
        <v>68</v>
      </c>
      <c r="C71" s="21"/>
      <c r="D71" s="126"/>
      <c r="E71" s="4" t="str">
        <f t="shared" si="18"/>
        <v/>
      </c>
      <c r="F71" s="259" t="str">
        <f t="shared" si="8"/>
        <v/>
      </c>
      <c r="G71" s="4" t="str">
        <f t="shared" si="13"/>
        <v/>
      </c>
      <c r="H71" s="266" t="str">
        <f t="shared" si="14"/>
        <v/>
      </c>
      <c r="I71" s="126"/>
      <c r="J71" s="4" t="str">
        <f t="shared" si="15"/>
        <v/>
      </c>
      <c r="K71" s="4" t="str">
        <f t="shared" si="16"/>
        <v/>
      </c>
      <c r="L71" s="4" t="str">
        <f t="shared" si="17"/>
        <v/>
      </c>
      <c r="M71" s="4" t="str">
        <f t="shared" si="17"/>
        <v/>
      </c>
      <c r="N71" s="126"/>
    </row>
    <row r="72" spans="2:14" x14ac:dyDescent="0.2">
      <c r="B72" s="4">
        <f t="shared" si="12"/>
        <v>69</v>
      </c>
      <c r="C72" s="21"/>
      <c r="D72" s="126"/>
      <c r="E72" s="4" t="str">
        <f t="shared" si="18"/>
        <v/>
      </c>
      <c r="F72" s="259" t="str">
        <f t="shared" si="8"/>
        <v/>
      </c>
      <c r="G72" s="4" t="str">
        <f t="shared" si="13"/>
        <v/>
      </c>
      <c r="H72" s="266" t="str">
        <f t="shared" si="14"/>
        <v/>
      </c>
      <c r="I72" s="126"/>
      <c r="J72" s="4" t="str">
        <f t="shared" si="15"/>
        <v/>
      </c>
      <c r="K72" s="4" t="str">
        <f t="shared" si="16"/>
        <v/>
      </c>
      <c r="L72" s="4" t="str">
        <f t="shared" si="17"/>
        <v/>
      </c>
      <c r="M72" s="4" t="str">
        <f t="shared" si="17"/>
        <v/>
      </c>
      <c r="N72" s="126"/>
    </row>
    <row r="73" spans="2:14" x14ac:dyDescent="0.2">
      <c r="B73" s="4">
        <f t="shared" si="12"/>
        <v>70</v>
      </c>
      <c r="C73" s="21"/>
      <c r="D73" s="126"/>
      <c r="E73" s="4" t="str">
        <f t="shared" si="18"/>
        <v/>
      </c>
      <c r="F73" s="259" t="str">
        <f t="shared" si="8"/>
        <v/>
      </c>
      <c r="G73" s="4" t="str">
        <f t="shared" si="13"/>
        <v/>
      </c>
      <c r="H73" s="266" t="str">
        <f t="shared" si="14"/>
        <v/>
      </c>
      <c r="I73" s="126"/>
      <c r="J73" s="4" t="str">
        <f t="shared" si="15"/>
        <v/>
      </c>
      <c r="K73" s="4" t="str">
        <f t="shared" si="16"/>
        <v/>
      </c>
      <c r="L73" s="4" t="str">
        <f t="shared" si="17"/>
        <v/>
      </c>
      <c r="M73" s="4" t="str">
        <f t="shared" si="17"/>
        <v/>
      </c>
      <c r="N73" s="126"/>
    </row>
    <row r="74" spans="2:14" x14ac:dyDescent="0.2">
      <c r="B74" s="4">
        <f t="shared" si="12"/>
        <v>71</v>
      </c>
      <c r="C74" s="21"/>
      <c r="D74" s="126"/>
      <c r="E74" s="4" t="str">
        <f t="shared" si="18"/>
        <v/>
      </c>
      <c r="F74" s="259" t="str">
        <f t="shared" si="8"/>
        <v/>
      </c>
      <c r="G74" s="4" t="str">
        <f t="shared" si="13"/>
        <v/>
      </c>
      <c r="H74" s="266" t="str">
        <f t="shared" si="14"/>
        <v/>
      </c>
      <c r="I74" s="126"/>
      <c r="J74" s="4" t="str">
        <f t="shared" si="15"/>
        <v/>
      </c>
      <c r="K74" s="4" t="str">
        <f t="shared" si="16"/>
        <v/>
      </c>
      <c r="L74" s="4" t="str">
        <f t="shared" si="17"/>
        <v/>
      </c>
      <c r="M74" s="4" t="str">
        <f t="shared" si="17"/>
        <v/>
      </c>
      <c r="N74" s="126"/>
    </row>
    <row r="75" spans="2:14" x14ac:dyDescent="0.2">
      <c r="B75" s="4">
        <f t="shared" si="12"/>
        <v>72</v>
      </c>
      <c r="C75" s="21"/>
      <c r="D75" s="126"/>
      <c r="E75" s="4" t="str">
        <f t="shared" si="18"/>
        <v/>
      </c>
      <c r="F75" s="259" t="str">
        <f t="shared" si="8"/>
        <v/>
      </c>
      <c r="G75" s="4" t="str">
        <f t="shared" si="13"/>
        <v/>
      </c>
      <c r="H75" s="266" t="str">
        <f t="shared" si="14"/>
        <v/>
      </c>
      <c r="I75" s="126"/>
      <c r="J75" s="4" t="str">
        <f t="shared" si="15"/>
        <v/>
      </c>
      <c r="K75" s="4" t="str">
        <f t="shared" si="16"/>
        <v/>
      </c>
      <c r="L75" s="4" t="str">
        <f t="shared" si="17"/>
        <v/>
      </c>
      <c r="M75" s="4" t="str">
        <f t="shared" si="17"/>
        <v/>
      </c>
      <c r="N75" s="126"/>
    </row>
    <row r="76" spans="2:14" x14ac:dyDescent="0.2">
      <c r="B76" s="4">
        <f t="shared" si="12"/>
        <v>73</v>
      </c>
      <c r="C76" s="21"/>
      <c r="D76" s="126"/>
      <c r="E76" s="4" t="str">
        <f t="shared" si="18"/>
        <v/>
      </c>
      <c r="F76" s="259" t="str">
        <f t="shared" si="8"/>
        <v/>
      </c>
      <c r="G76" s="4" t="str">
        <f t="shared" si="13"/>
        <v/>
      </c>
      <c r="H76" s="266" t="str">
        <f t="shared" si="14"/>
        <v/>
      </c>
      <c r="I76" s="126"/>
      <c r="J76" s="4" t="str">
        <f t="shared" si="15"/>
        <v/>
      </c>
      <c r="K76" s="4" t="str">
        <f t="shared" si="16"/>
        <v/>
      </c>
      <c r="L76" s="4" t="str">
        <f t="shared" si="17"/>
        <v/>
      </c>
      <c r="M76" s="4" t="str">
        <f t="shared" si="17"/>
        <v/>
      </c>
      <c r="N76" s="126"/>
    </row>
    <row r="77" spans="2:14" x14ac:dyDescent="0.2">
      <c r="B77" s="4">
        <f t="shared" si="12"/>
        <v>74</v>
      </c>
      <c r="C77" s="21"/>
      <c r="D77" s="126"/>
      <c r="E77" s="4" t="str">
        <f t="shared" si="18"/>
        <v/>
      </c>
      <c r="F77" s="259" t="str">
        <f t="shared" si="8"/>
        <v/>
      </c>
      <c r="G77" s="4" t="str">
        <f t="shared" si="13"/>
        <v/>
      </c>
      <c r="H77" s="266" t="str">
        <f t="shared" si="14"/>
        <v/>
      </c>
      <c r="I77" s="126"/>
      <c r="J77" s="4" t="str">
        <f t="shared" si="15"/>
        <v/>
      </c>
      <c r="K77" s="4" t="str">
        <f t="shared" si="16"/>
        <v/>
      </c>
      <c r="L77" s="4" t="str">
        <f t="shared" si="17"/>
        <v/>
      </c>
      <c r="M77" s="4" t="str">
        <f t="shared" si="17"/>
        <v/>
      </c>
      <c r="N77" s="126"/>
    </row>
    <row r="78" spans="2:14" x14ac:dyDescent="0.2">
      <c r="B78" s="4">
        <f t="shared" si="12"/>
        <v>75</v>
      </c>
      <c r="C78" s="21"/>
      <c r="D78" s="126"/>
      <c r="E78" s="4" t="str">
        <f t="shared" si="18"/>
        <v/>
      </c>
      <c r="F78" s="259" t="str">
        <f t="shared" si="8"/>
        <v/>
      </c>
      <c r="G78" s="4" t="str">
        <f t="shared" si="13"/>
        <v/>
      </c>
      <c r="H78" s="266" t="str">
        <f t="shared" si="14"/>
        <v/>
      </c>
      <c r="I78" s="126"/>
      <c r="J78" s="4" t="str">
        <f t="shared" si="15"/>
        <v/>
      </c>
      <c r="K78" s="4" t="str">
        <f t="shared" si="16"/>
        <v/>
      </c>
      <c r="L78" s="4" t="str">
        <f t="shared" si="17"/>
        <v/>
      </c>
      <c r="M78" s="4" t="str">
        <f t="shared" si="17"/>
        <v/>
      </c>
      <c r="N78" s="126"/>
    </row>
    <row r="79" spans="2:14" x14ac:dyDescent="0.2">
      <c r="B79" s="4">
        <f t="shared" si="12"/>
        <v>76</v>
      </c>
      <c r="C79" s="21"/>
      <c r="D79" s="126"/>
      <c r="E79" s="4" t="str">
        <f t="shared" si="18"/>
        <v/>
      </c>
      <c r="F79" s="259" t="str">
        <f t="shared" si="8"/>
        <v/>
      </c>
      <c r="G79" s="4" t="str">
        <f t="shared" si="13"/>
        <v/>
      </c>
      <c r="H79" s="266" t="str">
        <f t="shared" si="14"/>
        <v/>
      </c>
      <c r="I79" s="126"/>
      <c r="J79" s="4" t="str">
        <f t="shared" si="15"/>
        <v/>
      </c>
      <c r="K79" s="4" t="str">
        <f t="shared" si="16"/>
        <v/>
      </c>
      <c r="L79" s="4" t="str">
        <f t="shared" si="17"/>
        <v/>
      </c>
      <c r="M79" s="4" t="str">
        <f t="shared" si="17"/>
        <v/>
      </c>
      <c r="N79" s="126"/>
    </row>
    <row r="80" spans="2:14" x14ac:dyDescent="0.2">
      <c r="B80" s="4">
        <f t="shared" si="12"/>
        <v>77</v>
      </c>
      <c r="C80" s="21"/>
      <c r="D80" s="126"/>
      <c r="E80" s="4" t="str">
        <f t="shared" si="18"/>
        <v/>
      </c>
      <c r="F80" s="259" t="str">
        <f t="shared" si="8"/>
        <v/>
      </c>
      <c r="G80" s="4" t="str">
        <f t="shared" si="13"/>
        <v/>
      </c>
      <c r="H80" s="266" t="str">
        <f t="shared" si="14"/>
        <v/>
      </c>
      <c r="I80" s="126"/>
      <c r="J80" s="4" t="str">
        <f t="shared" si="15"/>
        <v/>
      </c>
      <c r="K80" s="4" t="str">
        <f t="shared" si="16"/>
        <v/>
      </c>
      <c r="L80" s="4" t="str">
        <f t="shared" si="17"/>
        <v/>
      </c>
      <c r="M80" s="4" t="str">
        <f t="shared" si="17"/>
        <v/>
      </c>
      <c r="N80" s="126"/>
    </row>
    <row r="81" spans="2:14" x14ac:dyDescent="0.2">
      <c r="B81" s="4">
        <f t="shared" si="12"/>
        <v>78</v>
      </c>
      <c r="C81" s="21"/>
      <c r="D81" s="126"/>
      <c r="E81" s="4" t="str">
        <f t="shared" si="18"/>
        <v/>
      </c>
      <c r="F81" s="259" t="str">
        <f t="shared" si="8"/>
        <v/>
      </c>
      <c r="G81" s="4" t="str">
        <f t="shared" si="13"/>
        <v/>
      </c>
      <c r="H81" s="266" t="str">
        <f t="shared" si="14"/>
        <v/>
      </c>
      <c r="I81" s="126"/>
      <c r="J81" s="4" t="str">
        <f t="shared" si="15"/>
        <v/>
      </c>
      <c r="K81" s="4" t="str">
        <f t="shared" si="16"/>
        <v/>
      </c>
      <c r="L81" s="4" t="str">
        <f t="shared" si="17"/>
        <v/>
      </c>
      <c r="M81" s="4" t="str">
        <f t="shared" si="17"/>
        <v/>
      </c>
      <c r="N81" s="126"/>
    </row>
    <row r="82" spans="2:14" x14ac:dyDescent="0.2">
      <c r="B82" s="4">
        <f t="shared" si="12"/>
        <v>79</v>
      </c>
      <c r="C82" s="21"/>
      <c r="D82" s="126"/>
      <c r="E82" s="4" t="str">
        <f t="shared" si="18"/>
        <v/>
      </c>
      <c r="F82" s="259" t="str">
        <f t="shared" si="8"/>
        <v/>
      </c>
      <c r="G82" s="4" t="str">
        <f t="shared" si="13"/>
        <v/>
      </c>
      <c r="H82" s="266" t="str">
        <f t="shared" si="14"/>
        <v/>
      </c>
      <c r="I82" s="126"/>
      <c r="J82" s="4" t="str">
        <f t="shared" si="15"/>
        <v/>
      </c>
      <c r="K82" s="4" t="str">
        <f t="shared" si="16"/>
        <v/>
      </c>
      <c r="L82" s="4" t="str">
        <f t="shared" si="17"/>
        <v/>
      </c>
      <c r="M82" s="4" t="str">
        <f t="shared" si="17"/>
        <v/>
      </c>
      <c r="N82" s="126"/>
    </row>
    <row r="83" spans="2:14" x14ac:dyDescent="0.2">
      <c r="B83" s="4">
        <f t="shared" si="12"/>
        <v>80</v>
      </c>
      <c r="C83" s="21"/>
      <c r="D83" s="126"/>
      <c r="E83" s="4" t="str">
        <f t="shared" si="18"/>
        <v/>
      </c>
      <c r="F83" s="259" t="str">
        <f t="shared" si="8"/>
        <v/>
      </c>
      <c r="G83" s="4" t="str">
        <f t="shared" si="13"/>
        <v/>
      </c>
      <c r="H83" s="266" t="str">
        <f t="shared" si="14"/>
        <v/>
      </c>
      <c r="I83" s="126"/>
      <c r="J83" s="4" t="str">
        <f t="shared" si="15"/>
        <v/>
      </c>
      <c r="K83" s="4" t="str">
        <f t="shared" si="16"/>
        <v/>
      </c>
      <c r="L83" s="4" t="str">
        <f t="shared" si="17"/>
        <v/>
      </c>
      <c r="M83" s="4" t="str">
        <f t="shared" si="17"/>
        <v/>
      </c>
      <c r="N83" s="126"/>
    </row>
    <row r="84" spans="2:14" x14ac:dyDescent="0.2">
      <c r="B84" s="4">
        <f t="shared" si="12"/>
        <v>81</v>
      </c>
      <c r="C84" s="21"/>
      <c r="D84" s="126"/>
      <c r="E84" s="4" t="str">
        <f t="shared" si="18"/>
        <v/>
      </c>
      <c r="F84" s="259" t="str">
        <f t="shared" si="8"/>
        <v/>
      </c>
      <c r="G84" s="4" t="str">
        <f t="shared" si="13"/>
        <v/>
      </c>
      <c r="H84" s="266" t="str">
        <f t="shared" si="14"/>
        <v/>
      </c>
      <c r="I84" s="126"/>
      <c r="J84" s="4" t="str">
        <f t="shared" si="15"/>
        <v/>
      </c>
      <c r="K84" s="4" t="str">
        <f t="shared" si="16"/>
        <v/>
      </c>
      <c r="L84" s="4" t="str">
        <f t="shared" si="17"/>
        <v/>
      </c>
      <c r="M84" s="4" t="str">
        <f t="shared" si="17"/>
        <v/>
      </c>
      <c r="N84" s="126"/>
    </row>
    <row r="85" spans="2:14" x14ac:dyDescent="0.2">
      <c r="B85" s="4">
        <f t="shared" si="12"/>
        <v>82</v>
      </c>
      <c r="C85" s="21"/>
      <c r="D85" s="126"/>
      <c r="E85" s="4" t="str">
        <f t="shared" si="18"/>
        <v/>
      </c>
      <c r="F85" s="259" t="str">
        <f t="shared" si="8"/>
        <v/>
      </c>
      <c r="G85" s="4" t="str">
        <f t="shared" si="13"/>
        <v/>
      </c>
      <c r="H85" s="266" t="str">
        <f t="shared" si="14"/>
        <v/>
      </c>
      <c r="I85" s="126"/>
      <c r="J85" s="4" t="str">
        <f t="shared" si="15"/>
        <v/>
      </c>
      <c r="K85" s="4" t="str">
        <f t="shared" si="16"/>
        <v/>
      </c>
      <c r="L85" s="4" t="str">
        <f t="shared" si="17"/>
        <v/>
      </c>
      <c r="M85" s="4" t="str">
        <f t="shared" si="17"/>
        <v/>
      </c>
      <c r="N85" s="126"/>
    </row>
    <row r="86" spans="2:14" x14ac:dyDescent="0.2">
      <c r="B86" s="4">
        <f t="shared" si="12"/>
        <v>83</v>
      </c>
      <c r="C86" s="21"/>
      <c r="D86" s="126"/>
      <c r="E86" s="4" t="str">
        <f t="shared" si="18"/>
        <v/>
      </c>
      <c r="F86" s="259" t="str">
        <f t="shared" si="8"/>
        <v/>
      </c>
      <c r="G86" s="4" t="str">
        <f t="shared" si="13"/>
        <v/>
      </c>
      <c r="H86" s="266" t="str">
        <f t="shared" si="14"/>
        <v/>
      </c>
      <c r="I86" s="126"/>
      <c r="J86" s="4" t="str">
        <f t="shared" si="15"/>
        <v/>
      </c>
      <c r="K86" s="4" t="str">
        <f t="shared" si="16"/>
        <v/>
      </c>
      <c r="L86" s="4" t="str">
        <f t="shared" si="17"/>
        <v/>
      </c>
      <c r="M86" s="4" t="str">
        <f t="shared" si="17"/>
        <v/>
      </c>
      <c r="N86" s="126"/>
    </row>
    <row r="87" spans="2:14" x14ac:dyDescent="0.2">
      <c r="B87" s="4">
        <f t="shared" si="12"/>
        <v>84</v>
      </c>
      <c r="C87" s="21"/>
      <c r="D87" s="126"/>
      <c r="E87" s="4" t="str">
        <f t="shared" si="18"/>
        <v/>
      </c>
      <c r="F87" s="259" t="str">
        <f t="shared" si="8"/>
        <v/>
      </c>
      <c r="G87" s="4" t="str">
        <f t="shared" si="13"/>
        <v/>
      </c>
      <c r="H87" s="266" t="str">
        <f t="shared" si="14"/>
        <v/>
      </c>
      <c r="I87" s="126"/>
      <c r="J87" s="4" t="str">
        <f t="shared" si="15"/>
        <v/>
      </c>
      <c r="K87" s="4" t="str">
        <f t="shared" si="16"/>
        <v/>
      </c>
      <c r="L87" s="4" t="str">
        <f t="shared" si="17"/>
        <v/>
      </c>
      <c r="M87" s="4" t="str">
        <f t="shared" si="17"/>
        <v/>
      </c>
      <c r="N87" s="126"/>
    </row>
    <row r="88" spans="2:14" x14ac:dyDescent="0.2">
      <c r="B88" s="4">
        <f t="shared" si="12"/>
        <v>85</v>
      </c>
      <c r="C88" s="21"/>
      <c r="D88" s="126"/>
      <c r="E88" s="4" t="str">
        <f t="shared" si="18"/>
        <v/>
      </c>
      <c r="F88" s="259" t="str">
        <f t="shared" si="8"/>
        <v/>
      </c>
      <c r="G88" s="4" t="str">
        <f t="shared" si="13"/>
        <v/>
      </c>
      <c r="H88" s="266" t="str">
        <f t="shared" si="14"/>
        <v/>
      </c>
      <c r="I88" s="126"/>
      <c r="J88" s="4" t="str">
        <f t="shared" si="15"/>
        <v/>
      </c>
      <c r="K88" s="4" t="str">
        <f t="shared" si="16"/>
        <v/>
      </c>
      <c r="L88" s="4" t="str">
        <f t="shared" si="17"/>
        <v/>
      </c>
      <c r="M88" s="4" t="str">
        <f t="shared" si="17"/>
        <v/>
      </c>
      <c r="N88" s="126"/>
    </row>
    <row r="89" spans="2:14" x14ac:dyDescent="0.2">
      <c r="B89" s="4">
        <f t="shared" si="12"/>
        <v>86</v>
      </c>
      <c r="C89" s="21"/>
      <c r="D89" s="126"/>
      <c r="E89" s="4" t="str">
        <f t="shared" si="18"/>
        <v/>
      </c>
      <c r="F89" s="259" t="str">
        <f t="shared" si="8"/>
        <v/>
      </c>
      <c r="G89" s="4" t="str">
        <f t="shared" si="13"/>
        <v/>
      </c>
      <c r="H89" s="266" t="str">
        <f t="shared" si="14"/>
        <v/>
      </c>
      <c r="I89" s="126"/>
      <c r="J89" s="4" t="str">
        <f t="shared" si="15"/>
        <v/>
      </c>
      <c r="K89" s="4" t="str">
        <f t="shared" si="16"/>
        <v/>
      </c>
      <c r="L89" s="4" t="str">
        <f t="shared" si="17"/>
        <v/>
      </c>
      <c r="M89" s="4" t="str">
        <f t="shared" si="17"/>
        <v/>
      </c>
      <c r="N89" s="126"/>
    </row>
    <row r="90" spans="2:14" x14ac:dyDescent="0.2">
      <c r="B90" s="4">
        <f t="shared" si="12"/>
        <v>87</v>
      </c>
      <c r="C90" s="21"/>
      <c r="D90" s="126"/>
      <c r="E90" s="4" t="str">
        <f t="shared" si="18"/>
        <v/>
      </c>
      <c r="F90" s="259" t="str">
        <f t="shared" si="8"/>
        <v/>
      </c>
      <c r="G90" s="4" t="str">
        <f t="shared" si="13"/>
        <v/>
      </c>
      <c r="H90" s="266" t="str">
        <f t="shared" si="14"/>
        <v/>
      </c>
      <c r="I90" s="126"/>
      <c r="J90" s="4" t="str">
        <f t="shared" si="15"/>
        <v/>
      </c>
      <c r="K90" s="4" t="str">
        <f t="shared" si="16"/>
        <v/>
      </c>
      <c r="L90" s="4" t="str">
        <f t="shared" si="17"/>
        <v/>
      </c>
      <c r="M90" s="4" t="str">
        <f t="shared" si="17"/>
        <v/>
      </c>
      <c r="N90" s="126"/>
    </row>
    <row r="91" spans="2:14" x14ac:dyDescent="0.2">
      <c r="B91" s="4">
        <f t="shared" si="12"/>
        <v>88</v>
      </c>
      <c r="C91" s="21"/>
      <c r="D91" s="126"/>
      <c r="E91" s="4" t="str">
        <f t="shared" si="18"/>
        <v/>
      </c>
      <c r="F91" s="259" t="str">
        <f t="shared" si="8"/>
        <v/>
      </c>
      <c r="G91" s="4" t="str">
        <f t="shared" si="13"/>
        <v/>
      </c>
      <c r="H91" s="266" t="str">
        <f t="shared" si="14"/>
        <v/>
      </c>
      <c r="I91" s="126"/>
      <c r="J91" s="4" t="str">
        <f t="shared" si="15"/>
        <v/>
      </c>
      <c r="K91" s="4" t="str">
        <f t="shared" si="16"/>
        <v/>
      </c>
      <c r="L91" s="4" t="str">
        <f t="shared" si="17"/>
        <v/>
      </c>
      <c r="M91" s="4" t="str">
        <f t="shared" si="17"/>
        <v/>
      </c>
      <c r="N91" s="126"/>
    </row>
    <row r="92" spans="2:14" x14ac:dyDescent="0.2">
      <c r="B92" s="4">
        <f t="shared" si="12"/>
        <v>89</v>
      </c>
      <c r="C92" s="21"/>
      <c r="D92" s="126"/>
      <c r="E92" s="4" t="str">
        <f t="shared" si="18"/>
        <v/>
      </c>
      <c r="F92" s="259" t="str">
        <f t="shared" si="8"/>
        <v/>
      </c>
      <c r="G92" s="4" t="str">
        <f t="shared" si="13"/>
        <v/>
      </c>
      <c r="H92" s="266" t="str">
        <f t="shared" si="14"/>
        <v/>
      </c>
      <c r="I92" s="126"/>
      <c r="J92" s="4" t="str">
        <f t="shared" si="15"/>
        <v/>
      </c>
      <c r="K92" s="4" t="str">
        <f t="shared" si="16"/>
        <v/>
      </c>
      <c r="L92" s="4" t="str">
        <f t="shared" si="17"/>
        <v/>
      </c>
      <c r="M92" s="4" t="str">
        <f t="shared" si="17"/>
        <v/>
      </c>
      <c r="N92" s="126"/>
    </row>
    <row r="93" spans="2:14" x14ac:dyDescent="0.2">
      <c r="B93" s="4">
        <f t="shared" si="12"/>
        <v>90</v>
      </c>
      <c r="C93" s="21"/>
      <c r="D93" s="126"/>
      <c r="E93" s="4" t="str">
        <f t="shared" si="18"/>
        <v/>
      </c>
      <c r="F93" s="259" t="str">
        <f t="shared" ref="F93:F103" si="19">IF(D93="","",100*(D93-D92)/D92)</f>
        <v/>
      </c>
      <c r="G93" s="4" t="str">
        <f t="shared" si="13"/>
        <v/>
      </c>
      <c r="H93" s="266" t="str">
        <f t="shared" si="14"/>
        <v/>
      </c>
      <c r="I93" s="126"/>
      <c r="J93" s="4" t="str">
        <f t="shared" si="15"/>
        <v/>
      </c>
      <c r="K93" s="4" t="str">
        <f t="shared" si="16"/>
        <v/>
      </c>
      <c r="L93" s="4" t="str">
        <f t="shared" si="17"/>
        <v/>
      </c>
      <c r="M93" s="4" t="str">
        <f t="shared" si="17"/>
        <v/>
      </c>
      <c r="N93" s="126"/>
    </row>
    <row r="94" spans="2:14" x14ac:dyDescent="0.2">
      <c r="B94" s="4">
        <f t="shared" si="12"/>
        <v>91</v>
      </c>
      <c r="C94" s="21"/>
      <c r="D94" s="126"/>
      <c r="E94" s="4" t="str">
        <f t="shared" si="18"/>
        <v/>
      </c>
      <c r="F94" s="259" t="str">
        <f t="shared" si="19"/>
        <v/>
      </c>
      <c r="G94" s="4" t="str">
        <f t="shared" si="13"/>
        <v/>
      </c>
      <c r="H94" s="266" t="str">
        <f t="shared" si="14"/>
        <v/>
      </c>
      <c r="I94" s="126"/>
      <c r="J94" s="4" t="str">
        <f t="shared" si="15"/>
        <v/>
      </c>
      <c r="K94" s="4" t="str">
        <f t="shared" si="16"/>
        <v/>
      </c>
      <c r="L94" s="4" t="str">
        <f t="shared" si="17"/>
        <v/>
      </c>
      <c r="M94" s="4" t="str">
        <f t="shared" si="17"/>
        <v/>
      </c>
      <c r="N94" s="126"/>
    </row>
    <row r="95" spans="2:14" x14ac:dyDescent="0.2">
      <c r="B95" s="4">
        <f t="shared" si="12"/>
        <v>92</v>
      </c>
      <c r="C95" s="21"/>
      <c r="D95" s="126"/>
      <c r="E95" s="4" t="str">
        <f t="shared" si="18"/>
        <v/>
      </c>
      <c r="F95" s="259" t="str">
        <f t="shared" si="19"/>
        <v/>
      </c>
      <c r="G95" s="4" t="str">
        <f t="shared" si="13"/>
        <v/>
      </c>
      <c r="H95" s="266" t="str">
        <f t="shared" si="14"/>
        <v/>
      </c>
      <c r="I95" s="126"/>
      <c r="J95" s="4" t="str">
        <f t="shared" si="15"/>
        <v/>
      </c>
      <c r="K95" s="4" t="str">
        <f t="shared" si="16"/>
        <v/>
      </c>
      <c r="L95" s="4" t="str">
        <f t="shared" si="17"/>
        <v/>
      </c>
      <c r="M95" s="4" t="str">
        <f t="shared" si="17"/>
        <v/>
      </c>
      <c r="N95" s="126"/>
    </row>
    <row r="96" spans="2:14" x14ac:dyDescent="0.2">
      <c r="B96" s="4">
        <f t="shared" si="12"/>
        <v>93</v>
      </c>
      <c r="C96" s="21"/>
      <c r="D96" s="126"/>
      <c r="E96" s="4" t="str">
        <f t="shared" si="18"/>
        <v/>
      </c>
      <c r="F96" s="259" t="str">
        <f t="shared" si="19"/>
        <v/>
      </c>
      <c r="G96" s="4" t="str">
        <f t="shared" si="13"/>
        <v/>
      </c>
      <c r="H96" s="266" t="str">
        <f t="shared" si="14"/>
        <v/>
      </c>
      <c r="I96" s="126"/>
      <c r="J96" s="4" t="str">
        <f t="shared" si="15"/>
        <v/>
      </c>
      <c r="K96" s="4" t="str">
        <f t="shared" si="16"/>
        <v/>
      </c>
      <c r="L96" s="4" t="str">
        <f t="shared" si="17"/>
        <v/>
      </c>
      <c r="M96" s="4" t="str">
        <f t="shared" si="17"/>
        <v/>
      </c>
      <c r="N96" s="126"/>
    </row>
    <row r="97" spans="2:14" x14ac:dyDescent="0.2">
      <c r="B97" s="4">
        <f t="shared" si="12"/>
        <v>94</v>
      </c>
      <c r="C97" s="21"/>
      <c r="D97" s="126"/>
      <c r="E97" s="4" t="str">
        <f t="shared" si="18"/>
        <v/>
      </c>
      <c r="F97" s="259" t="str">
        <f t="shared" si="19"/>
        <v/>
      </c>
      <c r="G97" s="4" t="str">
        <f t="shared" si="13"/>
        <v/>
      </c>
      <c r="H97" s="266" t="str">
        <f t="shared" si="14"/>
        <v/>
      </c>
      <c r="I97" s="126"/>
      <c r="J97" s="4" t="str">
        <f t="shared" si="15"/>
        <v/>
      </c>
      <c r="K97" s="4" t="str">
        <f t="shared" si="16"/>
        <v/>
      </c>
      <c r="L97" s="4" t="str">
        <f t="shared" si="17"/>
        <v/>
      </c>
      <c r="M97" s="4" t="str">
        <f t="shared" si="17"/>
        <v/>
      </c>
      <c r="N97" s="126"/>
    </row>
    <row r="98" spans="2:14" x14ac:dyDescent="0.2">
      <c r="B98" s="4">
        <f t="shared" si="12"/>
        <v>95</v>
      </c>
      <c r="C98" s="21"/>
      <c r="D98" s="126"/>
      <c r="E98" s="4" t="str">
        <f t="shared" si="18"/>
        <v/>
      </c>
      <c r="F98" s="259" t="str">
        <f t="shared" si="19"/>
        <v/>
      </c>
      <c r="G98" s="4" t="str">
        <f t="shared" si="13"/>
        <v/>
      </c>
      <c r="H98" s="266" t="str">
        <f t="shared" si="14"/>
        <v/>
      </c>
      <c r="I98" s="126"/>
      <c r="J98" s="4" t="str">
        <f t="shared" si="15"/>
        <v/>
      </c>
      <c r="K98" s="4" t="str">
        <f t="shared" si="16"/>
        <v/>
      </c>
      <c r="L98" s="4" t="str">
        <f t="shared" si="17"/>
        <v/>
      </c>
      <c r="M98" s="4" t="str">
        <f t="shared" si="17"/>
        <v/>
      </c>
      <c r="N98" s="126"/>
    </row>
    <row r="99" spans="2:14" x14ac:dyDescent="0.2">
      <c r="B99" s="4">
        <f t="shared" si="12"/>
        <v>96</v>
      </c>
      <c r="C99" s="21"/>
      <c r="D99" s="126"/>
      <c r="E99" s="4" t="str">
        <f t="shared" si="18"/>
        <v/>
      </c>
      <c r="F99" s="259" t="str">
        <f t="shared" si="19"/>
        <v/>
      </c>
      <c r="G99" s="4" t="str">
        <f t="shared" si="13"/>
        <v/>
      </c>
      <c r="H99" s="266" t="str">
        <f t="shared" si="14"/>
        <v/>
      </c>
      <c r="I99" s="126"/>
      <c r="J99" s="4" t="str">
        <f t="shared" si="15"/>
        <v/>
      </c>
      <c r="K99" s="4" t="str">
        <f t="shared" si="16"/>
        <v/>
      </c>
      <c r="L99" s="4" t="str">
        <f t="shared" si="17"/>
        <v/>
      </c>
      <c r="M99" s="4" t="str">
        <f t="shared" si="17"/>
        <v/>
      </c>
      <c r="N99" s="126"/>
    </row>
    <row r="100" spans="2:14" x14ac:dyDescent="0.2">
      <c r="B100" s="4">
        <f t="shared" si="12"/>
        <v>97</v>
      </c>
      <c r="C100" s="21"/>
      <c r="D100" s="126"/>
      <c r="E100" s="4" t="str">
        <f t="shared" si="18"/>
        <v/>
      </c>
      <c r="F100" s="259" t="str">
        <f t="shared" si="19"/>
        <v/>
      </c>
      <c r="G100" s="4" t="str">
        <f t="shared" si="13"/>
        <v/>
      </c>
      <c r="H100" s="266" t="str">
        <f t="shared" ref="H100:H103" si="20">IF(F100="","",100*(((D100-D$3)/D$3+1)^(1/G100)-1))</f>
        <v/>
      </c>
      <c r="I100" s="126"/>
      <c r="J100" s="4" t="str">
        <f t="shared" si="15"/>
        <v/>
      </c>
      <c r="K100" s="4" t="str">
        <f t="shared" si="16"/>
        <v/>
      </c>
      <c r="L100" s="4" t="str">
        <f t="shared" si="17"/>
        <v/>
      </c>
      <c r="M100" s="4" t="str">
        <f t="shared" si="17"/>
        <v/>
      </c>
      <c r="N100" s="126"/>
    </row>
    <row r="101" spans="2:14" x14ac:dyDescent="0.2">
      <c r="B101" s="4">
        <f t="shared" si="12"/>
        <v>98</v>
      </c>
      <c r="C101" s="21"/>
      <c r="D101" s="126"/>
      <c r="E101" s="4" t="str">
        <f t="shared" si="18"/>
        <v/>
      </c>
      <c r="F101" s="259" t="str">
        <f t="shared" si="19"/>
        <v/>
      </c>
      <c r="G101" s="4" t="str">
        <f t="shared" si="13"/>
        <v/>
      </c>
      <c r="H101" s="266" t="str">
        <f t="shared" si="20"/>
        <v/>
      </c>
      <c r="I101" s="126"/>
      <c r="J101" s="4" t="str">
        <f t="shared" si="15"/>
        <v/>
      </c>
      <c r="K101" s="4" t="str">
        <f t="shared" si="16"/>
        <v/>
      </c>
      <c r="L101" s="4" t="str">
        <f t="shared" si="17"/>
        <v/>
      </c>
      <c r="M101" s="4" t="str">
        <f t="shared" si="17"/>
        <v/>
      </c>
      <c r="N101" s="126"/>
    </row>
    <row r="102" spans="2:14" x14ac:dyDescent="0.2">
      <c r="B102" s="4">
        <f t="shared" si="12"/>
        <v>99</v>
      </c>
      <c r="C102" s="21"/>
      <c r="D102" s="126"/>
      <c r="E102" s="4" t="str">
        <f t="shared" si="18"/>
        <v/>
      </c>
      <c r="F102" s="259" t="str">
        <f t="shared" si="19"/>
        <v/>
      </c>
      <c r="G102" s="4" t="str">
        <f t="shared" si="13"/>
        <v/>
      </c>
      <c r="H102" s="266" t="str">
        <f t="shared" si="20"/>
        <v/>
      </c>
      <c r="I102" s="126"/>
      <c r="J102" s="4" t="str">
        <f t="shared" si="15"/>
        <v/>
      </c>
      <c r="K102" s="4" t="str">
        <f t="shared" si="16"/>
        <v/>
      </c>
      <c r="L102" s="4" t="str">
        <f t="shared" si="17"/>
        <v/>
      </c>
      <c r="M102" s="4" t="str">
        <f t="shared" si="17"/>
        <v/>
      </c>
      <c r="N102" s="126"/>
    </row>
    <row r="103" spans="2:14" x14ac:dyDescent="0.2">
      <c r="B103" s="4">
        <f t="shared" si="12"/>
        <v>100</v>
      </c>
      <c r="C103" s="21"/>
      <c r="D103" s="126"/>
      <c r="E103" s="4" t="str">
        <f t="shared" si="18"/>
        <v/>
      </c>
      <c r="F103" s="259" t="str">
        <f t="shared" si="19"/>
        <v/>
      </c>
      <c r="G103" s="4" t="str">
        <f t="shared" si="13"/>
        <v/>
      </c>
      <c r="H103" s="266" t="str">
        <f t="shared" si="20"/>
        <v/>
      </c>
      <c r="I103" s="126"/>
      <c r="J103" s="4" t="str">
        <f t="shared" si="15"/>
        <v/>
      </c>
      <c r="K103" s="4" t="str">
        <f t="shared" si="16"/>
        <v/>
      </c>
      <c r="L103" s="4" t="str">
        <f t="shared" si="17"/>
        <v/>
      </c>
      <c r="M103" s="4" t="str">
        <f t="shared" si="17"/>
        <v/>
      </c>
      <c r="N103" s="126"/>
    </row>
  </sheetData>
  <mergeCells count="7">
    <mergeCell ref="U6:X7"/>
    <mergeCell ref="U8:V8"/>
    <mergeCell ref="U2:X3"/>
    <mergeCell ref="U4:V4"/>
    <mergeCell ref="P6:Q6"/>
    <mergeCell ref="R6:S6"/>
    <mergeCell ref="P5:S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tabSelected="1" zoomScale="90" zoomScaleNormal="90" workbookViewId="0">
      <selection activeCell="O14" sqref="O14"/>
    </sheetView>
  </sheetViews>
  <sheetFormatPr defaultRowHeight="12.75" x14ac:dyDescent="0.2"/>
  <cols>
    <col min="1" max="1" width="1.85546875" customWidth="1"/>
    <col min="2" max="2" width="4.42578125" customWidth="1"/>
    <col min="3" max="3" width="5.5703125" bestFit="1" customWidth="1"/>
    <col min="4" max="4" width="6.5703125" bestFit="1" customWidth="1"/>
    <col min="5" max="5" width="6" bestFit="1" customWidth="1"/>
    <col min="6" max="6" width="7.5703125" bestFit="1" customWidth="1"/>
    <col min="7" max="7" width="8.28515625" bestFit="1" customWidth="1"/>
    <col min="8" max="8" width="4.42578125" hidden="1" customWidth="1"/>
    <col min="9" max="9" width="5.5703125" style="368" bestFit="1" customWidth="1"/>
    <col min="10" max="10" width="7.28515625" customWidth="1"/>
    <col min="11" max="11" width="1.85546875" customWidth="1"/>
    <col min="12" max="12" width="12.7109375" customWidth="1"/>
    <col min="13" max="13" width="7.140625" bestFit="1" customWidth="1"/>
    <col min="14" max="14" width="10.42578125" bestFit="1" customWidth="1"/>
    <col min="15" max="15" width="6.5703125" customWidth="1"/>
    <col min="16" max="16" width="8.5703125" customWidth="1"/>
    <col min="17" max="17" width="8.28515625" bestFit="1" customWidth="1"/>
    <col min="23" max="23" width="2.85546875" customWidth="1"/>
  </cols>
  <sheetData>
    <row r="1" spans="1:25" ht="13.5" thickBot="1" x14ac:dyDescent="0.25"/>
    <row r="2" spans="1:25" ht="13.5" thickBot="1" x14ac:dyDescent="0.25">
      <c r="A2" s="26"/>
      <c r="B2" s="348" t="s">
        <v>0</v>
      </c>
      <c r="C2" s="349" t="s">
        <v>164</v>
      </c>
      <c r="D2" s="356" t="s">
        <v>236</v>
      </c>
      <c r="E2" s="356" t="s">
        <v>101</v>
      </c>
      <c r="F2" s="356" t="s">
        <v>21</v>
      </c>
      <c r="G2" s="356" t="s">
        <v>175</v>
      </c>
      <c r="H2" s="316" t="s">
        <v>0</v>
      </c>
      <c r="I2" s="369" t="s">
        <v>220</v>
      </c>
      <c r="J2" s="202" t="s">
        <v>202</v>
      </c>
      <c r="K2" s="26"/>
      <c r="L2" s="182" t="s">
        <v>178</v>
      </c>
      <c r="M2" s="241" t="s">
        <v>160</v>
      </c>
      <c r="N2" s="241" t="s">
        <v>176</v>
      </c>
      <c r="O2" s="247" t="s">
        <v>177</v>
      </c>
      <c r="P2" s="341" t="s">
        <v>213</v>
      </c>
      <c r="Q2" s="202" t="s">
        <v>214</v>
      </c>
      <c r="W2" s="26"/>
      <c r="Y2" s="26"/>
    </row>
    <row r="3" spans="1:25" x14ac:dyDescent="0.2">
      <c r="A3" s="26"/>
      <c r="B3" s="355">
        <v>1</v>
      </c>
      <c r="C3" s="263">
        <f>IF(Cy!I4="","",Cy!I4)</f>
        <v>7.0000000000000007E-2</v>
      </c>
      <c r="D3" s="54">
        <f>E3+0.15</f>
        <v>7.9241394056276226E-2</v>
      </c>
      <c r="E3" s="264">
        <f>IF(Cy!F4="","",Cy!F4)</f>
        <v>-7.0758605943723768E-2</v>
      </c>
      <c r="F3" s="54"/>
      <c r="G3" s="273"/>
      <c r="H3" s="381">
        <v>1</v>
      </c>
      <c r="I3" s="370">
        <v>30</v>
      </c>
      <c r="J3" s="274"/>
      <c r="K3" s="26"/>
      <c r="L3" s="205">
        <v>2.42</v>
      </c>
      <c r="M3" s="242">
        <f>IF(L3="","",FREQUENCY(C$3:C$102,L3))</f>
        <v>20</v>
      </c>
      <c r="N3" s="244">
        <v>0</v>
      </c>
      <c r="O3" s="248">
        <f>IF(M3="",N3,M3+N3)</f>
        <v>20</v>
      </c>
      <c r="P3" s="344">
        <f>O3/O$13</f>
        <v>0.95238095238095233</v>
      </c>
      <c r="Q3" s="220">
        <f>IF(L3="","",IF(O3&gt;0,O3/O$13,M$17*L3^N$17))</f>
        <v>0.95238095238095233</v>
      </c>
      <c r="W3" s="26"/>
      <c r="Y3" s="26"/>
    </row>
    <row r="4" spans="1:25" x14ac:dyDescent="0.2">
      <c r="A4" s="26"/>
      <c r="B4" s="213">
        <f t="shared" ref="B4:B67" si="0">B3+1</f>
        <v>2</v>
      </c>
      <c r="C4" s="358">
        <f>IF(Cy!I5="","",Cy!I5)</f>
        <v>0.05</v>
      </c>
      <c r="D4" s="357">
        <f t="shared" ref="D4:D35" si="1">IF(E4="","",E4+D$3-E$3)</f>
        <v>0.19288414782487628</v>
      </c>
      <c r="E4" s="357">
        <f>IF(Cy!F5="","",Cy!F5)</f>
        <v>4.288414782487629E-2</v>
      </c>
      <c r="F4" s="49"/>
      <c r="G4" s="380"/>
      <c r="H4" s="382">
        <f>IF(I4="","",H3+1)</f>
        <v>2</v>
      </c>
      <c r="I4" s="371">
        <v>30</v>
      </c>
      <c r="J4" s="240"/>
      <c r="K4" s="26"/>
      <c r="L4" s="252">
        <f>IF(L3="","",IF(L3+L$3&lt;L$12,L3+L$3,""))</f>
        <v>4.84</v>
      </c>
      <c r="M4" s="206">
        <f t="shared" ref="M4:M11" si="2">IF(L4="","",FREQUENCY(C$3:C$102,L4)-FREQUENCY(C$3:C$102,L3))</f>
        <v>1</v>
      </c>
      <c r="N4" s="245">
        <v>0</v>
      </c>
      <c r="O4" s="249">
        <f t="shared" ref="O4:O12" si="3">IF(M4="",N4,M4+N4)</f>
        <v>1</v>
      </c>
      <c r="P4" s="345">
        <f>O4/O$13</f>
        <v>4.7619047619047616E-2</v>
      </c>
      <c r="Q4" s="346">
        <f>IF(L4="","",IF(O4&gt;0,O4/O$13,M$17*L4^N$17))</f>
        <v>4.7619047619047616E-2</v>
      </c>
      <c r="W4" s="26"/>
      <c r="Y4" s="26"/>
    </row>
    <row r="5" spans="1:25" x14ac:dyDescent="0.2">
      <c r="A5" s="26"/>
      <c r="B5" s="213">
        <f t="shared" si="0"/>
        <v>3</v>
      </c>
      <c r="C5" s="358">
        <f>IF(Cy!I6="","",Cy!I6)</f>
        <v>0.14000000000000001</v>
      </c>
      <c r="D5" s="357">
        <f t="shared" si="1"/>
        <v>0.23274089563169967</v>
      </c>
      <c r="E5" s="357">
        <f>IF(Cy!F6="","",Cy!F6)</f>
        <v>8.2740895631699687E-2</v>
      </c>
      <c r="F5" s="49">
        <v>0</v>
      </c>
      <c r="G5" s="239">
        <v>100</v>
      </c>
      <c r="H5" s="382">
        <f t="shared" ref="H5:H68" si="4">IF(I5="","",H4+1)</f>
        <v>3</v>
      </c>
      <c r="I5" s="371">
        <v>30</v>
      </c>
      <c r="J5" s="240">
        <v>0.94</v>
      </c>
      <c r="K5" s="26"/>
      <c r="L5" s="252">
        <f t="shared" ref="L5:L11" si="5">IF(L4="","",IF(L4+L$3&lt;L$12,L4+L$3,""))</f>
        <v>7.26</v>
      </c>
      <c r="M5" s="206">
        <f t="shared" si="2"/>
        <v>0</v>
      </c>
      <c r="N5" s="245">
        <v>0</v>
      </c>
      <c r="O5" s="249">
        <f t="shared" si="3"/>
        <v>0</v>
      </c>
      <c r="P5" s="345"/>
      <c r="Q5" s="346">
        <f>IF(L5="","",IF(O5&gt;0,O5/O$13,M$17*((L5+L4)/2)^N$17))</f>
        <v>1.8150269279682437E-2</v>
      </c>
      <c r="W5" s="26"/>
      <c r="Y5" s="26"/>
    </row>
    <row r="6" spans="1:25" x14ac:dyDescent="0.2">
      <c r="A6" s="26"/>
      <c r="B6" s="213">
        <f t="shared" si="0"/>
        <v>4</v>
      </c>
      <c r="C6" s="358">
        <f>IF(Cy!I7="","",Cy!I7)</f>
        <v>0.15</v>
      </c>
      <c r="D6" s="357">
        <f t="shared" si="1"/>
        <v>1.1548477802926116E-2</v>
      </c>
      <c r="E6" s="357">
        <f>IF(Cy!F7="","",Cy!F7)</f>
        <v>-0.13845152219707388</v>
      </c>
      <c r="F6" s="49">
        <v>0</v>
      </c>
      <c r="G6" s="239">
        <v>100</v>
      </c>
      <c r="H6" s="382">
        <f t="shared" si="4"/>
        <v>4</v>
      </c>
      <c r="I6" s="371">
        <v>30</v>
      </c>
      <c r="J6" s="240">
        <v>1.4999999999999999E-2</v>
      </c>
      <c r="K6" s="26"/>
      <c r="L6" s="252">
        <f t="shared" si="5"/>
        <v>9.68</v>
      </c>
      <c r="M6" s="206">
        <f t="shared" si="2"/>
        <v>0</v>
      </c>
      <c r="N6" s="245">
        <v>0</v>
      </c>
      <c r="O6" s="249">
        <f t="shared" si="3"/>
        <v>0</v>
      </c>
      <c r="P6" s="345"/>
      <c r="Q6" s="346">
        <f t="shared" ref="Q6:Q11" si="6">IF(L6="","",IF(O6&gt;0,O6/O$13,M$17*((L6+L5)/2)^N$17))</f>
        <v>4.2395298992136867E-3</v>
      </c>
      <c r="W6" s="26"/>
      <c r="Y6" s="26"/>
    </row>
    <row r="7" spans="1:25" x14ac:dyDescent="0.2">
      <c r="A7" s="26"/>
      <c r="B7" s="213">
        <f t="shared" si="0"/>
        <v>5</v>
      </c>
      <c r="C7" s="358">
        <f>IF(Cy!I8="","",Cy!I8)</f>
        <v>2.09</v>
      </c>
      <c r="D7" s="357">
        <f t="shared" si="1"/>
        <v>0.34582975415341299</v>
      </c>
      <c r="E7" s="357">
        <f>IF(Cy!F8="","",Cy!F8)</f>
        <v>0.195829754153413</v>
      </c>
      <c r="F7" s="49">
        <v>0</v>
      </c>
      <c r="G7" s="239">
        <v>100</v>
      </c>
      <c r="H7" s="382">
        <f t="shared" si="4"/>
        <v>5</v>
      </c>
      <c r="I7" s="371">
        <v>30</v>
      </c>
      <c r="J7" s="240">
        <v>9.8000000000000004E-2</v>
      </c>
      <c r="K7" s="26"/>
      <c r="L7" s="252">
        <f t="shared" si="5"/>
        <v>12.1</v>
      </c>
      <c r="M7" s="206">
        <f t="shared" si="2"/>
        <v>0</v>
      </c>
      <c r="N7" s="245">
        <v>0</v>
      </c>
      <c r="O7" s="249">
        <f t="shared" si="3"/>
        <v>0</v>
      </c>
      <c r="P7" s="345"/>
      <c r="Q7" s="346">
        <f t="shared" si="6"/>
        <v>1.430853946236506E-3</v>
      </c>
      <c r="W7" s="26"/>
      <c r="Y7" s="26"/>
    </row>
    <row r="8" spans="1:25" x14ac:dyDescent="0.2">
      <c r="A8" s="26"/>
      <c r="B8" s="213">
        <f t="shared" si="0"/>
        <v>6</v>
      </c>
      <c r="C8" s="358">
        <f>IF(Cy!I9="","",Cy!I9)</f>
        <v>2.25</v>
      </c>
      <c r="D8" s="357">
        <f t="shared" si="1"/>
        <v>0.31585393812603124</v>
      </c>
      <c r="E8" s="357">
        <f>IF(Cy!F9="","",Cy!F9)</f>
        <v>0.16585393812603128</v>
      </c>
      <c r="F8" s="49">
        <v>0</v>
      </c>
      <c r="G8" s="239">
        <v>100</v>
      </c>
      <c r="H8" s="382">
        <f t="shared" si="4"/>
        <v>6</v>
      </c>
      <c r="I8" s="371">
        <v>30</v>
      </c>
      <c r="J8" s="240">
        <v>0.17199999999999999</v>
      </c>
      <c r="K8" s="26"/>
      <c r="L8" s="252">
        <f t="shared" si="5"/>
        <v>14.52</v>
      </c>
      <c r="M8" s="206">
        <f t="shared" si="2"/>
        <v>0</v>
      </c>
      <c r="N8" s="245">
        <v>0</v>
      </c>
      <c r="O8" s="249">
        <f t="shared" si="3"/>
        <v>0</v>
      </c>
      <c r="P8" s="345"/>
      <c r="Q8" s="346">
        <f t="shared" si="6"/>
        <v>6.0107995628776764E-4</v>
      </c>
      <c r="W8" s="26"/>
      <c r="Y8" s="26"/>
    </row>
    <row r="9" spans="1:25" x14ac:dyDescent="0.2">
      <c r="A9" s="26"/>
      <c r="B9" s="213">
        <f t="shared" si="0"/>
        <v>7</v>
      </c>
      <c r="C9" s="358">
        <f>IF(Cy!I10="","",Cy!I10)</f>
        <v>0.08</v>
      </c>
      <c r="D9" s="357">
        <f t="shared" si="1"/>
        <v>0.24838989321671565</v>
      </c>
      <c r="E9" s="357">
        <f>IF(Cy!F10="","",Cy!F10)</f>
        <v>9.8389893216715651E-2</v>
      </c>
      <c r="F9" s="49">
        <v>51.02</v>
      </c>
      <c r="G9" s="239">
        <v>2.1999999999999999E-2</v>
      </c>
      <c r="H9" s="382">
        <f t="shared" si="4"/>
        <v>7</v>
      </c>
      <c r="I9" s="371">
        <v>30</v>
      </c>
      <c r="J9" s="240">
        <v>8.7999999999999995E-2</v>
      </c>
      <c r="K9" s="26"/>
      <c r="L9" s="252">
        <f t="shared" si="5"/>
        <v>16.939999999999998</v>
      </c>
      <c r="M9" s="206">
        <f t="shared" si="2"/>
        <v>0</v>
      </c>
      <c r="N9" s="245">
        <v>0</v>
      </c>
      <c r="O9" s="249">
        <f t="shared" si="3"/>
        <v>0</v>
      </c>
      <c r="P9" s="345"/>
      <c r="Q9" s="346">
        <f t="shared" si="6"/>
        <v>2.9199019137439311E-4</v>
      </c>
      <c r="W9" s="26"/>
      <c r="Y9" s="26"/>
    </row>
    <row r="10" spans="1:25" x14ac:dyDescent="0.2">
      <c r="A10" s="26"/>
      <c r="B10" s="213">
        <f t="shared" si="0"/>
        <v>8</v>
      </c>
      <c r="C10" s="358">
        <f>IF(Cy!I11="","",Cy!I11)</f>
        <v>0.05</v>
      </c>
      <c r="D10" s="357">
        <f t="shared" si="1"/>
        <v>0.17816113222193314</v>
      </c>
      <c r="E10" s="357">
        <f>IF(Cy!F11="","",Cy!F11)</f>
        <v>2.8161132221933134E-2</v>
      </c>
      <c r="F10" s="49">
        <v>70.569999999999993</v>
      </c>
      <c r="G10" s="239">
        <v>4.0000000000000001E-3</v>
      </c>
      <c r="H10" s="382">
        <f t="shared" si="4"/>
        <v>8</v>
      </c>
      <c r="I10" s="371">
        <v>30</v>
      </c>
      <c r="J10" s="240">
        <v>4.9000000000000002E-2</v>
      </c>
      <c r="K10" s="26"/>
      <c r="L10" s="252">
        <f t="shared" si="5"/>
        <v>19.36</v>
      </c>
      <c r="M10" s="206">
        <f t="shared" si="2"/>
        <v>0</v>
      </c>
      <c r="N10" s="245">
        <v>0</v>
      </c>
      <c r="O10" s="249">
        <f t="shared" si="3"/>
        <v>0</v>
      </c>
      <c r="P10" s="345"/>
      <c r="Q10" s="346">
        <f t="shared" si="6"/>
        <v>1.5731314363124835E-4</v>
      </c>
      <c r="W10" s="26"/>
      <c r="Y10" s="26"/>
    </row>
    <row r="11" spans="1:25" x14ac:dyDescent="0.2">
      <c r="A11" s="26"/>
      <c r="B11" s="213">
        <f t="shared" si="0"/>
        <v>9</v>
      </c>
      <c r="C11" s="358">
        <f>IF(Cy!I12="","",Cy!I12)</f>
        <v>0.12</v>
      </c>
      <c r="D11" s="357">
        <f t="shared" si="1"/>
        <v>0.22886506494184342</v>
      </c>
      <c r="E11" s="357">
        <f>IF(Cy!F12="","",Cy!F12)</f>
        <v>7.8865064941843435E-2</v>
      </c>
      <c r="F11" s="49">
        <v>83.17</v>
      </c>
      <c r="G11" s="239">
        <v>1E-3</v>
      </c>
      <c r="H11" s="382">
        <f t="shared" si="4"/>
        <v>9</v>
      </c>
      <c r="I11" s="371">
        <v>30</v>
      </c>
      <c r="J11" s="240">
        <v>0.03</v>
      </c>
      <c r="K11" s="26"/>
      <c r="L11" s="252">
        <f t="shared" si="5"/>
        <v>21.78</v>
      </c>
      <c r="M11" s="206">
        <f t="shared" si="2"/>
        <v>0</v>
      </c>
      <c r="N11" s="245">
        <v>0</v>
      </c>
      <c r="O11" s="249">
        <f t="shared" si="3"/>
        <v>0</v>
      </c>
      <c r="P11" s="345"/>
      <c r="Q11" s="346">
        <f t="shared" si="6"/>
        <v>9.1586443175389954E-5</v>
      </c>
      <c r="W11" s="26"/>
      <c r="Y11" s="26"/>
    </row>
    <row r="12" spans="1:25" ht="13.5" thickBot="1" x14ac:dyDescent="0.25">
      <c r="A12" s="26"/>
      <c r="B12" s="213">
        <f t="shared" si="0"/>
        <v>10</v>
      </c>
      <c r="C12" s="358">
        <f>IF(Cy!I13="","",Cy!I13)</f>
        <v>0.06</v>
      </c>
      <c r="D12" s="357">
        <f t="shared" si="1"/>
        <v>0.2132947914337591</v>
      </c>
      <c r="E12" s="357">
        <f>IF(Cy!F13="","",Cy!F13)</f>
        <v>6.3294791433759115E-2</v>
      </c>
      <c r="F12" s="49">
        <v>89.36</v>
      </c>
      <c r="G12" s="239">
        <v>1E-3</v>
      </c>
      <c r="H12" s="382">
        <f t="shared" si="4"/>
        <v>10</v>
      </c>
      <c r="I12" s="371">
        <v>30</v>
      </c>
      <c r="J12" s="240">
        <v>1.9E-2</v>
      </c>
      <c r="K12" s="26"/>
      <c r="L12" s="384">
        <f>$M$19</f>
        <v>30</v>
      </c>
      <c r="M12" s="207">
        <f>IF(L12="","",IF(L11="",FREQUENCY(C$3:C$102,L12)-FREQUENCY(C$3:C$102,L12-0.01),FREQUENCY(C$3:C$102,L12)-FREQUENCY(C$3:C$102,L11)))</f>
        <v>0</v>
      </c>
      <c r="N12" s="246">
        <v>0</v>
      </c>
      <c r="O12" s="250">
        <f t="shared" si="3"/>
        <v>0</v>
      </c>
      <c r="P12" s="347"/>
      <c r="Q12" s="373">
        <f>IF(L12="","",IF(O12&gt;0,O12/O$13,M$17*L12^N$17))</f>
        <v>1.792717009005507E-5</v>
      </c>
      <c r="W12" s="26"/>
      <c r="Y12" s="26"/>
    </row>
    <row r="13" spans="1:25" ht="13.5" thickBot="1" x14ac:dyDescent="0.25">
      <c r="B13" s="213">
        <f t="shared" si="0"/>
        <v>11</v>
      </c>
      <c r="C13" s="358">
        <f>IF(Cy!I14="","",Cy!I14)</f>
        <v>0.15</v>
      </c>
      <c r="D13" s="357">
        <f t="shared" si="1"/>
        <v>8.9088014215203015E-2</v>
      </c>
      <c r="E13" s="357">
        <f>IF(Cy!F14="","",Cy!F14)</f>
        <v>-6.0911985784796979E-2</v>
      </c>
      <c r="F13" s="49">
        <v>91.13</v>
      </c>
      <c r="G13" s="239">
        <v>0</v>
      </c>
      <c r="H13" s="382">
        <f t="shared" si="4"/>
        <v>11</v>
      </c>
      <c r="I13" s="371">
        <v>30</v>
      </c>
      <c r="J13" s="240">
        <v>1.2999999999999999E-2</v>
      </c>
      <c r="L13" s="200" t="s">
        <v>48</v>
      </c>
      <c r="M13" s="208">
        <f>SUM(M3:M12)</f>
        <v>21</v>
      </c>
      <c r="N13" s="243">
        <f>SUM(N3:N12)</f>
        <v>0</v>
      </c>
      <c r="O13" s="251">
        <f>SUM(O3:O12)</f>
        <v>21</v>
      </c>
      <c r="P13" s="343">
        <f>SUM(P3:P12)</f>
        <v>1</v>
      </c>
      <c r="Q13" s="374">
        <f>SUM(Q3:Q12)</f>
        <v>1.0249805500296914</v>
      </c>
    </row>
    <row r="14" spans="1:25" ht="13.5" thickBot="1" x14ac:dyDescent="0.25">
      <c r="B14" s="213">
        <f t="shared" si="0"/>
        <v>12</v>
      </c>
      <c r="C14" s="358">
        <f>IF(Cy!I15="","",Cy!I15)</f>
        <v>0.05</v>
      </c>
      <c r="D14" s="357">
        <f t="shared" si="1"/>
        <v>0.18486241068760859</v>
      </c>
      <c r="E14" s="357">
        <f>IF(Cy!F15="","",Cy!F15)</f>
        <v>3.4862410687608585E-2</v>
      </c>
      <c r="F14" s="49">
        <v>93.67</v>
      </c>
      <c r="G14" s="239">
        <v>0</v>
      </c>
      <c r="H14" s="382">
        <f t="shared" si="4"/>
        <v>12</v>
      </c>
      <c r="I14" s="371">
        <v>30</v>
      </c>
      <c r="J14" s="240">
        <v>8.9999999999999993E-3</v>
      </c>
      <c r="L14" s="201"/>
      <c r="M14" s="201"/>
      <c r="N14" s="201"/>
    </row>
    <row r="15" spans="1:25" ht="13.5" thickBot="1" x14ac:dyDescent="0.25">
      <c r="B15" s="213">
        <f t="shared" si="0"/>
        <v>13</v>
      </c>
      <c r="C15" s="358">
        <f>IF(Cy!I16="","",Cy!I16)</f>
        <v>0.53</v>
      </c>
      <c r="D15" s="357">
        <f t="shared" si="1"/>
        <v>0.24049050540688383</v>
      </c>
      <c r="E15" s="357">
        <f>IF(Cy!F16="","",Cy!F16)</f>
        <v>9.0490505406883831E-2</v>
      </c>
      <c r="F15" s="49">
        <v>95.8</v>
      </c>
      <c r="G15" s="239">
        <v>0</v>
      </c>
      <c r="H15" s="382">
        <f t="shared" si="4"/>
        <v>13</v>
      </c>
      <c r="I15" s="371">
        <v>30</v>
      </c>
      <c r="J15" s="240">
        <v>7.0000000000000001E-3</v>
      </c>
      <c r="L15" s="447" t="s">
        <v>165</v>
      </c>
      <c r="M15" s="478"/>
      <c r="N15" s="479"/>
    </row>
    <row r="16" spans="1:25" ht="13.5" thickBot="1" x14ac:dyDescent="0.25">
      <c r="B16" s="213">
        <f t="shared" si="0"/>
        <v>14</v>
      </c>
      <c r="C16" s="358">
        <f>IF(Cy!I17="","",Cy!I17)</f>
        <v>0.19</v>
      </c>
      <c r="D16" s="357">
        <f t="shared" si="1"/>
        <v>0.10047332493280881</v>
      </c>
      <c r="E16" s="357">
        <f>IF(Cy!F17="","",Cy!F17)</f>
        <v>-4.9526675067191196E-2</v>
      </c>
      <c r="F16" s="49">
        <v>96.35</v>
      </c>
      <c r="G16" s="239">
        <v>0</v>
      </c>
      <c r="H16" s="382">
        <f t="shared" si="4"/>
        <v>14</v>
      </c>
      <c r="I16" s="371">
        <v>30</v>
      </c>
      <c r="J16" s="240">
        <v>5.0000000000000001E-3</v>
      </c>
      <c r="L16" s="480" t="s">
        <v>163</v>
      </c>
      <c r="M16" s="203" t="s">
        <v>161</v>
      </c>
      <c r="N16" s="202" t="s">
        <v>162</v>
      </c>
    </row>
    <row r="17" spans="2:14" ht="13.5" thickBot="1" x14ac:dyDescent="0.25">
      <c r="B17" s="213">
        <f t="shared" si="0"/>
        <v>15</v>
      </c>
      <c r="C17" s="358">
        <f>IF(Cy!I18="","",Cy!I18)</f>
        <v>0.42</v>
      </c>
      <c r="D17" s="357">
        <f t="shared" si="1"/>
        <v>0.29757253096800679</v>
      </c>
      <c r="E17" s="357">
        <f>IF(Cy!F18="","",Cy!F18)</f>
        <v>0.14757253096800679</v>
      </c>
      <c r="F17" s="49">
        <v>97.76</v>
      </c>
      <c r="G17" s="239">
        <v>0</v>
      </c>
      <c r="H17" s="382">
        <f t="shared" si="4"/>
        <v>15</v>
      </c>
      <c r="I17" s="371">
        <v>30</v>
      </c>
      <c r="J17" s="240">
        <v>4.0000000000000001E-3</v>
      </c>
      <c r="L17" s="481"/>
      <c r="M17" s="218">
        <v>43.414000000000001</v>
      </c>
      <c r="N17" s="219">
        <v>-4.3220000000000001</v>
      </c>
    </row>
    <row r="18" spans="2:14" x14ac:dyDescent="0.2">
      <c r="B18" s="213">
        <f t="shared" si="0"/>
        <v>16</v>
      </c>
      <c r="C18" s="358">
        <f>IF(Cy!I19="","",Cy!I19)</f>
        <v>0.04</v>
      </c>
      <c r="D18" s="357">
        <f t="shared" si="1"/>
        <v>0.23303341547714776</v>
      </c>
      <c r="E18" s="357">
        <f>IF(Cy!F19="","",Cy!F19)</f>
        <v>8.3033415477147765E-2</v>
      </c>
      <c r="F18" s="49">
        <v>98.35</v>
      </c>
      <c r="G18" s="239">
        <v>0</v>
      </c>
      <c r="H18" s="382">
        <f t="shared" si="4"/>
        <v>16</v>
      </c>
      <c r="I18" s="371">
        <v>30</v>
      </c>
      <c r="J18" s="240">
        <v>3.0000000000000001E-3</v>
      </c>
      <c r="L18" s="216" t="s">
        <v>210</v>
      </c>
      <c r="M18" s="217">
        <f>Risk!$C$28</f>
        <v>99.600690937674713</v>
      </c>
      <c r="N18" s="236">
        <f>IF(M18=0,100,100*M17*M18^N17/Q13)</f>
        <v>9.7819242604929205E-6</v>
      </c>
    </row>
    <row r="19" spans="2:14" ht="13.5" thickBot="1" x14ac:dyDescent="0.25">
      <c r="B19" s="213">
        <f t="shared" si="0"/>
        <v>17</v>
      </c>
      <c r="C19" s="358">
        <f>IF(Cy!I20="","",Cy!I20)</f>
        <v>0.78</v>
      </c>
      <c r="D19" s="357">
        <f t="shared" si="1"/>
        <v>0.41983695627747741</v>
      </c>
      <c r="E19" s="357">
        <f>IF(Cy!F20="","",Cy!F20)</f>
        <v>0.26983695627747745</v>
      </c>
      <c r="F19" s="49">
        <v>98.97</v>
      </c>
      <c r="G19" s="239">
        <v>0</v>
      </c>
      <c r="H19" s="382">
        <f t="shared" si="4"/>
        <v>17</v>
      </c>
      <c r="I19" s="371">
        <v>30</v>
      </c>
      <c r="J19" s="240">
        <v>2E-3</v>
      </c>
      <c r="L19" s="204" t="s">
        <v>203</v>
      </c>
      <c r="M19" s="384">
        <f>IF(I3="","",VLOOKUP(MAX(H3:H102),H3:I102,2,FALSE))</f>
        <v>30</v>
      </c>
      <c r="N19" s="237">
        <f>100*M17*M19^N17/Q13</f>
        <v>1.7490253926804528E-3</v>
      </c>
    </row>
    <row r="20" spans="2:14" x14ac:dyDescent="0.2">
      <c r="B20" s="213">
        <f t="shared" si="0"/>
        <v>18</v>
      </c>
      <c r="C20" s="358">
        <f>IF(Cy!I21="","",Cy!I21)</f>
        <v>0.18</v>
      </c>
      <c r="D20" s="357">
        <f t="shared" si="1"/>
        <v>0.47235923452532147</v>
      </c>
      <c r="E20" s="357">
        <f>IF(Cy!F21="","",Cy!F21)</f>
        <v>0.32235923452532145</v>
      </c>
      <c r="F20" s="49">
        <v>99.33</v>
      </c>
      <c r="G20" s="239">
        <v>0</v>
      </c>
      <c r="H20" s="382">
        <f t="shared" si="4"/>
        <v>18</v>
      </c>
      <c r="I20" s="371">
        <v>30</v>
      </c>
      <c r="J20" s="240">
        <v>2E-3</v>
      </c>
      <c r="N20" s="26"/>
    </row>
    <row r="21" spans="2:14" x14ac:dyDescent="0.2">
      <c r="B21" s="213">
        <f t="shared" si="0"/>
        <v>19</v>
      </c>
      <c r="C21" s="358">
        <f>IF(Cy!I22="","",Cy!I22)</f>
        <v>2.42</v>
      </c>
      <c r="D21" s="357">
        <f t="shared" si="1"/>
        <v>0.57086576824383295</v>
      </c>
      <c r="E21" s="357">
        <f>IF(Cy!F22="","",Cy!F22)</f>
        <v>0.42086576824383298</v>
      </c>
      <c r="F21" s="49">
        <v>99.41</v>
      </c>
      <c r="G21" s="239">
        <v>0</v>
      </c>
      <c r="H21" s="382">
        <f t="shared" si="4"/>
        <v>19</v>
      </c>
      <c r="I21" s="371">
        <v>30</v>
      </c>
      <c r="J21" s="240">
        <v>2E-3</v>
      </c>
      <c r="N21" s="26"/>
    </row>
    <row r="22" spans="2:14" x14ac:dyDescent="0.2">
      <c r="B22" s="213">
        <f t="shared" si="0"/>
        <v>20</v>
      </c>
      <c r="C22" s="358">
        <f>IF(Cy!I23="","",Cy!I23)</f>
        <v>2.5099999999999998</v>
      </c>
      <c r="D22" s="357">
        <f t="shared" si="1"/>
        <v>0.73300546196866656</v>
      </c>
      <c r="E22" s="357">
        <f>IF(Cy!F23="","",Cy!F23)</f>
        <v>0.58300546196866665</v>
      </c>
      <c r="F22" s="49">
        <v>99.47</v>
      </c>
      <c r="G22" s="239">
        <v>0</v>
      </c>
      <c r="H22" s="382">
        <f t="shared" si="4"/>
        <v>20</v>
      </c>
      <c r="I22" s="371">
        <v>30</v>
      </c>
      <c r="J22" s="240">
        <v>2E-3</v>
      </c>
    </row>
    <row r="23" spans="2:14" ht="12.75" customHeight="1" x14ac:dyDescent="0.2">
      <c r="B23" s="213">
        <f t="shared" si="0"/>
        <v>21</v>
      </c>
      <c r="C23" s="358">
        <f>IF(Cy!I24="","",Cy!I24)</f>
        <v>0.34</v>
      </c>
      <c r="D23" s="357">
        <f t="shared" si="1"/>
        <v>0.53641747300548059</v>
      </c>
      <c r="E23" s="357">
        <f>IF(Cy!F24="","",Cy!F24)</f>
        <v>0.38641747300548063</v>
      </c>
      <c r="F23" s="49">
        <v>99.6</v>
      </c>
      <c r="G23" s="239">
        <v>0</v>
      </c>
      <c r="H23" s="382"/>
      <c r="I23" s="371">
        <v>30</v>
      </c>
      <c r="J23" s="240">
        <v>2E-3</v>
      </c>
    </row>
    <row r="24" spans="2:14" x14ac:dyDescent="0.2">
      <c r="B24" s="213">
        <f t="shared" si="0"/>
        <v>22</v>
      </c>
      <c r="C24" s="358" t="str">
        <f>IF(Cy!I25="","",Cy!I25)</f>
        <v/>
      </c>
      <c r="D24" s="357" t="str">
        <f t="shared" si="1"/>
        <v/>
      </c>
      <c r="E24" s="357" t="str">
        <f>IF(Cy!F25="","",Cy!F25)</f>
        <v/>
      </c>
      <c r="F24" s="49"/>
      <c r="G24" s="239"/>
      <c r="H24" s="382" t="str">
        <f t="shared" si="4"/>
        <v/>
      </c>
      <c r="I24" s="371"/>
      <c r="J24" s="240"/>
    </row>
    <row r="25" spans="2:14" x14ac:dyDescent="0.2">
      <c r="B25" s="213">
        <f t="shared" si="0"/>
        <v>23</v>
      </c>
      <c r="C25" s="358" t="str">
        <f>IF(Cy!I26="","",Cy!I26)</f>
        <v/>
      </c>
      <c r="D25" s="357" t="str">
        <f t="shared" si="1"/>
        <v/>
      </c>
      <c r="E25" s="357" t="str">
        <f>IF(Cy!F26="","",Cy!F26)</f>
        <v/>
      </c>
      <c r="F25" s="49"/>
      <c r="G25" s="239"/>
      <c r="H25" s="382" t="str">
        <f t="shared" si="4"/>
        <v/>
      </c>
      <c r="I25" s="371"/>
      <c r="J25" s="240"/>
      <c r="L25" s="26"/>
    </row>
    <row r="26" spans="2:14" x14ac:dyDescent="0.2">
      <c r="B26" s="213">
        <f t="shared" si="0"/>
        <v>24</v>
      </c>
      <c r="C26" s="358" t="str">
        <f>IF(Cy!I27="","",Cy!I27)</f>
        <v/>
      </c>
      <c r="D26" s="357" t="str">
        <f t="shared" si="1"/>
        <v/>
      </c>
      <c r="E26" s="357" t="str">
        <f>IF(Cy!F27="","",Cy!F27)</f>
        <v/>
      </c>
      <c r="F26" s="49"/>
      <c r="G26" s="239"/>
      <c r="H26" s="382" t="str">
        <f t="shared" si="4"/>
        <v/>
      </c>
      <c r="I26" s="371"/>
      <c r="J26" s="240"/>
      <c r="L26" s="26"/>
    </row>
    <row r="27" spans="2:14" x14ac:dyDescent="0.2">
      <c r="B27" s="213">
        <f t="shared" si="0"/>
        <v>25</v>
      </c>
      <c r="C27" s="358" t="str">
        <f>IF(Cy!I28="","",Cy!I28)</f>
        <v/>
      </c>
      <c r="D27" s="357" t="str">
        <f t="shared" si="1"/>
        <v/>
      </c>
      <c r="E27" s="357" t="str">
        <f>IF(Cy!F28="","",Cy!F28)</f>
        <v/>
      </c>
      <c r="F27" s="49"/>
      <c r="G27" s="239"/>
      <c r="H27" s="382" t="str">
        <f t="shared" si="4"/>
        <v/>
      </c>
      <c r="I27" s="371"/>
      <c r="J27" s="240"/>
    </row>
    <row r="28" spans="2:14" x14ac:dyDescent="0.2">
      <c r="B28" s="213">
        <f t="shared" si="0"/>
        <v>26</v>
      </c>
      <c r="C28" s="358" t="str">
        <f>IF(Cy!I29="","",Cy!I29)</f>
        <v/>
      </c>
      <c r="D28" s="357" t="str">
        <f t="shared" si="1"/>
        <v/>
      </c>
      <c r="E28" s="357" t="str">
        <f>IF(Cy!F29="","",Cy!F29)</f>
        <v/>
      </c>
      <c r="F28" s="49"/>
      <c r="G28" s="239"/>
      <c r="H28" s="382" t="str">
        <f t="shared" si="4"/>
        <v/>
      </c>
      <c r="I28" s="371"/>
      <c r="J28" s="240"/>
    </row>
    <row r="29" spans="2:14" x14ac:dyDescent="0.2">
      <c r="B29" s="213">
        <f t="shared" si="0"/>
        <v>27</v>
      </c>
      <c r="C29" s="358" t="str">
        <f>IF(Cy!I30="","",Cy!I30)</f>
        <v/>
      </c>
      <c r="D29" s="357" t="str">
        <f t="shared" si="1"/>
        <v/>
      </c>
      <c r="E29" s="357" t="str">
        <f>IF(Cy!F30="","",Cy!F30)</f>
        <v/>
      </c>
      <c r="F29" s="49"/>
      <c r="G29" s="239"/>
      <c r="H29" s="382" t="str">
        <f t="shared" si="4"/>
        <v/>
      </c>
      <c r="I29" s="371"/>
      <c r="J29" s="240"/>
    </row>
    <row r="30" spans="2:14" x14ac:dyDescent="0.2">
      <c r="B30" s="213">
        <f t="shared" si="0"/>
        <v>28</v>
      </c>
      <c r="C30" s="358" t="str">
        <f>IF(Cy!I31="","",Cy!I31)</f>
        <v/>
      </c>
      <c r="D30" s="357" t="str">
        <f t="shared" si="1"/>
        <v/>
      </c>
      <c r="E30" s="357" t="str">
        <f>IF(Cy!F31="","",Cy!F31)</f>
        <v/>
      </c>
      <c r="F30" s="49"/>
      <c r="G30" s="239"/>
      <c r="H30" s="382" t="str">
        <f t="shared" si="4"/>
        <v/>
      </c>
      <c r="I30" s="371"/>
      <c r="J30" s="240"/>
    </row>
    <row r="31" spans="2:14" x14ac:dyDescent="0.2">
      <c r="B31" s="213">
        <f t="shared" si="0"/>
        <v>29</v>
      </c>
      <c r="C31" s="358" t="str">
        <f>IF(Cy!I32="","",Cy!I32)</f>
        <v/>
      </c>
      <c r="D31" s="357" t="str">
        <f t="shared" si="1"/>
        <v/>
      </c>
      <c r="E31" s="357" t="str">
        <f>IF(Cy!F32="","",Cy!F32)</f>
        <v/>
      </c>
      <c r="F31" s="49"/>
      <c r="G31" s="239"/>
      <c r="H31" s="382" t="str">
        <f t="shared" si="4"/>
        <v/>
      </c>
      <c r="I31" s="371"/>
      <c r="J31" s="240"/>
    </row>
    <row r="32" spans="2:14" x14ac:dyDescent="0.2">
      <c r="B32" s="213">
        <f t="shared" si="0"/>
        <v>30</v>
      </c>
      <c r="C32" s="358" t="str">
        <f>IF(Cy!I33="","",Cy!I33)</f>
        <v/>
      </c>
      <c r="D32" s="357" t="str">
        <f t="shared" si="1"/>
        <v/>
      </c>
      <c r="E32" s="357" t="str">
        <f>IF(Cy!F33="","",Cy!F33)</f>
        <v/>
      </c>
      <c r="F32" s="49"/>
      <c r="G32" s="239"/>
      <c r="H32" s="382" t="str">
        <f t="shared" si="4"/>
        <v/>
      </c>
      <c r="I32" s="371"/>
      <c r="J32" s="240"/>
    </row>
    <row r="33" spans="2:10" x14ac:dyDescent="0.2">
      <c r="B33" s="213">
        <f t="shared" si="0"/>
        <v>31</v>
      </c>
      <c r="C33" s="358" t="str">
        <f>IF(Cy!I34="","",Cy!I34)</f>
        <v/>
      </c>
      <c r="D33" s="357" t="str">
        <f t="shared" si="1"/>
        <v/>
      </c>
      <c r="E33" s="357" t="str">
        <f>IF(Cy!F34="","",Cy!F34)</f>
        <v/>
      </c>
      <c r="F33" s="49"/>
      <c r="G33" s="239"/>
      <c r="H33" s="382" t="str">
        <f t="shared" si="4"/>
        <v/>
      </c>
      <c r="I33" s="371"/>
      <c r="J33" s="240"/>
    </row>
    <row r="34" spans="2:10" x14ac:dyDescent="0.2">
      <c r="B34" s="213">
        <f t="shared" si="0"/>
        <v>32</v>
      </c>
      <c r="C34" s="358" t="str">
        <f>IF(Cy!I35="","",Cy!I35)</f>
        <v/>
      </c>
      <c r="D34" s="357" t="str">
        <f t="shared" si="1"/>
        <v/>
      </c>
      <c r="E34" s="357" t="str">
        <f>IF(Cy!F35="","",Cy!F35)</f>
        <v/>
      </c>
      <c r="F34" s="49"/>
      <c r="G34" s="239"/>
      <c r="H34" s="382" t="str">
        <f t="shared" si="4"/>
        <v/>
      </c>
      <c r="I34" s="371"/>
      <c r="J34" s="240"/>
    </row>
    <row r="35" spans="2:10" x14ac:dyDescent="0.2">
      <c r="B35" s="213">
        <f t="shared" si="0"/>
        <v>33</v>
      </c>
      <c r="C35" s="358" t="str">
        <f>IF(Cy!I36="","",Cy!I36)</f>
        <v/>
      </c>
      <c r="D35" s="357" t="str">
        <f t="shared" si="1"/>
        <v/>
      </c>
      <c r="E35" s="357" t="str">
        <f>IF(Cy!F36="","",Cy!F36)</f>
        <v/>
      </c>
      <c r="F35" s="49"/>
      <c r="G35" s="239"/>
      <c r="H35" s="382" t="str">
        <f t="shared" si="4"/>
        <v/>
      </c>
      <c r="I35" s="371"/>
      <c r="J35" s="240"/>
    </row>
    <row r="36" spans="2:10" x14ac:dyDescent="0.2">
      <c r="B36" s="213">
        <f t="shared" si="0"/>
        <v>34</v>
      </c>
      <c r="C36" s="358" t="str">
        <f>IF(Cy!I37="","",Cy!I37)</f>
        <v/>
      </c>
      <c r="D36" s="357" t="str">
        <f t="shared" ref="D36:D67" si="7">IF(E36="","",E36+D$3-E$3)</f>
        <v/>
      </c>
      <c r="E36" s="357" t="str">
        <f>IF(Cy!F37="","",Cy!F37)</f>
        <v/>
      </c>
      <c r="F36" s="49"/>
      <c r="G36" s="239"/>
      <c r="H36" s="382" t="str">
        <f t="shared" si="4"/>
        <v/>
      </c>
      <c r="I36" s="371"/>
      <c r="J36" s="240"/>
    </row>
    <row r="37" spans="2:10" x14ac:dyDescent="0.2">
      <c r="B37" s="213">
        <f t="shared" si="0"/>
        <v>35</v>
      </c>
      <c r="C37" s="358" t="str">
        <f>IF(Cy!I38="","",Cy!I38)</f>
        <v/>
      </c>
      <c r="D37" s="357" t="str">
        <f t="shared" si="7"/>
        <v/>
      </c>
      <c r="E37" s="357" t="str">
        <f>IF(Cy!F38="","",Cy!F38)</f>
        <v/>
      </c>
      <c r="F37" s="49"/>
      <c r="G37" s="239"/>
      <c r="H37" s="382" t="str">
        <f t="shared" si="4"/>
        <v/>
      </c>
      <c r="I37" s="371"/>
      <c r="J37" s="240"/>
    </row>
    <row r="38" spans="2:10" x14ac:dyDescent="0.2">
      <c r="B38" s="213">
        <f t="shared" si="0"/>
        <v>36</v>
      </c>
      <c r="C38" s="358" t="str">
        <f>IF(Cy!I39="","",Cy!I39)</f>
        <v/>
      </c>
      <c r="D38" s="357" t="str">
        <f t="shared" si="7"/>
        <v/>
      </c>
      <c r="E38" s="357" t="str">
        <f>IF(Cy!F39="","",Cy!F39)</f>
        <v/>
      </c>
      <c r="F38" s="49"/>
      <c r="G38" s="239"/>
      <c r="H38" s="382" t="str">
        <f t="shared" si="4"/>
        <v/>
      </c>
      <c r="I38" s="371"/>
      <c r="J38" s="240"/>
    </row>
    <row r="39" spans="2:10" x14ac:dyDescent="0.2">
      <c r="B39" s="213">
        <f t="shared" si="0"/>
        <v>37</v>
      </c>
      <c r="C39" s="358" t="str">
        <f>IF(Cy!I40="","",Cy!I40)</f>
        <v/>
      </c>
      <c r="D39" s="357" t="str">
        <f t="shared" si="7"/>
        <v/>
      </c>
      <c r="E39" s="357" t="str">
        <f>IF(Cy!F40="","",Cy!F40)</f>
        <v/>
      </c>
      <c r="F39" s="49"/>
      <c r="G39" s="239"/>
      <c r="H39" s="382" t="str">
        <f t="shared" si="4"/>
        <v/>
      </c>
      <c r="I39" s="371"/>
      <c r="J39" s="240"/>
    </row>
    <row r="40" spans="2:10" x14ac:dyDescent="0.2">
      <c r="B40" s="213">
        <f t="shared" si="0"/>
        <v>38</v>
      </c>
      <c r="C40" s="358" t="str">
        <f>IF(Cy!I41="","",Cy!I41)</f>
        <v/>
      </c>
      <c r="D40" s="357" t="str">
        <f t="shared" si="7"/>
        <v/>
      </c>
      <c r="E40" s="357" t="str">
        <f>IF(Cy!F41="","",Cy!F41)</f>
        <v/>
      </c>
      <c r="F40" s="49"/>
      <c r="G40" s="239"/>
      <c r="H40" s="382" t="str">
        <f t="shared" si="4"/>
        <v/>
      </c>
      <c r="I40" s="371"/>
      <c r="J40" s="240"/>
    </row>
    <row r="41" spans="2:10" x14ac:dyDescent="0.2">
      <c r="B41" s="213">
        <f t="shared" si="0"/>
        <v>39</v>
      </c>
      <c r="C41" s="358" t="str">
        <f>IF(Cy!I42="","",Cy!I42)</f>
        <v/>
      </c>
      <c r="D41" s="357" t="str">
        <f t="shared" si="7"/>
        <v/>
      </c>
      <c r="E41" s="357" t="str">
        <f>IF(Cy!F42="","",Cy!F42)</f>
        <v/>
      </c>
      <c r="F41" s="49"/>
      <c r="G41" s="239"/>
      <c r="H41" s="382" t="str">
        <f t="shared" si="4"/>
        <v/>
      </c>
      <c r="I41" s="371"/>
      <c r="J41" s="240"/>
    </row>
    <row r="42" spans="2:10" x14ac:dyDescent="0.2">
      <c r="B42" s="213">
        <f t="shared" si="0"/>
        <v>40</v>
      </c>
      <c r="C42" s="358" t="str">
        <f>IF(Cy!I43="","",Cy!I43)</f>
        <v/>
      </c>
      <c r="D42" s="357" t="str">
        <f t="shared" si="7"/>
        <v/>
      </c>
      <c r="E42" s="357" t="str">
        <f>IF(Cy!F43="","",Cy!F43)</f>
        <v/>
      </c>
      <c r="F42" s="49"/>
      <c r="G42" s="239"/>
      <c r="H42" s="382" t="str">
        <f t="shared" si="4"/>
        <v/>
      </c>
      <c r="I42" s="371"/>
      <c r="J42" s="240"/>
    </row>
    <row r="43" spans="2:10" x14ac:dyDescent="0.2">
      <c r="B43" s="213">
        <f t="shared" si="0"/>
        <v>41</v>
      </c>
      <c r="C43" s="358" t="str">
        <f>IF(Cy!I44="","",Cy!I44)</f>
        <v/>
      </c>
      <c r="D43" s="357" t="str">
        <f t="shared" si="7"/>
        <v/>
      </c>
      <c r="E43" s="357" t="str">
        <f>IF(Cy!F44="","",Cy!F44)</f>
        <v/>
      </c>
      <c r="F43" s="49"/>
      <c r="G43" s="239"/>
      <c r="H43" s="382" t="str">
        <f t="shared" si="4"/>
        <v/>
      </c>
      <c r="I43" s="371"/>
      <c r="J43" s="240"/>
    </row>
    <row r="44" spans="2:10" x14ac:dyDescent="0.2">
      <c r="B44" s="213">
        <f t="shared" si="0"/>
        <v>42</v>
      </c>
      <c r="C44" s="358" t="str">
        <f>IF(Cy!I45="","",Cy!I45)</f>
        <v/>
      </c>
      <c r="D44" s="357" t="str">
        <f t="shared" si="7"/>
        <v/>
      </c>
      <c r="E44" s="357" t="str">
        <f>IF(Cy!F45="","",Cy!F45)</f>
        <v/>
      </c>
      <c r="F44" s="49"/>
      <c r="G44" s="239"/>
      <c r="H44" s="382" t="str">
        <f t="shared" si="4"/>
        <v/>
      </c>
      <c r="I44" s="371"/>
      <c r="J44" s="240"/>
    </row>
    <row r="45" spans="2:10" x14ac:dyDescent="0.2">
      <c r="B45" s="213">
        <f t="shared" si="0"/>
        <v>43</v>
      </c>
      <c r="C45" s="358" t="str">
        <f>IF(Cy!I46="","",Cy!I46)</f>
        <v/>
      </c>
      <c r="D45" s="357" t="str">
        <f t="shared" si="7"/>
        <v/>
      </c>
      <c r="E45" s="357" t="str">
        <f>IF(Cy!F46="","",Cy!F46)</f>
        <v/>
      </c>
      <c r="F45" s="49"/>
      <c r="G45" s="239"/>
      <c r="H45" s="382" t="str">
        <f t="shared" si="4"/>
        <v/>
      </c>
      <c r="I45" s="371"/>
      <c r="J45" s="240"/>
    </row>
    <row r="46" spans="2:10" x14ac:dyDescent="0.2">
      <c r="B46" s="213">
        <f t="shared" si="0"/>
        <v>44</v>
      </c>
      <c r="C46" s="358" t="str">
        <f>IF(Cy!I47="","",Cy!I47)</f>
        <v/>
      </c>
      <c r="D46" s="357" t="str">
        <f t="shared" si="7"/>
        <v/>
      </c>
      <c r="E46" s="357" t="str">
        <f>IF(Cy!F47="","",Cy!F47)</f>
        <v/>
      </c>
      <c r="F46" s="49"/>
      <c r="G46" s="239"/>
      <c r="H46" s="382" t="str">
        <f t="shared" si="4"/>
        <v/>
      </c>
      <c r="I46" s="371"/>
      <c r="J46" s="240"/>
    </row>
    <row r="47" spans="2:10" x14ac:dyDescent="0.2">
      <c r="B47" s="213">
        <f t="shared" si="0"/>
        <v>45</v>
      </c>
      <c r="C47" s="358" t="str">
        <f>IF(Cy!I48="","",Cy!I48)</f>
        <v/>
      </c>
      <c r="D47" s="357" t="str">
        <f t="shared" si="7"/>
        <v/>
      </c>
      <c r="E47" s="357" t="str">
        <f>IF(Cy!F48="","",Cy!F48)</f>
        <v/>
      </c>
      <c r="F47" s="49"/>
      <c r="G47" s="239"/>
      <c r="H47" s="382" t="str">
        <f t="shared" si="4"/>
        <v/>
      </c>
      <c r="I47" s="371"/>
      <c r="J47" s="240"/>
    </row>
    <row r="48" spans="2:10" x14ac:dyDescent="0.2">
      <c r="B48" s="213">
        <f t="shared" si="0"/>
        <v>46</v>
      </c>
      <c r="C48" s="358" t="str">
        <f>IF(Cy!I49="","",Cy!I49)</f>
        <v/>
      </c>
      <c r="D48" s="357" t="str">
        <f t="shared" si="7"/>
        <v/>
      </c>
      <c r="E48" s="357" t="str">
        <f>IF(Cy!F49="","",Cy!F49)</f>
        <v/>
      </c>
      <c r="F48" s="49"/>
      <c r="G48" s="239"/>
      <c r="H48" s="382" t="str">
        <f t="shared" si="4"/>
        <v/>
      </c>
      <c r="I48" s="371"/>
      <c r="J48" s="240"/>
    </row>
    <row r="49" spans="2:10" x14ac:dyDescent="0.2">
      <c r="B49" s="213">
        <f t="shared" si="0"/>
        <v>47</v>
      </c>
      <c r="C49" s="358" t="str">
        <f>IF(Cy!I50="","",Cy!I50)</f>
        <v/>
      </c>
      <c r="D49" s="357" t="str">
        <f t="shared" si="7"/>
        <v/>
      </c>
      <c r="E49" s="357" t="str">
        <f>IF(Cy!F50="","",Cy!F50)</f>
        <v/>
      </c>
      <c r="F49" s="49"/>
      <c r="G49" s="239"/>
      <c r="H49" s="382" t="str">
        <f t="shared" si="4"/>
        <v/>
      </c>
      <c r="I49" s="371"/>
      <c r="J49" s="240"/>
    </row>
    <row r="50" spans="2:10" x14ac:dyDescent="0.2">
      <c r="B50" s="213">
        <f t="shared" si="0"/>
        <v>48</v>
      </c>
      <c r="C50" s="358" t="str">
        <f>IF(Cy!I51="","",Cy!I51)</f>
        <v/>
      </c>
      <c r="D50" s="357" t="str">
        <f t="shared" si="7"/>
        <v/>
      </c>
      <c r="E50" s="357" t="str">
        <f>IF(Cy!F51="","",Cy!F51)</f>
        <v/>
      </c>
      <c r="F50" s="49"/>
      <c r="G50" s="239"/>
      <c r="H50" s="382" t="str">
        <f t="shared" si="4"/>
        <v/>
      </c>
      <c r="I50" s="371"/>
      <c r="J50" s="240"/>
    </row>
    <row r="51" spans="2:10" x14ac:dyDescent="0.2">
      <c r="B51" s="213">
        <f t="shared" si="0"/>
        <v>49</v>
      </c>
      <c r="C51" s="358" t="str">
        <f>IF(Cy!I52="","",Cy!I52)</f>
        <v/>
      </c>
      <c r="D51" s="357" t="str">
        <f t="shared" si="7"/>
        <v/>
      </c>
      <c r="E51" s="357" t="str">
        <f>IF(Cy!F52="","",Cy!F52)</f>
        <v/>
      </c>
      <c r="F51" s="49"/>
      <c r="G51" s="239"/>
      <c r="H51" s="382" t="str">
        <f t="shared" si="4"/>
        <v/>
      </c>
      <c r="I51" s="371"/>
      <c r="J51" s="240"/>
    </row>
    <row r="52" spans="2:10" x14ac:dyDescent="0.2">
      <c r="B52" s="213">
        <f t="shared" si="0"/>
        <v>50</v>
      </c>
      <c r="C52" s="358" t="str">
        <f>IF(Cy!I53="","",Cy!I53)</f>
        <v/>
      </c>
      <c r="D52" s="357" t="str">
        <f t="shared" si="7"/>
        <v/>
      </c>
      <c r="E52" s="357" t="str">
        <f>IF(Cy!F53="","",Cy!F53)</f>
        <v/>
      </c>
      <c r="F52" s="49"/>
      <c r="G52" s="239"/>
      <c r="H52" s="382" t="str">
        <f t="shared" si="4"/>
        <v/>
      </c>
      <c r="I52" s="371"/>
      <c r="J52" s="240"/>
    </row>
    <row r="53" spans="2:10" x14ac:dyDescent="0.2">
      <c r="B53" s="213">
        <f t="shared" si="0"/>
        <v>51</v>
      </c>
      <c r="C53" s="358" t="str">
        <f>IF(Cy!I54="","",Cy!I54)</f>
        <v/>
      </c>
      <c r="D53" s="357" t="str">
        <f t="shared" si="7"/>
        <v/>
      </c>
      <c r="E53" s="357" t="str">
        <f>IF(Cy!F54="","",Cy!F54)</f>
        <v/>
      </c>
      <c r="F53" s="49"/>
      <c r="G53" s="239"/>
      <c r="H53" s="382" t="str">
        <f t="shared" si="4"/>
        <v/>
      </c>
      <c r="I53" s="371"/>
      <c r="J53" s="240"/>
    </row>
    <row r="54" spans="2:10" x14ac:dyDescent="0.2">
      <c r="B54" s="213">
        <f t="shared" si="0"/>
        <v>52</v>
      </c>
      <c r="C54" s="358" t="str">
        <f>IF(Cy!I55="","",Cy!I55)</f>
        <v/>
      </c>
      <c r="D54" s="357" t="str">
        <f t="shared" si="7"/>
        <v/>
      </c>
      <c r="E54" s="357" t="str">
        <f>IF(Cy!F55="","",Cy!F55)</f>
        <v/>
      </c>
      <c r="F54" s="49"/>
      <c r="G54" s="239"/>
      <c r="H54" s="382" t="str">
        <f t="shared" si="4"/>
        <v/>
      </c>
      <c r="I54" s="371"/>
      <c r="J54" s="240"/>
    </row>
    <row r="55" spans="2:10" x14ac:dyDescent="0.2">
      <c r="B55" s="213">
        <f t="shared" si="0"/>
        <v>53</v>
      </c>
      <c r="C55" s="358" t="str">
        <f>IF(Cy!I56="","",Cy!I56)</f>
        <v/>
      </c>
      <c r="D55" s="357" t="str">
        <f t="shared" si="7"/>
        <v/>
      </c>
      <c r="E55" s="357" t="str">
        <f>IF(Cy!F56="","",Cy!F56)</f>
        <v/>
      </c>
      <c r="F55" s="49"/>
      <c r="G55" s="239"/>
      <c r="H55" s="382" t="str">
        <f t="shared" si="4"/>
        <v/>
      </c>
      <c r="I55" s="371"/>
      <c r="J55" s="240"/>
    </row>
    <row r="56" spans="2:10" x14ac:dyDescent="0.2">
      <c r="B56" s="213">
        <f t="shared" si="0"/>
        <v>54</v>
      </c>
      <c r="C56" s="358" t="str">
        <f>IF(Cy!I57="","",Cy!I57)</f>
        <v/>
      </c>
      <c r="D56" s="357" t="str">
        <f t="shared" si="7"/>
        <v/>
      </c>
      <c r="E56" s="357" t="str">
        <f>IF(Cy!F57="","",Cy!F57)</f>
        <v/>
      </c>
      <c r="F56" s="49"/>
      <c r="G56" s="239"/>
      <c r="H56" s="382" t="str">
        <f t="shared" si="4"/>
        <v/>
      </c>
      <c r="I56" s="371"/>
      <c r="J56" s="240"/>
    </row>
    <row r="57" spans="2:10" x14ac:dyDescent="0.2">
      <c r="B57" s="213">
        <f t="shared" si="0"/>
        <v>55</v>
      </c>
      <c r="C57" s="358" t="str">
        <f>IF(Cy!I58="","",Cy!I58)</f>
        <v/>
      </c>
      <c r="D57" s="357" t="str">
        <f t="shared" si="7"/>
        <v/>
      </c>
      <c r="E57" s="357" t="str">
        <f>IF(Cy!F58="","",Cy!F58)</f>
        <v/>
      </c>
      <c r="F57" s="49"/>
      <c r="G57" s="239"/>
      <c r="H57" s="382" t="str">
        <f t="shared" si="4"/>
        <v/>
      </c>
      <c r="I57" s="371"/>
      <c r="J57" s="240"/>
    </row>
    <row r="58" spans="2:10" x14ac:dyDescent="0.2">
      <c r="B58" s="213">
        <f t="shared" si="0"/>
        <v>56</v>
      </c>
      <c r="C58" s="358" t="str">
        <f>IF(Cy!I59="","",Cy!I59)</f>
        <v/>
      </c>
      <c r="D58" s="357" t="str">
        <f t="shared" si="7"/>
        <v/>
      </c>
      <c r="E58" s="357" t="str">
        <f>IF(Cy!F59="","",Cy!F59)</f>
        <v/>
      </c>
      <c r="F58" s="49"/>
      <c r="G58" s="239"/>
      <c r="H58" s="382" t="str">
        <f t="shared" si="4"/>
        <v/>
      </c>
      <c r="I58" s="371"/>
      <c r="J58" s="240"/>
    </row>
    <row r="59" spans="2:10" x14ac:dyDescent="0.2">
      <c r="B59" s="213">
        <f t="shared" si="0"/>
        <v>57</v>
      </c>
      <c r="C59" s="358" t="str">
        <f>IF(Cy!I60="","",Cy!I60)</f>
        <v/>
      </c>
      <c r="D59" s="357" t="str">
        <f t="shared" si="7"/>
        <v/>
      </c>
      <c r="E59" s="357" t="str">
        <f>IF(Cy!F60="","",Cy!F60)</f>
        <v/>
      </c>
      <c r="F59" s="49"/>
      <c r="G59" s="239"/>
      <c r="H59" s="382" t="str">
        <f t="shared" si="4"/>
        <v/>
      </c>
      <c r="I59" s="371"/>
      <c r="J59" s="240"/>
    </row>
    <row r="60" spans="2:10" x14ac:dyDescent="0.2">
      <c r="B60" s="213">
        <f t="shared" si="0"/>
        <v>58</v>
      </c>
      <c r="C60" s="358" t="str">
        <f>IF(Cy!I61="","",Cy!I61)</f>
        <v/>
      </c>
      <c r="D60" s="357" t="str">
        <f t="shared" si="7"/>
        <v/>
      </c>
      <c r="E60" s="357" t="str">
        <f>IF(Cy!F61="","",Cy!F61)</f>
        <v/>
      </c>
      <c r="F60" s="49"/>
      <c r="G60" s="239"/>
      <c r="H60" s="382" t="str">
        <f t="shared" si="4"/>
        <v/>
      </c>
      <c r="I60" s="371"/>
      <c r="J60" s="240"/>
    </row>
    <row r="61" spans="2:10" x14ac:dyDescent="0.2">
      <c r="B61" s="213">
        <f t="shared" si="0"/>
        <v>59</v>
      </c>
      <c r="C61" s="358" t="str">
        <f>IF(Cy!I62="","",Cy!I62)</f>
        <v/>
      </c>
      <c r="D61" s="357" t="str">
        <f t="shared" si="7"/>
        <v/>
      </c>
      <c r="E61" s="357" t="str">
        <f>IF(Cy!F62="","",Cy!F62)</f>
        <v/>
      </c>
      <c r="F61" s="49"/>
      <c r="G61" s="239"/>
      <c r="H61" s="382" t="str">
        <f t="shared" si="4"/>
        <v/>
      </c>
      <c r="I61" s="371"/>
      <c r="J61" s="240"/>
    </row>
    <row r="62" spans="2:10" x14ac:dyDescent="0.2">
      <c r="B62" s="213">
        <f t="shared" si="0"/>
        <v>60</v>
      </c>
      <c r="C62" s="358" t="str">
        <f>IF(Cy!I63="","",Cy!I63)</f>
        <v/>
      </c>
      <c r="D62" s="357" t="str">
        <f t="shared" si="7"/>
        <v/>
      </c>
      <c r="E62" s="357" t="str">
        <f>IF(Cy!F63="","",Cy!F63)</f>
        <v/>
      </c>
      <c r="F62" s="49"/>
      <c r="G62" s="239"/>
      <c r="H62" s="382" t="str">
        <f t="shared" si="4"/>
        <v/>
      </c>
      <c r="I62" s="371"/>
      <c r="J62" s="240"/>
    </row>
    <row r="63" spans="2:10" x14ac:dyDescent="0.2">
      <c r="B63" s="213">
        <f t="shared" si="0"/>
        <v>61</v>
      </c>
      <c r="C63" s="358" t="str">
        <f>IF(Cy!I64="","",Cy!I64)</f>
        <v/>
      </c>
      <c r="D63" s="357" t="str">
        <f t="shared" si="7"/>
        <v/>
      </c>
      <c r="E63" s="357" t="str">
        <f>IF(Cy!F64="","",Cy!F64)</f>
        <v/>
      </c>
      <c r="F63" s="49"/>
      <c r="G63" s="239"/>
      <c r="H63" s="382" t="str">
        <f t="shared" si="4"/>
        <v/>
      </c>
      <c r="I63" s="371"/>
      <c r="J63" s="240"/>
    </row>
    <row r="64" spans="2:10" x14ac:dyDescent="0.2">
      <c r="B64" s="213">
        <f t="shared" si="0"/>
        <v>62</v>
      </c>
      <c r="C64" s="358" t="str">
        <f>IF(Cy!I65="","",Cy!I65)</f>
        <v/>
      </c>
      <c r="D64" s="357" t="str">
        <f t="shared" si="7"/>
        <v/>
      </c>
      <c r="E64" s="357" t="str">
        <f>IF(Cy!F65="","",Cy!F65)</f>
        <v/>
      </c>
      <c r="F64" s="49"/>
      <c r="G64" s="239"/>
      <c r="H64" s="382" t="str">
        <f t="shared" si="4"/>
        <v/>
      </c>
      <c r="I64" s="371"/>
      <c r="J64" s="240"/>
    </row>
    <row r="65" spans="2:10" x14ac:dyDescent="0.2">
      <c r="B65" s="213">
        <f t="shared" si="0"/>
        <v>63</v>
      </c>
      <c r="C65" s="358" t="str">
        <f>IF(Cy!I66="","",Cy!I66)</f>
        <v/>
      </c>
      <c r="D65" s="357" t="str">
        <f t="shared" si="7"/>
        <v/>
      </c>
      <c r="E65" s="357" t="str">
        <f>IF(Cy!F66="","",Cy!F66)</f>
        <v/>
      </c>
      <c r="F65" s="49"/>
      <c r="G65" s="239"/>
      <c r="H65" s="382" t="str">
        <f t="shared" si="4"/>
        <v/>
      </c>
      <c r="I65" s="371"/>
      <c r="J65" s="240"/>
    </row>
    <row r="66" spans="2:10" x14ac:dyDescent="0.2">
      <c r="B66" s="213">
        <f t="shared" si="0"/>
        <v>64</v>
      </c>
      <c r="C66" s="358" t="str">
        <f>IF(Cy!I67="","",Cy!I67)</f>
        <v/>
      </c>
      <c r="D66" s="357" t="str">
        <f t="shared" si="7"/>
        <v/>
      </c>
      <c r="E66" s="357" t="str">
        <f>IF(Cy!F67="","",Cy!F67)</f>
        <v/>
      </c>
      <c r="F66" s="49"/>
      <c r="G66" s="239"/>
      <c r="H66" s="382" t="str">
        <f t="shared" si="4"/>
        <v/>
      </c>
      <c r="I66" s="371"/>
      <c r="J66" s="240"/>
    </row>
    <row r="67" spans="2:10" x14ac:dyDescent="0.2">
      <c r="B67" s="213">
        <f t="shared" si="0"/>
        <v>65</v>
      </c>
      <c r="C67" s="358" t="str">
        <f>IF(Cy!I68="","",Cy!I68)</f>
        <v/>
      </c>
      <c r="D67" s="357" t="str">
        <f t="shared" si="7"/>
        <v/>
      </c>
      <c r="E67" s="357" t="str">
        <f>IF(Cy!F68="","",Cy!F68)</f>
        <v/>
      </c>
      <c r="F67" s="49"/>
      <c r="G67" s="239"/>
      <c r="H67" s="382" t="str">
        <f t="shared" si="4"/>
        <v/>
      </c>
      <c r="I67" s="371"/>
      <c r="J67" s="240"/>
    </row>
    <row r="68" spans="2:10" x14ac:dyDescent="0.2">
      <c r="B68" s="213">
        <f t="shared" ref="B68:B102" si="8">B67+1</f>
        <v>66</v>
      </c>
      <c r="C68" s="358" t="str">
        <f>IF(Cy!I69="","",Cy!I69)</f>
        <v/>
      </c>
      <c r="D68" s="357" t="str">
        <f t="shared" ref="D68:D99" si="9">IF(E68="","",E68+D$3-E$3)</f>
        <v/>
      </c>
      <c r="E68" s="357" t="str">
        <f>IF(Cy!F69="","",Cy!F69)</f>
        <v/>
      </c>
      <c r="F68" s="49"/>
      <c r="G68" s="239"/>
      <c r="H68" s="382" t="str">
        <f t="shared" si="4"/>
        <v/>
      </c>
      <c r="I68" s="371"/>
      <c r="J68" s="240"/>
    </row>
    <row r="69" spans="2:10" x14ac:dyDescent="0.2">
      <c r="B69" s="213">
        <f t="shared" si="8"/>
        <v>67</v>
      </c>
      <c r="C69" s="358" t="str">
        <f>IF(Cy!I70="","",Cy!I70)</f>
        <v/>
      </c>
      <c r="D69" s="357" t="str">
        <f t="shared" si="9"/>
        <v/>
      </c>
      <c r="E69" s="357" t="str">
        <f>IF(Cy!F70="","",Cy!F70)</f>
        <v/>
      </c>
      <c r="F69" s="49"/>
      <c r="G69" s="239"/>
      <c r="H69" s="382" t="str">
        <f t="shared" ref="H69:H102" si="10">IF(I69="","",H68+1)</f>
        <v/>
      </c>
      <c r="I69" s="371"/>
      <c r="J69" s="240"/>
    </row>
    <row r="70" spans="2:10" x14ac:dyDescent="0.2">
      <c r="B70" s="213">
        <f t="shared" si="8"/>
        <v>68</v>
      </c>
      <c r="C70" s="358" t="str">
        <f>IF(Cy!I71="","",Cy!I71)</f>
        <v/>
      </c>
      <c r="D70" s="357" t="str">
        <f t="shared" si="9"/>
        <v/>
      </c>
      <c r="E70" s="357" t="str">
        <f>IF(Cy!F71="","",Cy!F71)</f>
        <v/>
      </c>
      <c r="F70" s="49"/>
      <c r="G70" s="239"/>
      <c r="H70" s="382" t="str">
        <f t="shared" si="10"/>
        <v/>
      </c>
      <c r="I70" s="371"/>
      <c r="J70" s="240"/>
    </row>
    <row r="71" spans="2:10" x14ac:dyDescent="0.2">
      <c r="B71" s="213">
        <f t="shared" si="8"/>
        <v>69</v>
      </c>
      <c r="C71" s="358" t="str">
        <f>IF(Cy!I72="","",Cy!I72)</f>
        <v/>
      </c>
      <c r="D71" s="357" t="str">
        <f t="shared" si="9"/>
        <v/>
      </c>
      <c r="E71" s="357" t="str">
        <f>IF(Cy!F72="","",Cy!F72)</f>
        <v/>
      </c>
      <c r="F71" s="49"/>
      <c r="G71" s="239"/>
      <c r="H71" s="382" t="str">
        <f t="shared" si="10"/>
        <v/>
      </c>
      <c r="I71" s="371"/>
      <c r="J71" s="240"/>
    </row>
    <row r="72" spans="2:10" x14ac:dyDescent="0.2">
      <c r="B72" s="213">
        <f t="shared" si="8"/>
        <v>70</v>
      </c>
      <c r="C72" s="358" t="str">
        <f>IF(Cy!I73="","",Cy!I73)</f>
        <v/>
      </c>
      <c r="D72" s="357" t="str">
        <f t="shared" si="9"/>
        <v/>
      </c>
      <c r="E72" s="357" t="str">
        <f>IF(Cy!F73="","",Cy!F73)</f>
        <v/>
      </c>
      <c r="F72" s="49"/>
      <c r="G72" s="239"/>
      <c r="H72" s="382" t="str">
        <f t="shared" si="10"/>
        <v/>
      </c>
      <c r="I72" s="371"/>
      <c r="J72" s="240"/>
    </row>
    <row r="73" spans="2:10" x14ac:dyDescent="0.2">
      <c r="B73" s="213">
        <f t="shared" si="8"/>
        <v>71</v>
      </c>
      <c r="C73" s="358" t="str">
        <f>IF(Cy!I74="","",Cy!I74)</f>
        <v/>
      </c>
      <c r="D73" s="357" t="str">
        <f t="shared" si="9"/>
        <v/>
      </c>
      <c r="E73" s="357" t="str">
        <f>IF(Cy!F74="","",Cy!F74)</f>
        <v/>
      </c>
      <c r="F73" s="49"/>
      <c r="G73" s="239"/>
      <c r="H73" s="382" t="str">
        <f t="shared" si="10"/>
        <v/>
      </c>
      <c r="I73" s="371"/>
      <c r="J73" s="240"/>
    </row>
    <row r="74" spans="2:10" x14ac:dyDescent="0.2">
      <c r="B74" s="213">
        <f t="shared" si="8"/>
        <v>72</v>
      </c>
      <c r="C74" s="358" t="str">
        <f>IF(Cy!I75="","",Cy!I75)</f>
        <v/>
      </c>
      <c r="D74" s="357" t="str">
        <f t="shared" si="9"/>
        <v/>
      </c>
      <c r="E74" s="357" t="str">
        <f>IF(Cy!F75="","",Cy!F75)</f>
        <v/>
      </c>
      <c r="F74" s="49"/>
      <c r="G74" s="239"/>
      <c r="H74" s="382" t="str">
        <f t="shared" si="10"/>
        <v/>
      </c>
      <c r="I74" s="371"/>
      <c r="J74" s="240"/>
    </row>
    <row r="75" spans="2:10" x14ac:dyDescent="0.2">
      <c r="B75" s="213">
        <f t="shared" si="8"/>
        <v>73</v>
      </c>
      <c r="C75" s="358" t="str">
        <f>IF(Cy!I76="","",Cy!I76)</f>
        <v/>
      </c>
      <c r="D75" s="357" t="str">
        <f t="shared" si="9"/>
        <v/>
      </c>
      <c r="E75" s="357" t="str">
        <f>IF(Cy!F76="","",Cy!F76)</f>
        <v/>
      </c>
      <c r="F75" s="49"/>
      <c r="G75" s="239"/>
      <c r="H75" s="382" t="str">
        <f t="shared" si="10"/>
        <v/>
      </c>
      <c r="I75" s="371"/>
      <c r="J75" s="240"/>
    </row>
    <row r="76" spans="2:10" x14ac:dyDescent="0.2">
      <c r="B76" s="213">
        <f t="shared" si="8"/>
        <v>74</v>
      </c>
      <c r="C76" s="358" t="str">
        <f>IF(Cy!I77="","",Cy!I77)</f>
        <v/>
      </c>
      <c r="D76" s="357" t="str">
        <f t="shared" si="9"/>
        <v/>
      </c>
      <c r="E76" s="357" t="str">
        <f>IF(Cy!F77="","",Cy!F77)</f>
        <v/>
      </c>
      <c r="F76" s="49"/>
      <c r="G76" s="239"/>
      <c r="H76" s="382" t="str">
        <f t="shared" si="10"/>
        <v/>
      </c>
      <c r="I76" s="371"/>
      <c r="J76" s="240"/>
    </row>
    <row r="77" spans="2:10" x14ac:dyDescent="0.2">
      <c r="B77" s="213">
        <f t="shared" si="8"/>
        <v>75</v>
      </c>
      <c r="C77" s="358" t="str">
        <f>IF(Cy!I78="","",Cy!I78)</f>
        <v/>
      </c>
      <c r="D77" s="357" t="str">
        <f t="shared" si="9"/>
        <v/>
      </c>
      <c r="E77" s="357" t="str">
        <f>IF(Cy!F78="","",Cy!F78)</f>
        <v/>
      </c>
      <c r="F77" s="49"/>
      <c r="G77" s="239"/>
      <c r="H77" s="382" t="str">
        <f t="shared" si="10"/>
        <v/>
      </c>
      <c r="I77" s="371"/>
      <c r="J77" s="240"/>
    </row>
    <row r="78" spans="2:10" x14ac:dyDescent="0.2">
      <c r="B78" s="213">
        <f t="shared" si="8"/>
        <v>76</v>
      </c>
      <c r="C78" s="358" t="str">
        <f>IF(Cy!I79="","",Cy!I79)</f>
        <v/>
      </c>
      <c r="D78" s="357" t="str">
        <f t="shared" si="9"/>
        <v/>
      </c>
      <c r="E78" s="357" t="str">
        <f>IF(Cy!F79="","",Cy!F79)</f>
        <v/>
      </c>
      <c r="F78" s="49"/>
      <c r="G78" s="239"/>
      <c r="H78" s="382" t="str">
        <f t="shared" si="10"/>
        <v/>
      </c>
      <c r="I78" s="371"/>
      <c r="J78" s="240"/>
    </row>
    <row r="79" spans="2:10" x14ac:dyDescent="0.2">
      <c r="B79" s="213">
        <f t="shared" si="8"/>
        <v>77</v>
      </c>
      <c r="C79" s="358" t="str">
        <f>IF(Cy!I80="","",Cy!I80)</f>
        <v/>
      </c>
      <c r="D79" s="357" t="str">
        <f t="shared" si="9"/>
        <v/>
      </c>
      <c r="E79" s="357" t="str">
        <f>IF(Cy!F80="","",Cy!F80)</f>
        <v/>
      </c>
      <c r="F79" s="49"/>
      <c r="G79" s="239"/>
      <c r="H79" s="382" t="str">
        <f t="shared" si="10"/>
        <v/>
      </c>
      <c r="I79" s="371"/>
      <c r="J79" s="240"/>
    </row>
    <row r="80" spans="2:10" x14ac:dyDescent="0.2">
      <c r="B80" s="213">
        <f t="shared" si="8"/>
        <v>78</v>
      </c>
      <c r="C80" s="358" t="str">
        <f>IF(Cy!I81="","",Cy!I81)</f>
        <v/>
      </c>
      <c r="D80" s="357" t="str">
        <f t="shared" si="9"/>
        <v/>
      </c>
      <c r="E80" s="357" t="str">
        <f>IF(Cy!F81="","",Cy!F81)</f>
        <v/>
      </c>
      <c r="F80" s="49"/>
      <c r="G80" s="239"/>
      <c r="H80" s="382" t="str">
        <f t="shared" si="10"/>
        <v/>
      </c>
      <c r="I80" s="371"/>
      <c r="J80" s="240"/>
    </row>
    <row r="81" spans="2:10" x14ac:dyDescent="0.2">
      <c r="B81" s="213">
        <f t="shared" si="8"/>
        <v>79</v>
      </c>
      <c r="C81" s="358" t="str">
        <f>IF(Cy!I82="","",Cy!I82)</f>
        <v/>
      </c>
      <c r="D81" s="357" t="str">
        <f t="shared" si="9"/>
        <v/>
      </c>
      <c r="E81" s="357" t="str">
        <f>IF(Cy!F82="","",Cy!F82)</f>
        <v/>
      </c>
      <c r="F81" s="49"/>
      <c r="G81" s="239"/>
      <c r="H81" s="382" t="str">
        <f t="shared" si="10"/>
        <v/>
      </c>
      <c r="I81" s="371"/>
      <c r="J81" s="240"/>
    </row>
    <row r="82" spans="2:10" x14ac:dyDescent="0.2">
      <c r="B82" s="213">
        <f t="shared" si="8"/>
        <v>80</v>
      </c>
      <c r="C82" s="358" t="str">
        <f>IF(Cy!I83="","",Cy!I83)</f>
        <v/>
      </c>
      <c r="D82" s="357" t="str">
        <f t="shared" si="9"/>
        <v/>
      </c>
      <c r="E82" s="357" t="str">
        <f>IF(Cy!F83="","",Cy!F83)</f>
        <v/>
      </c>
      <c r="F82" s="49"/>
      <c r="G82" s="239"/>
      <c r="H82" s="382" t="str">
        <f t="shared" si="10"/>
        <v/>
      </c>
      <c r="I82" s="371"/>
      <c r="J82" s="240"/>
    </row>
    <row r="83" spans="2:10" x14ac:dyDescent="0.2">
      <c r="B83" s="213">
        <f t="shared" si="8"/>
        <v>81</v>
      </c>
      <c r="C83" s="358" t="str">
        <f>IF(Cy!I84="","",Cy!I84)</f>
        <v/>
      </c>
      <c r="D83" s="357" t="str">
        <f t="shared" si="9"/>
        <v/>
      </c>
      <c r="E83" s="357" t="str">
        <f>IF(Cy!F84="","",Cy!F84)</f>
        <v/>
      </c>
      <c r="F83" s="49"/>
      <c r="G83" s="239"/>
      <c r="H83" s="382" t="str">
        <f t="shared" si="10"/>
        <v/>
      </c>
      <c r="I83" s="371"/>
      <c r="J83" s="240"/>
    </row>
    <row r="84" spans="2:10" x14ac:dyDescent="0.2">
      <c r="B84" s="213">
        <f t="shared" si="8"/>
        <v>82</v>
      </c>
      <c r="C84" s="358" t="str">
        <f>IF(Cy!I85="","",Cy!I85)</f>
        <v/>
      </c>
      <c r="D84" s="357" t="str">
        <f t="shared" si="9"/>
        <v/>
      </c>
      <c r="E84" s="357" t="str">
        <f>IF(Cy!F85="","",Cy!F85)</f>
        <v/>
      </c>
      <c r="F84" s="49"/>
      <c r="G84" s="239"/>
      <c r="H84" s="382" t="str">
        <f t="shared" si="10"/>
        <v/>
      </c>
      <c r="I84" s="371"/>
      <c r="J84" s="240"/>
    </row>
    <row r="85" spans="2:10" x14ac:dyDescent="0.2">
      <c r="B85" s="213">
        <f t="shared" si="8"/>
        <v>83</v>
      </c>
      <c r="C85" s="358" t="str">
        <f>IF(Cy!I86="","",Cy!I86)</f>
        <v/>
      </c>
      <c r="D85" s="357" t="str">
        <f t="shared" si="9"/>
        <v/>
      </c>
      <c r="E85" s="357" t="str">
        <f>IF(Cy!F86="","",Cy!F86)</f>
        <v/>
      </c>
      <c r="F85" s="49"/>
      <c r="G85" s="239"/>
      <c r="H85" s="382" t="str">
        <f t="shared" si="10"/>
        <v/>
      </c>
      <c r="I85" s="371"/>
      <c r="J85" s="240"/>
    </row>
    <row r="86" spans="2:10" x14ac:dyDescent="0.2">
      <c r="B86" s="213">
        <f t="shared" si="8"/>
        <v>84</v>
      </c>
      <c r="C86" s="358" t="str">
        <f>IF(Cy!I87="","",Cy!I87)</f>
        <v/>
      </c>
      <c r="D86" s="357" t="str">
        <f t="shared" si="9"/>
        <v/>
      </c>
      <c r="E86" s="357" t="str">
        <f>IF(Cy!F87="","",Cy!F87)</f>
        <v/>
      </c>
      <c r="F86" s="49"/>
      <c r="G86" s="239"/>
      <c r="H86" s="382" t="str">
        <f t="shared" si="10"/>
        <v/>
      </c>
      <c r="I86" s="371"/>
      <c r="J86" s="240"/>
    </row>
    <row r="87" spans="2:10" x14ac:dyDescent="0.2">
      <c r="B87" s="213">
        <f t="shared" si="8"/>
        <v>85</v>
      </c>
      <c r="C87" s="358" t="str">
        <f>IF(Cy!I88="","",Cy!I88)</f>
        <v/>
      </c>
      <c r="D87" s="357" t="str">
        <f t="shared" si="9"/>
        <v/>
      </c>
      <c r="E87" s="357" t="str">
        <f>IF(Cy!F88="","",Cy!F88)</f>
        <v/>
      </c>
      <c r="F87" s="49"/>
      <c r="G87" s="239"/>
      <c r="H87" s="382" t="str">
        <f t="shared" si="10"/>
        <v/>
      </c>
      <c r="I87" s="371"/>
      <c r="J87" s="240"/>
    </row>
    <row r="88" spans="2:10" x14ac:dyDescent="0.2">
      <c r="B88" s="213">
        <f t="shared" si="8"/>
        <v>86</v>
      </c>
      <c r="C88" s="358" t="str">
        <f>IF(Cy!I89="","",Cy!I89)</f>
        <v/>
      </c>
      <c r="D88" s="357" t="str">
        <f t="shared" si="9"/>
        <v/>
      </c>
      <c r="E88" s="357" t="str">
        <f>IF(Cy!F89="","",Cy!F89)</f>
        <v/>
      </c>
      <c r="F88" s="49"/>
      <c r="G88" s="239"/>
      <c r="H88" s="382" t="str">
        <f t="shared" si="10"/>
        <v/>
      </c>
      <c r="I88" s="371"/>
      <c r="J88" s="240"/>
    </row>
    <row r="89" spans="2:10" x14ac:dyDescent="0.2">
      <c r="B89" s="213">
        <f t="shared" si="8"/>
        <v>87</v>
      </c>
      <c r="C89" s="358" t="str">
        <f>IF(Cy!I90="","",Cy!I90)</f>
        <v/>
      </c>
      <c r="D89" s="357" t="str">
        <f t="shared" si="9"/>
        <v/>
      </c>
      <c r="E89" s="357" t="str">
        <f>IF(Cy!F90="","",Cy!F90)</f>
        <v/>
      </c>
      <c r="F89" s="49"/>
      <c r="G89" s="239"/>
      <c r="H89" s="382" t="str">
        <f t="shared" si="10"/>
        <v/>
      </c>
      <c r="I89" s="371"/>
      <c r="J89" s="240"/>
    </row>
    <row r="90" spans="2:10" x14ac:dyDescent="0.2">
      <c r="B90" s="213">
        <f t="shared" si="8"/>
        <v>88</v>
      </c>
      <c r="C90" s="358" t="str">
        <f>IF(Cy!I91="","",Cy!I91)</f>
        <v/>
      </c>
      <c r="D90" s="357" t="str">
        <f t="shared" si="9"/>
        <v/>
      </c>
      <c r="E90" s="357" t="str">
        <f>IF(Cy!F91="","",Cy!F91)</f>
        <v/>
      </c>
      <c r="F90" s="49"/>
      <c r="G90" s="239"/>
      <c r="H90" s="382" t="str">
        <f t="shared" si="10"/>
        <v/>
      </c>
      <c r="I90" s="371"/>
      <c r="J90" s="240"/>
    </row>
    <row r="91" spans="2:10" x14ac:dyDescent="0.2">
      <c r="B91" s="213">
        <f t="shared" si="8"/>
        <v>89</v>
      </c>
      <c r="C91" s="358" t="str">
        <f>IF(Cy!I92="","",Cy!I92)</f>
        <v/>
      </c>
      <c r="D91" s="357" t="str">
        <f t="shared" si="9"/>
        <v/>
      </c>
      <c r="E91" s="357" t="str">
        <f>IF(Cy!F92="","",Cy!F92)</f>
        <v/>
      </c>
      <c r="F91" s="49"/>
      <c r="G91" s="239"/>
      <c r="H91" s="382" t="str">
        <f t="shared" si="10"/>
        <v/>
      </c>
      <c r="I91" s="371"/>
      <c r="J91" s="240"/>
    </row>
    <row r="92" spans="2:10" x14ac:dyDescent="0.2">
      <c r="B92" s="213">
        <f t="shared" si="8"/>
        <v>90</v>
      </c>
      <c r="C92" s="358" t="str">
        <f>IF(Cy!I93="","",Cy!I93)</f>
        <v/>
      </c>
      <c r="D92" s="357" t="str">
        <f t="shared" si="9"/>
        <v/>
      </c>
      <c r="E92" s="357" t="str">
        <f>IF(Cy!F93="","",Cy!F93)</f>
        <v/>
      </c>
      <c r="F92" s="49"/>
      <c r="G92" s="239"/>
      <c r="H92" s="382" t="str">
        <f t="shared" si="10"/>
        <v/>
      </c>
      <c r="I92" s="371"/>
      <c r="J92" s="240"/>
    </row>
    <row r="93" spans="2:10" x14ac:dyDescent="0.2">
      <c r="B93" s="213">
        <f t="shared" si="8"/>
        <v>91</v>
      </c>
      <c r="C93" s="358" t="str">
        <f>IF(Cy!I94="","",Cy!I94)</f>
        <v/>
      </c>
      <c r="D93" s="357" t="str">
        <f t="shared" si="9"/>
        <v/>
      </c>
      <c r="E93" s="357" t="str">
        <f>IF(Cy!F94="","",Cy!F94)</f>
        <v/>
      </c>
      <c r="F93" s="49"/>
      <c r="G93" s="239"/>
      <c r="H93" s="382" t="str">
        <f t="shared" si="10"/>
        <v/>
      </c>
      <c r="I93" s="371"/>
      <c r="J93" s="240"/>
    </row>
    <row r="94" spans="2:10" x14ac:dyDescent="0.2">
      <c r="B94" s="213">
        <f t="shared" si="8"/>
        <v>92</v>
      </c>
      <c r="C94" s="358" t="str">
        <f>IF(Cy!I95="","",Cy!I95)</f>
        <v/>
      </c>
      <c r="D94" s="357" t="str">
        <f t="shared" si="9"/>
        <v/>
      </c>
      <c r="E94" s="357" t="str">
        <f>IF(Cy!F95="","",Cy!F95)</f>
        <v/>
      </c>
      <c r="F94" s="49"/>
      <c r="G94" s="239"/>
      <c r="H94" s="382" t="str">
        <f t="shared" si="10"/>
        <v/>
      </c>
      <c r="I94" s="371"/>
      <c r="J94" s="240"/>
    </row>
    <row r="95" spans="2:10" x14ac:dyDescent="0.2">
      <c r="B95" s="213">
        <f t="shared" si="8"/>
        <v>93</v>
      </c>
      <c r="C95" s="358" t="str">
        <f>IF(Cy!I96="","",Cy!I96)</f>
        <v/>
      </c>
      <c r="D95" s="357" t="str">
        <f t="shared" si="9"/>
        <v/>
      </c>
      <c r="E95" s="357" t="str">
        <f>IF(Cy!F96="","",Cy!F96)</f>
        <v/>
      </c>
      <c r="F95" s="49"/>
      <c r="G95" s="239"/>
      <c r="H95" s="382" t="str">
        <f t="shared" si="10"/>
        <v/>
      </c>
      <c r="I95" s="371"/>
      <c r="J95" s="240"/>
    </row>
    <row r="96" spans="2:10" x14ac:dyDescent="0.2">
      <c r="B96" s="213">
        <f t="shared" si="8"/>
        <v>94</v>
      </c>
      <c r="C96" s="358" t="str">
        <f>IF(Cy!I97="","",Cy!I97)</f>
        <v/>
      </c>
      <c r="D96" s="357" t="str">
        <f t="shared" si="9"/>
        <v/>
      </c>
      <c r="E96" s="357" t="str">
        <f>IF(Cy!F97="","",Cy!F97)</f>
        <v/>
      </c>
      <c r="F96" s="49"/>
      <c r="G96" s="239"/>
      <c r="H96" s="382" t="str">
        <f t="shared" si="10"/>
        <v/>
      </c>
      <c r="I96" s="371"/>
      <c r="J96" s="240"/>
    </row>
    <row r="97" spans="2:10" x14ac:dyDescent="0.2">
      <c r="B97" s="213">
        <f t="shared" si="8"/>
        <v>95</v>
      </c>
      <c r="C97" s="358" t="str">
        <f>IF(Cy!I98="","",Cy!I98)</f>
        <v/>
      </c>
      <c r="D97" s="357" t="str">
        <f t="shared" si="9"/>
        <v/>
      </c>
      <c r="E97" s="357" t="str">
        <f>IF(Cy!F98="","",Cy!F98)</f>
        <v/>
      </c>
      <c r="F97" s="49"/>
      <c r="G97" s="239"/>
      <c r="H97" s="382" t="str">
        <f t="shared" si="10"/>
        <v/>
      </c>
      <c r="I97" s="371"/>
      <c r="J97" s="240"/>
    </row>
    <row r="98" spans="2:10" x14ac:dyDescent="0.2">
      <c r="B98" s="213">
        <f t="shared" si="8"/>
        <v>96</v>
      </c>
      <c r="C98" s="358" t="str">
        <f>IF(Cy!I99="","",Cy!I99)</f>
        <v/>
      </c>
      <c r="D98" s="357" t="str">
        <f t="shared" si="9"/>
        <v/>
      </c>
      <c r="E98" s="357" t="str">
        <f>IF(Cy!F99="","",Cy!F99)</f>
        <v/>
      </c>
      <c r="F98" s="49"/>
      <c r="G98" s="239"/>
      <c r="H98" s="382" t="str">
        <f t="shared" si="10"/>
        <v/>
      </c>
      <c r="I98" s="371"/>
      <c r="J98" s="240"/>
    </row>
    <row r="99" spans="2:10" x14ac:dyDescent="0.2">
      <c r="B99" s="213">
        <f t="shared" si="8"/>
        <v>97</v>
      </c>
      <c r="C99" s="358" t="str">
        <f>IF(Cy!I100="","",Cy!I100)</f>
        <v/>
      </c>
      <c r="D99" s="357" t="str">
        <f t="shared" si="9"/>
        <v/>
      </c>
      <c r="E99" s="357" t="str">
        <f>IF(Cy!F100="","",Cy!F100)</f>
        <v/>
      </c>
      <c r="F99" s="49"/>
      <c r="G99" s="239"/>
      <c r="H99" s="382" t="str">
        <f t="shared" si="10"/>
        <v/>
      </c>
      <c r="I99" s="371"/>
      <c r="J99" s="240"/>
    </row>
    <row r="100" spans="2:10" x14ac:dyDescent="0.2">
      <c r="B100" s="213">
        <f t="shared" si="8"/>
        <v>98</v>
      </c>
      <c r="C100" s="358" t="str">
        <f>IF(Cy!I101="","",Cy!I101)</f>
        <v/>
      </c>
      <c r="D100" s="357" t="str">
        <f t="shared" ref="D100:D102" si="11">IF(E100="","",E100+D$3-E$3)</f>
        <v/>
      </c>
      <c r="E100" s="357" t="str">
        <f>IF(Cy!F101="","",Cy!F101)</f>
        <v/>
      </c>
      <c r="F100" s="49"/>
      <c r="G100" s="239"/>
      <c r="H100" s="382" t="str">
        <f t="shared" si="10"/>
        <v/>
      </c>
      <c r="I100" s="371"/>
      <c r="J100" s="240"/>
    </row>
    <row r="101" spans="2:10" x14ac:dyDescent="0.2">
      <c r="B101" s="213">
        <f t="shared" si="8"/>
        <v>99</v>
      </c>
      <c r="C101" s="358" t="str">
        <f>IF(Cy!I102="","",Cy!I102)</f>
        <v/>
      </c>
      <c r="D101" s="357" t="str">
        <f t="shared" si="11"/>
        <v/>
      </c>
      <c r="E101" s="357" t="str">
        <f>IF(Cy!F102="","",Cy!F102)</f>
        <v/>
      </c>
      <c r="F101" s="49"/>
      <c r="G101" s="239"/>
      <c r="H101" s="382" t="str">
        <f t="shared" si="10"/>
        <v/>
      </c>
      <c r="I101" s="371"/>
      <c r="J101" s="240"/>
    </row>
    <row r="102" spans="2:10" ht="13.5" thickBot="1" x14ac:dyDescent="0.25">
      <c r="B102" s="214">
        <f t="shared" si="8"/>
        <v>100</v>
      </c>
      <c r="C102" s="359" t="str">
        <f>IF(Cy!I103="","",Cy!I103)</f>
        <v/>
      </c>
      <c r="D102" s="215" t="str">
        <f t="shared" si="11"/>
        <v/>
      </c>
      <c r="E102" s="215" t="str">
        <f>IF(Cy!F103="","",Cy!F103)</f>
        <v/>
      </c>
      <c r="F102" s="59"/>
      <c r="G102" s="275"/>
      <c r="H102" s="383" t="str">
        <f t="shared" si="10"/>
        <v/>
      </c>
      <c r="I102" s="372"/>
      <c r="J102" s="276"/>
    </row>
  </sheetData>
  <mergeCells count="2">
    <mergeCell ref="L15:N15"/>
    <mergeCell ref="L16:L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C19" sqref="C19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87" t="s">
        <v>208</v>
      </c>
      <c r="C2" s="495"/>
      <c r="N2" s="482" t="s">
        <v>19</v>
      </c>
      <c r="O2" s="483"/>
      <c r="P2" s="483"/>
      <c r="Q2" s="484"/>
    </row>
    <row r="3" spans="2:17" ht="13.5" thickBot="1" x14ac:dyDescent="0.25">
      <c r="B3" s="16" t="s">
        <v>172</v>
      </c>
      <c r="C3" s="288">
        <f>CLog!$X$4</f>
        <v>33112.58</v>
      </c>
      <c r="N3" s="44" t="s">
        <v>18</v>
      </c>
      <c r="O3" s="45" t="s">
        <v>8</v>
      </c>
      <c r="P3" s="45" t="s">
        <v>7</v>
      </c>
      <c r="Q3" s="46" t="s">
        <v>17</v>
      </c>
    </row>
    <row r="4" spans="2:17" x14ac:dyDescent="0.2">
      <c r="B4" s="10" t="s">
        <v>15</v>
      </c>
      <c r="C4" s="289">
        <f>CLog!X5</f>
        <v>929.97000000000116</v>
      </c>
      <c r="N4" s="43">
        <v>1</v>
      </c>
      <c r="O4" s="149">
        <f t="shared" ref="O4:O35" si="0">IF(L$27="","",1+L$27*N4/100)</f>
        <v>1.05</v>
      </c>
      <c r="P4" s="33">
        <f t="shared" ref="P4:P35" si="1">IF(O4="","",1-N4/100)</f>
        <v>0.99</v>
      </c>
      <c r="Q4" s="223">
        <f t="shared" ref="Q4:Q35" si="2">IF(O4="","",100*(O4^(L$28/100)*P4^((100-L$28)/100)-1))</f>
        <v>2.5575546886094758</v>
      </c>
    </row>
    <row r="5" spans="2:17" x14ac:dyDescent="0.2">
      <c r="B5" s="162" t="s">
        <v>123</v>
      </c>
      <c r="C5" s="289">
        <f>CLog!X6</f>
        <v>34042.550000000003</v>
      </c>
      <c r="N5" s="38">
        <f t="shared" ref="N5:N36" si="3">N4+1</f>
        <v>2</v>
      </c>
      <c r="O5" s="150">
        <f t="shared" si="0"/>
        <v>1.1000000000000001</v>
      </c>
      <c r="P5" s="5">
        <f t="shared" si="1"/>
        <v>0.98</v>
      </c>
      <c r="Q5" s="224">
        <f t="shared" si="2"/>
        <v>5.0330655878016106</v>
      </c>
    </row>
    <row r="6" spans="2:17" x14ac:dyDescent="0.2">
      <c r="B6" s="10" t="str">
        <f>CLog!W13</f>
        <v>Ganhos</v>
      </c>
      <c r="C6" s="290">
        <f>CLog!X13</f>
        <v>17</v>
      </c>
      <c r="N6" s="38">
        <f t="shared" si="3"/>
        <v>3</v>
      </c>
      <c r="O6" s="150">
        <f t="shared" si="0"/>
        <v>1.1499999999999999</v>
      </c>
      <c r="P6" s="5">
        <f t="shared" si="1"/>
        <v>0.97</v>
      </c>
      <c r="Q6" s="224">
        <f t="shared" si="2"/>
        <v>7.4304507493853533</v>
      </c>
    </row>
    <row r="7" spans="2:17" x14ac:dyDescent="0.2">
      <c r="B7" s="10" t="str">
        <f>CLog!W14</f>
        <v>Perdas</v>
      </c>
      <c r="C7" s="290">
        <f>CLog!X14</f>
        <v>4</v>
      </c>
      <c r="N7" s="38">
        <f t="shared" si="3"/>
        <v>4</v>
      </c>
      <c r="O7" s="150">
        <f t="shared" si="0"/>
        <v>1.2</v>
      </c>
      <c r="P7" s="5">
        <f t="shared" si="1"/>
        <v>0.96</v>
      </c>
      <c r="Q7" s="224">
        <f t="shared" si="2"/>
        <v>9.753212462558313</v>
      </c>
    </row>
    <row r="8" spans="2:17" x14ac:dyDescent="0.2">
      <c r="B8" s="10" t="str">
        <f>CLog!W15</f>
        <v>Operações</v>
      </c>
      <c r="C8" s="290">
        <f>CLog!X15</f>
        <v>21</v>
      </c>
      <c r="N8" s="38">
        <f t="shared" si="3"/>
        <v>5</v>
      </c>
      <c r="O8" s="150">
        <f t="shared" si="0"/>
        <v>1.25</v>
      </c>
      <c r="P8" s="5">
        <f t="shared" si="1"/>
        <v>0.95</v>
      </c>
      <c r="Q8" s="224">
        <f t="shared" si="2"/>
        <v>12.004494395542608</v>
      </c>
    </row>
    <row r="9" spans="2:17" x14ac:dyDescent="0.2">
      <c r="B9" s="10" t="str">
        <f>CLog!W16</f>
        <v>WinP</v>
      </c>
      <c r="C9" s="291">
        <f>CLog!X16</f>
        <v>0.80952380952380953</v>
      </c>
      <c r="N9" s="38">
        <f t="shared" si="3"/>
        <v>6</v>
      </c>
      <c r="O9" s="150">
        <f t="shared" si="0"/>
        <v>1.3</v>
      </c>
      <c r="P9" s="5">
        <f t="shared" si="1"/>
        <v>0.94</v>
      </c>
      <c r="Q9" s="224">
        <f t="shared" si="2"/>
        <v>14.187128781965308</v>
      </c>
    </row>
    <row r="10" spans="2:17" x14ac:dyDescent="0.2">
      <c r="B10" s="485" t="str">
        <f>CLog!W17</f>
        <v>CAR</v>
      </c>
      <c r="C10" s="289">
        <f>CLog!X17</f>
        <v>26.520000000000437</v>
      </c>
      <c r="N10" s="38">
        <f t="shared" si="3"/>
        <v>7</v>
      </c>
      <c r="O10" s="150">
        <f t="shared" si="0"/>
        <v>1.35</v>
      </c>
      <c r="P10" s="5">
        <f t="shared" si="1"/>
        <v>0.92999999999999994</v>
      </c>
      <c r="Q10" s="224">
        <f t="shared" si="2"/>
        <v>16.303675696294427</v>
      </c>
    </row>
    <row r="11" spans="2:17" x14ac:dyDescent="0.2">
      <c r="B11" s="486"/>
      <c r="C11" s="291">
        <f>CLog!X18</f>
        <v>8.0090406727595484E-4</v>
      </c>
      <c r="N11" s="38">
        <f t="shared" si="3"/>
        <v>8</v>
      </c>
      <c r="O11" s="150">
        <f t="shared" si="0"/>
        <v>1.4</v>
      </c>
      <c r="P11" s="5">
        <f t="shared" si="1"/>
        <v>0.92</v>
      </c>
      <c r="Q11" s="224">
        <f t="shared" si="2"/>
        <v>18.356455982203322</v>
      </c>
    </row>
    <row r="12" spans="2:17" x14ac:dyDescent="0.2">
      <c r="B12" s="10" t="str">
        <f>CLog!W19</f>
        <v>FL</v>
      </c>
      <c r="C12" s="292">
        <f>CLog!X19</f>
        <v>2.298043651849849</v>
      </c>
      <c r="N12" s="38">
        <f t="shared" si="3"/>
        <v>9</v>
      </c>
      <c r="O12" s="150">
        <f t="shared" si="0"/>
        <v>1.45</v>
      </c>
      <c r="P12" s="5">
        <f t="shared" si="1"/>
        <v>0.91</v>
      </c>
      <c r="Q12" s="224">
        <f t="shared" si="2"/>
        <v>20.34757904329123</v>
      </c>
    </row>
    <row r="13" spans="2:17" ht="13.5" thickBot="1" x14ac:dyDescent="0.25">
      <c r="B13" s="40" t="s">
        <v>21</v>
      </c>
      <c r="C13" s="293">
        <f>IF(C9="","",IF(C12="","",IF(C9-(1-C9)/C12&lt;0,0,100*(C9-(1-C9)/C12))))</f>
        <v>72.663757264886442</v>
      </c>
      <c r="N13" s="38">
        <f t="shared" si="3"/>
        <v>10</v>
      </c>
      <c r="O13" s="150">
        <f t="shared" si="0"/>
        <v>1.5</v>
      </c>
      <c r="P13" s="5">
        <f t="shared" si="1"/>
        <v>0.9</v>
      </c>
      <c r="Q13" s="224">
        <f t="shared" si="2"/>
        <v>22.278966440888404</v>
      </c>
    </row>
    <row r="14" spans="2:17" ht="13.5" thickBot="1" x14ac:dyDescent="0.25">
      <c r="C14" s="3"/>
      <c r="N14" s="38">
        <f t="shared" si="3"/>
        <v>11</v>
      </c>
      <c r="O14" s="150">
        <f t="shared" si="0"/>
        <v>1.55</v>
      </c>
      <c r="P14" s="5">
        <f t="shared" si="1"/>
        <v>0.89</v>
      </c>
      <c r="Q14" s="224">
        <f t="shared" si="2"/>
        <v>24.152372043762014</v>
      </c>
    </row>
    <row r="15" spans="2:17" ht="12.75" customHeight="1" thickBot="1" x14ac:dyDescent="0.25">
      <c r="B15" s="504" t="s">
        <v>226</v>
      </c>
      <c r="C15" s="488"/>
      <c r="N15" s="38">
        <f t="shared" si="3"/>
        <v>12</v>
      </c>
      <c r="O15" s="150">
        <f t="shared" si="0"/>
        <v>1.6</v>
      </c>
      <c r="P15" s="5">
        <f t="shared" si="1"/>
        <v>0.88</v>
      </c>
      <c r="Q15" s="224">
        <f t="shared" si="2"/>
        <v>25.969399321973398</v>
      </c>
    </row>
    <row r="16" spans="2:17" x14ac:dyDescent="0.2">
      <c r="B16" s="298" t="s">
        <v>223</v>
      </c>
      <c r="C16" s="375"/>
      <c r="D16" t="s">
        <v>233</v>
      </c>
      <c r="N16" s="38">
        <f t="shared" si="3"/>
        <v>13</v>
      </c>
      <c r="O16" s="150">
        <f t="shared" si="0"/>
        <v>1.65</v>
      </c>
      <c r="P16" s="5">
        <f t="shared" si="1"/>
        <v>0.87</v>
      </c>
      <c r="Q16" s="224">
        <f t="shared" si="2"/>
        <v>27.731516259577237</v>
      </c>
    </row>
    <row r="17" spans="2:17" x14ac:dyDescent="0.2">
      <c r="B17" s="299" t="s">
        <v>224</v>
      </c>
      <c r="C17" s="376">
        <f>IF(C24="","",100*((1+C23/100)^((100-DDCy!$N$18)/100)*(1-C28/100)^(DDCy!$N$18/100)-1))</f>
        <v>0.13192787072293655</v>
      </c>
      <c r="D17" t="s">
        <v>233</v>
      </c>
      <c r="N17" s="38">
        <f t="shared" si="3"/>
        <v>14</v>
      </c>
      <c r="O17" s="150">
        <f t="shared" si="0"/>
        <v>1.7</v>
      </c>
      <c r="P17" s="5">
        <f t="shared" si="1"/>
        <v>0.86</v>
      </c>
      <c r="Q17" s="224">
        <f t="shared" si="2"/>
        <v>29.440068269441234</v>
      </c>
    </row>
    <row r="18" spans="2:17" ht="13.5" thickBot="1" x14ac:dyDescent="0.25">
      <c r="B18" s="40" t="s">
        <v>225</v>
      </c>
      <c r="C18" s="379">
        <f>IF(C24="","",100*((1+C23/100)^(C26/100)*(1-C24/100)^((100-C26)/100)-1))</f>
        <v>0.13135501751757594</v>
      </c>
      <c r="N18" s="38">
        <f t="shared" si="3"/>
        <v>15</v>
      </c>
      <c r="O18" s="150">
        <f t="shared" si="0"/>
        <v>1.75</v>
      </c>
      <c r="P18" s="5">
        <f t="shared" si="1"/>
        <v>0.85</v>
      </c>
      <c r="Q18" s="224">
        <f t="shared" si="2"/>
        <v>31.09628942178615</v>
      </c>
    </row>
    <row r="19" spans="2:17" ht="13.5" thickBot="1" x14ac:dyDescent="0.25">
      <c r="B19" s="41" t="s">
        <v>203</v>
      </c>
      <c r="C19" s="377">
        <v>30</v>
      </c>
      <c r="I19" s="26"/>
      <c r="N19" s="38">
        <f t="shared" si="3"/>
        <v>16</v>
      </c>
      <c r="O19" s="150">
        <f t="shared" si="0"/>
        <v>1.8</v>
      </c>
      <c r="P19" s="5">
        <f t="shared" si="1"/>
        <v>0.84</v>
      </c>
      <c r="Q19" s="224">
        <f t="shared" si="2"/>
        <v>32.70131224139574</v>
      </c>
    </row>
    <row r="20" spans="2:17" ht="13.5" thickBot="1" x14ac:dyDescent="0.25">
      <c r="B20" s="40" t="s">
        <v>221</v>
      </c>
      <c r="C20" s="385">
        <f>IF(C19="","",100*((1+C23/100)^(C26/100)*(1-C19/100)^((100-C26)/100)-1))</f>
        <v>0.13135501751757594</v>
      </c>
      <c r="D20" t="s">
        <v>233</v>
      </c>
      <c r="E20" s="498" t="str">
        <f>IF(L26="CLog","Perfil de risco de Clog (não analisa drawdown)",IF(L26="CyHS","Perfil de risco de Cycle HS",IF(L26="Sim","Perfil de risco de operações hipotéticas","Gráfico de perfil de risco")))</f>
        <v>Perfil de risco de operações hipotéticas</v>
      </c>
      <c r="F20" s="499" t="str">
        <f>IF(B26="x",IF(C27="",#REF!,""),IF(C27="x",IF(B26="",#REF!,""),""))</f>
        <v/>
      </c>
      <c r="G20" s="499" t="e">
        <f>IF(#REF!="x",IF(G28="",#REF!,""),IF(G28="x",IF(#REF!="",#REF!,""),""))</f>
        <v>#REF!</v>
      </c>
      <c r="H20" s="499" t="str">
        <f>IF(C26="x",IF(H23="",#REF!,""),IF(H23="x",IF(C26="",#REF!,""),""))</f>
        <v/>
      </c>
      <c r="I20" s="499" t="e">
        <f>IF(#REF!="x",IF(I23="",#REF!,""),IF(I23="x",IF(#REF!="",#REF!,""),""))</f>
        <v>#REF!</v>
      </c>
      <c r="J20" s="499"/>
      <c r="K20" s="499" t="e">
        <f>IF(#REF!="x",IF(K23="",#REF!,""),IF(K23="x",IF(#REF!="",#REF!,""),""))</f>
        <v>#REF!</v>
      </c>
      <c r="L20" s="500" t="e">
        <f>IF(#REF!="x",IF(L23="",#REF!,""),IF(L23="x",IF(#REF!="",#REF!,""),""))</f>
        <v>#REF!</v>
      </c>
      <c r="N20" s="38">
        <f t="shared" si="3"/>
        <v>17</v>
      </c>
      <c r="O20" s="150">
        <f t="shared" si="0"/>
        <v>1.85</v>
      </c>
      <c r="P20" s="5">
        <f t="shared" si="1"/>
        <v>0.83</v>
      </c>
      <c r="Q20" s="224">
        <f t="shared" si="2"/>
        <v>34.256176283334774</v>
      </c>
    </row>
    <row r="21" spans="2:17" ht="13.5" thickBot="1" x14ac:dyDescent="0.25">
      <c r="E21" s="501"/>
      <c r="F21" s="502"/>
      <c r="G21" s="502"/>
      <c r="H21" s="502"/>
      <c r="I21" s="502"/>
      <c r="J21" s="502"/>
      <c r="K21" s="502"/>
      <c r="L21" s="503"/>
      <c r="N21" s="38">
        <f t="shared" si="3"/>
        <v>18</v>
      </c>
      <c r="O21" s="150">
        <f t="shared" si="0"/>
        <v>1.9</v>
      </c>
      <c r="P21" s="5">
        <f t="shared" si="1"/>
        <v>0.82000000000000006</v>
      </c>
      <c r="Q21" s="224">
        <f t="shared" si="2"/>
        <v>35.761835660842969</v>
      </c>
    </row>
    <row r="22" spans="2:17" ht="13.5" thickBot="1" x14ac:dyDescent="0.25">
      <c r="B22" s="487" t="s">
        <v>192</v>
      </c>
      <c r="C22" s="488"/>
      <c r="N22" s="38">
        <f t="shared" si="3"/>
        <v>19</v>
      </c>
      <c r="O22" s="150">
        <f t="shared" si="0"/>
        <v>1.95</v>
      </c>
      <c r="P22" s="5">
        <f t="shared" si="1"/>
        <v>0.81</v>
      </c>
      <c r="Q22" s="224">
        <f t="shared" si="2"/>
        <v>37.219165669873846</v>
      </c>
    </row>
    <row r="23" spans="2:17" ht="13.5" thickBot="1" x14ac:dyDescent="0.25">
      <c r="B23" s="298" t="s">
        <v>180</v>
      </c>
      <c r="C23" s="325">
        <f>Cy!$Q$2</f>
        <v>0.13198198235753189</v>
      </c>
      <c r="E23" s="487" t="s">
        <v>169</v>
      </c>
      <c r="F23" s="488"/>
      <c r="N23" s="38">
        <f t="shared" si="3"/>
        <v>20</v>
      </c>
      <c r="O23" s="150">
        <f t="shared" si="0"/>
        <v>2</v>
      </c>
      <c r="P23" s="5">
        <f t="shared" si="1"/>
        <v>0.8</v>
      </c>
      <c r="Q23" s="224">
        <f t="shared" si="2"/>
        <v>38.628968631029267</v>
      </c>
    </row>
    <row r="24" spans="2:17" ht="13.5" thickBot="1" x14ac:dyDescent="0.25">
      <c r="B24" s="299" t="s">
        <v>201</v>
      </c>
      <c r="C24" s="300">
        <f>DDCy!$M$19</f>
        <v>30</v>
      </c>
      <c r="E24" s="298" t="s">
        <v>170</v>
      </c>
      <c r="F24" s="294">
        <v>5</v>
      </c>
      <c r="H24" s="493" t="s">
        <v>181</v>
      </c>
      <c r="I24" s="494"/>
      <c r="N24" s="38">
        <f t="shared" si="3"/>
        <v>21</v>
      </c>
      <c r="O24" s="150">
        <f t="shared" si="0"/>
        <v>2.0499999999999998</v>
      </c>
      <c r="P24" s="5">
        <f t="shared" si="1"/>
        <v>0.79</v>
      </c>
      <c r="Q24" s="224">
        <f t="shared" si="2"/>
        <v>39.9919790502558</v>
      </c>
    </row>
    <row r="25" spans="2:17" ht="13.5" thickBot="1" x14ac:dyDescent="0.25">
      <c r="B25" s="299" t="s">
        <v>193</v>
      </c>
      <c r="C25" s="301">
        <f>DDCy!$N$19</f>
        <v>1.7490253926804528E-3</v>
      </c>
      <c r="E25" s="299" t="s">
        <v>171</v>
      </c>
      <c r="F25" s="295">
        <v>1</v>
      </c>
      <c r="H25" s="491" t="s">
        <v>16</v>
      </c>
      <c r="I25" s="152">
        <f>IF(L27="","",IF(L28="","",IF(L27&lt;0,0,IF(L28/100-(1-L28/100)/L27&lt;0,0,L28/100-(1-L28/100)/L27))))</f>
        <v>0.52</v>
      </c>
      <c r="K25" s="496" t="s">
        <v>167</v>
      </c>
      <c r="L25" s="497"/>
      <c r="N25" s="38">
        <f t="shared" si="3"/>
        <v>22</v>
      </c>
      <c r="O25" s="150">
        <f t="shared" si="0"/>
        <v>2.1</v>
      </c>
      <c r="P25" s="5">
        <f t="shared" si="1"/>
        <v>0.78</v>
      </c>
      <c r="Q25" s="224">
        <f t="shared" si="2"/>
        <v>41.308868183735761</v>
      </c>
    </row>
    <row r="26" spans="2:17" x14ac:dyDescent="0.2">
      <c r="B26" s="299" t="s">
        <v>20</v>
      </c>
      <c r="C26" s="301">
        <f>IF(C25="","",100-C25)</f>
        <v>99.998250974607316</v>
      </c>
      <c r="E26" s="299" t="s">
        <v>20</v>
      </c>
      <c r="F26" s="296">
        <v>60</v>
      </c>
      <c r="H26" s="492"/>
      <c r="I26" s="153">
        <f>IF(I25="","",IF(C5="",IF(C3="","",C3*I25),C5*I25))</f>
        <v>17702.126000000004</v>
      </c>
      <c r="K26" s="41" t="s">
        <v>168</v>
      </c>
      <c r="L26" s="42" t="s">
        <v>234</v>
      </c>
      <c r="N26" s="38">
        <f t="shared" si="3"/>
        <v>23</v>
      </c>
      <c r="O26" s="150">
        <f t="shared" si="0"/>
        <v>2.15</v>
      </c>
      <c r="P26" s="5">
        <f t="shared" si="1"/>
        <v>0.77</v>
      </c>
      <c r="Q26" s="224">
        <f t="shared" si="2"/>
        <v>42.580248079233996</v>
      </c>
    </row>
    <row r="27" spans="2:17" x14ac:dyDescent="0.2">
      <c r="B27" s="299" t="s">
        <v>32</v>
      </c>
      <c r="C27" s="297">
        <f>IF(C23="","",IF(C24="","",IF(C26="","",C23/C24)))</f>
        <v>4.39939941191773E-3</v>
      </c>
      <c r="E27" s="299" t="s">
        <v>32</v>
      </c>
      <c r="F27" s="297">
        <f>IF(F24="","",IF(F25="","",IF(F26="","",F24/F25)))</f>
        <v>5</v>
      </c>
      <c r="H27" s="489" t="s">
        <v>14</v>
      </c>
      <c r="I27" s="154">
        <f>IF(L27="","",IF(MAX(Q4:Q103)&lt;0,0,MAX(Q4:Q103)/100))</f>
        <v>0.60797019838948607</v>
      </c>
      <c r="K27" s="41" t="s">
        <v>32</v>
      </c>
      <c r="L27" s="227">
        <f>IF(L26="CLog",C12,IF(L26="CyHS",C27,IF(L26="Sim",F27,"")))</f>
        <v>5</v>
      </c>
      <c r="N27" s="38">
        <f t="shared" si="3"/>
        <v>24</v>
      </c>
      <c r="O27" s="150">
        <f t="shared" si="0"/>
        <v>2.2000000000000002</v>
      </c>
      <c r="P27" s="5">
        <f t="shared" si="1"/>
        <v>0.76</v>
      </c>
      <c r="Q27" s="224">
        <f t="shared" si="2"/>
        <v>43.806675155213256</v>
      </c>
    </row>
    <row r="28" spans="2:17" ht="13.5" thickBot="1" x14ac:dyDescent="0.25">
      <c r="B28" s="40" t="s">
        <v>21</v>
      </c>
      <c r="C28" s="293">
        <f>IF(C26="","",IF(C27="","",IF(C23&lt;0,0,IF(100*((C26/100)-(1-C26/100)/C27)&lt;0,0,100*((C26/100)-(1-C26/100)/C27)))))</f>
        <v>99.600690937674713</v>
      </c>
      <c r="E28" s="40" t="s">
        <v>21</v>
      </c>
      <c r="F28" s="293">
        <f>IF(F26="","",IF(F27="","",IF(100*((F26/100)-(1-F26/100)/F27)&lt;0,0,100*((F26/100)-(1-F26/100)/F27))))</f>
        <v>52</v>
      </c>
      <c r="H28" s="490"/>
      <c r="I28" s="155">
        <f>IF(I27="","",IF(C5="",IF(C3="","",C3*I27),C5*I27))</f>
        <v>20696.855877184</v>
      </c>
      <c r="K28" s="40" t="s">
        <v>10</v>
      </c>
      <c r="L28" s="228">
        <f>IF(L26="CLog",100*C9,IF(L26="CyHS",C26,IF(L26="Sim",F26,"")))</f>
        <v>60</v>
      </c>
      <c r="N28" s="38">
        <f t="shared" si="3"/>
        <v>25</v>
      </c>
      <c r="O28" s="150">
        <f t="shared" si="0"/>
        <v>2.25</v>
      </c>
      <c r="P28" s="5">
        <f t="shared" si="1"/>
        <v>0.75</v>
      </c>
      <c r="Q28" s="224">
        <f t="shared" si="2"/>
        <v>44.988653369882201</v>
      </c>
    </row>
    <row r="29" spans="2:17" x14ac:dyDescent="0.2">
      <c r="I29" s="340"/>
      <c r="L29" s="342"/>
      <c r="N29" s="38">
        <f t="shared" si="3"/>
        <v>26</v>
      </c>
      <c r="O29" s="150">
        <f t="shared" si="0"/>
        <v>2.2999999999999998</v>
      </c>
      <c r="P29" s="5">
        <f t="shared" si="1"/>
        <v>0.74</v>
      </c>
      <c r="Q29" s="224">
        <f t="shared" si="2"/>
        <v>46.126637024654535</v>
      </c>
    </row>
    <row r="30" spans="2:17" x14ac:dyDescent="0.2">
      <c r="L30" s="342"/>
      <c r="N30" s="38">
        <f t="shared" si="3"/>
        <v>27</v>
      </c>
      <c r="O30" s="150">
        <f t="shared" si="0"/>
        <v>2.35</v>
      </c>
      <c r="P30" s="5">
        <f t="shared" si="1"/>
        <v>0.73</v>
      </c>
      <c r="Q30" s="224">
        <f t="shared" si="2"/>
        <v>47.221033240003088</v>
      </c>
    </row>
    <row r="31" spans="2:17" x14ac:dyDescent="0.2">
      <c r="N31" s="38">
        <f t="shared" si="3"/>
        <v>28</v>
      </c>
      <c r="O31" s="150">
        <f t="shared" si="0"/>
        <v>2.4</v>
      </c>
      <c r="P31" s="5">
        <f t="shared" si="1"/>
        <v>0.72</v>
      </c>
      <c r="Q31" s="224">
        <f t="shared" si="2"/>
        <v>48.272204136178857</v>
      </c>
    </row>
    <row r="32" spans="2:17" x14ac:dyDescent="0.2">
      <c r="H32" s="26"/>
      <c r="I32" s="26"/>
      <c r="N32" s="38">
        <f t="shared" si="3"/>
        <v>29</v>
      </c>
      <c r="O32" s="150">
        <f t="shared" si="0"/>
        <v>2.4500000000000002</v>
      </c>
      <c r="P32" s="5">
        <f t="shared" si="1"/>
        <v>0.71</v>
      </c>
      <c r="Q32" s="224">
        <f t="shared" si="2"/>
        <v>49.280468746553318</v>
      </c>
    </row>
    <row r="33" spans="8:17" x14ac:dyDescent="0.2">
      <c r="H33" s="26"/>
      <c r="I33" s="26"/>
      <c r="N33" s="38">
        <f t="shared" si="3"/>
        <v>30</v>
      </c>
      <c r="O33" s="150">
        <f t="shared" si="0"/>
        <v>2.5</v>
      </c>
      <c r="P33" s="5">
        <f t="shared" si="1"/>
        <v>0.7</v>
      </c>
      <c r="Q33" s="224">
        <f t="shared" si="2"/>
        <v>50.246104687291535</v>
      </c>
    </row>
    <row r="34" spans="8:17" x14ac:dyDescent="0.2">
      <c r="H34" s="26"/>
      <c r="I34" s="26"/>
      <c r="N34" s="38">
        <f t="shared" si="3"/>
        <v>31</v>
      </c>
      <c r="O34" s="150">
        <f t="shared" si="0"/>
        <v>2.5499999999999998</v>
      </c>
      <c r="P34" s="5">
        <f t="shared" si="1"/>
        <v>0.69</v>
      </c>
      <c r="Q34" s="224">
        <f t="shared" si="2"/>
        <v>51.169349603561386</v>
      </c>
    </row>
    <row r="35" spans="8:17" x14ac:dyDescent="0.2">
      <c r="H35" s="26"/>
      <c r="I35" s="26"/>
      <c r="N35" s="38">
        <f t="shared" si="3"/>
        <v>32</v>
      </c>
      <c r="O35" s="150">
        <f t="shared" si="0"/>
        <v>2.6</v>
      </c>
      <c r="P35" s="5">
        <f t="shared" si="1"/>
        <v>0.67999999999999994</v>
      </c>
      <c r="Q35" s="224">
        <f t="shared" si="2"/>
        <v>52.05040240943093</v>
      </c>
    </row>
    <row r="36" spans="8:17" x14ac:dyDescent="0.2">
      <c r="N36" s="38">
        <f t="shared" si="3"/>
        <v>33</v>
      </c>
      <c r="O36" s="150">
        <f t="shared" ref="O36:O67" si="4">IF(L$27="","",1+L$27*N36/100)</f>
        <v>2.65</v>
      </c>
      <c r="P36" s="5">
        <f t="shared" ref="P36:P67" si="5">IF(O36="","",1-N36/100)</f>
        <v>0.66999999999999993</v>
      </c>
      <c r="Q36" s="224">
        <f t="shared" ref="Q36:Q67" si="6">IF(O36="","",100*(O36^(L$28/100)*P36^((100-L$28)/100)-1))</f>
        <v>52.889424335924829</v>
      </c>
    </row>
    <row r="37" spans="8:17" x14ac:dyDescent="0.2">
      <c r="N37" s="38">
        <f t="shared" ref="N37:N68" si="7">N36+1</f>
        <v>34</v>
      </c>
      <c r="O37" s="150">
        <f t="shared" si="4"/>
        <v>2.7</v>
      </c>
      <c r="P37" s="5">
        <f t="shared" si="5"/>
        <v>0.65999999999999992</v>
      </c>
      <c r="Q37" s="224">
        <f t="shared" si="6"/>
        <v>53.686539799336977</v>
      </c>
    </row>
    <row r="38" spans="8:17" x14ac:dyDescent="0.2">
      <c r="N38" s="38">
        <f t="shared" si="7"/>
        <v>35</v>
      </c>
      <c r="O38" s="150">
        <f t="shared" si="4"/>
        <v>2.75</v>
      </c>
      <c r="P38" s="5">
        <f t="shared" si="5"/>
        <v>0.65</v>
      </c>
      <c r="Q38" s="224">
        <f t="shared" si="6"/>
        <v>54.441837099770574</v>
      </c>
    </row>
    <row r="39" spans="8:17" x14ac:dyDescent="0.2">
      <c r="N39" s="38">
        <f t="shared" si="7"/>
        <v>36</v>
      </c>
      <c r="O39" s="150">
        <f t="shared" si="4"/>
        <v>2.8</v>
      </c>
      <c r="P39" s="5">
        <f t="shared" si="5"/>
        <v>0.64</v>
      </c>
      <c r="Q39" s="224">
        <f t="shared" si="6"/>
        <v>55.155368957956298</v>
      </c>
    </row>
    <row r="40" spans="8:17" x14ac:dyDescent="0.2">
      <c r="N40" s="38">
        <f t="shared" si="7"/>
        <v>37</v>
      </c>
      <c r="O40" s="150">
        <f t="shared" si="4"/>
        <v>2.85</v>
      </c>
      <c r="P40" s="5">
        <f t="shared" si="5"/>
        <v>0.63</v>
      </c>
      <c r="Q40" s="224">
        <f t="shared" si="6"/>
        <v>55.827152896638886</v>
      </c>
    </row>
    <row r="41" spans="8:17" x14ac:dyDescent="0.2">
      <c r="N41" s="38">
        <f t="shared" si="7"/>
        <v>38</v>
      </c>
      <c r="O41" s="150">
        <f t="shared" si="4"/>
        <v>2.9</v>
      </c>
      <c r="P41" s="5">
        <f t="shared" si="5"/>
        <v>0.62</v>
      </c>
      <c r="Q41" s="224">
        <f t="shared" si="6"/>
        <v>56.457171471189049</v>
      </c>
    </row>
    <row r="42" spans="8:17" x14ac:dyDescent="0.2">
      <c r="N42" s="38">
        <f t="shared" si="7"/>
        <v>39</v>
      </c>
      <c r="O42" s="150">
        <f t="shared" si="4"/>
        <v>2.95</v>
      </c>
      <c r="P42" s="5">
        <f t="shared" si="5"/>
        <v>0.61</v>
      </c>
      <c r="Q42" s="224">
        <f t="shared" si="6"/>
        <v>57.045372352559134</v>
      </c>
    </row>
    <row r="43" spans="8:17" x14ac:dyDescent="0.2">
      <c r="N43" s="38">
        <f t="shared" si="7"/>
        <v>40</v>
      </c>
      <c r="O43" s="150">
        <f t="shared" si="4"/>
        <v>3</v>
      </c>
      <c r="P43" s="5">
        <f t="shared" si="5"/>
        <v>0.6</v>
      </c>
      <c r="Q43" s="224">
        <f t="shared" si="6"/>
        <v>57.591668264226037</v>
      </c>
    </row>
    <row r="44" spans="8:17" x14ac:dyDescent="0.2">
      <c r="N44" s="38">
        <f t="shared" si="7"/>
        <v>41</v>
      </c>
      <c r="O44" s="150">
        <f t="shared" si="4"/>
        <v>3.05</v>
      </c>
      <c r="P44" s="5">
        <f t="shared" si="5"/>
        <v>0.59000000000000008</v>
      </c>
      <c r="Q44" s="224">
        <f t="shared" si="6"/>
        <v>58.095936773331957</v>
      </c>
    </row>
    <row r="45" spans="8:17" x14ac:dyDescent="0.2">
      <c r="N45" s="38">
        <f t="shared" si="7"/>
        <v>42</v>
      </c>
      <c r="O45" s="150">
        <f t="shared" si="4"/>
        <v>3.1</v>
      </c>
      <c r="P45" s="5">
        <f t="shared" si="5"/>
        <v>0.58000000000000007</v>
      </c>
      <c r="Q45" s="224">
        <f t="shared" si="6"/>
        <v>58.558019934809067</v>
      </c>
    </row>
    <row r="46" spans="8:17" x14ac:dyDescent="0.2">
      <c r="N46" s="38">
        <f t="shared" si="7"/>
        <v>43</v>
      </c>
      <c r="O46" s="150">
        <f t="shared" si="4"/>
        <v>3.15</v>
      </c>
      <c r="P46" s="5">
        <f t="shared" si="5"/>
        <v>0.57000000000000006</v>
      </c>
      <c r="Q46" s="224">
        <f t="shared" si="6"/>
        <v>58.977723785842564</v>
      </c>
    </row>
    <row r="47" spans="8:17" x14ac:dyDescent="0.2">
      <c r="N47" s="38">
        <f t="shared" si="7"/>
        <v>44</v>
      </c>
      <c r="O47" s="150">
        <f t="shared" si="4"/>
        <v>3.2</v>
      </c>
      <c r="P47" s="5">
        <f t="shared" si="5"/>
        <v>0.56000000000000005</v>
      </c>
      <c r="Q47" s="224">
        <f t="shared" si="6"/>
        <v>59.354817686552863</v>
      </c>
    </row>
    <row r="48" spans="8:17" x14ac:dyDescent="0.2">
      <c r="N48" s="38">
        <f t="shared" si="7"/>
        <v>45</v>
      </c>
      <c r="O48" s="150">
        <f t="shared" si="4"/>
        <v>3.25</v>
      </c>
      <c r="P48" s="5">
        <f t="shared" si="5"/>
        <v>0.55000000000000004</v>
      </c>
      <c r="Q48" s="224">
        <f t="shared" si="6"/>
        <v>59.689033501245817</v>
      </c>
    </row>
    <row r="49" spans="14:17" x14ac:dyDescent="0.2">
      <c r="N49" s="38">
        <f t="shared" si="7"/>
        <v>46</v>
      </c>
      <c r="O49" s="150">
        <f t="shared" si="4"/>
        <v>3.3</v>
      </c>
      <c r="P49" s="5">
        <f t="shared" si="5"/>
        <v>0.54</v>
      </c>
      <c r="Q49" s="224">
        <f t="shared" si="6"/>
        <v>59.980064612951352</v>
      </c>
    </row>
    <row r="50" spans="14:17" x14ac:dyDescent="0.2">
      <c r="N50" s="38">
        <f t="shared" si="7"/>
        <v>47</v>
      </c>
      <c r="O50" s="150">
        <f t="shared" si="4"/>
        <v>3.35</v>
      </c>
      <c r="P50" s="5">
        <f t="shared" si="5"/>
        <v>0.53</v>
      </c>
      <c r="Q50" s="224">
        <f t="shared" si="6"/>
        <v>60.227564762226123</v>
      </c>
    </row>
    <row r="51" spans="14:17" x14ac:dyDescent="0.2">
      <c r="N51" s="38">
        <f t="shared" si="7"/>
        <v>48</v>
      </c>
      <c r="O51" s="150">
        <f t="shared" si="4"/>
        <v>3.4</v>
      </c>
      <c r="P51" s="5">
        <f t="shared" si="5"/>
        <v>0.52</v>
      </c>
      <c r="Q51" s="224">
        <f t="shared" si="6"/>
        <v>60.431146699295169</v>
      </c>
    </row>
    <row r="52" spans="14:17" x14ac:dyDescent="0.2">
      <c r="N52" s="38">
        <f t="shared" si="7"/>
        <v>49</v>
      </c>
      <c r="O52" s="150">
        <f t="shared" si="4"/>
        <v>3.45</v>
      </c>
      <c r="P52" s="5">
        <f t="shared" si="5"/>
        <v>0.51</v>
      </c>
      <c r="Q52" s="224">
        <f t="shared" si="6"/>
        <v>60.590380636513295</v>
      </c>
    </row>
    <row r="53" spans="14:17" x14ac:dyDescent="0.2">
      <c r="N53" s="38">
        <f t="shared" si="7"/>
        <v>50</v>
      </c>
      <c r="O53" s="150">
        <f t="shared" si="4"/>
        <v>3.5</v>
      </c>
      <c r="P53" s="5">
        <f t="shared" si="5"/>
        <v>0.5</v>
      </c>
      <c r="Q53" s="224">
        <f t="shared" si="6"/>
        <v>60.70479248580196</v>
      </c>
    </row>
    <row r="54" spans="14:17" x14ac:dyDescent="0.2">
      <c r="N54" s="38">
        <f t="shared" si="7"/>
        <v>51</v>
      </c>
      <c r="O54" s="150">
        <f t="shared" si="4"/>
        <v>3.55</v>
      </c>
      <c r="P54" s="5">
        <f t="shared" si="5"/>
        <v>0.49</v>
      </c>
      <c r="Q54" s="224">
        <f t="shared" si="6"/>
        <v>60.773861863104337</v>
      </c>
    </row>
    <row r="55" spans="14:17" x14ac:dyDescent="0.2">
      <c r="N55" s="38">
        <f t="shared" si="7"/>
        <v>52</v>
      </c>
      <c r="O55" s="150">
        <f t="shared" si="4"/>
        <v>3.6</v>
      </c>
      <c r="P55" s="5">
        <f t="shared" si="5"/>
        <v>0.48</v>
      </c>
      <c r="Q55" s="224">
        <f t="shared" si="6"/>
        <v>60.797019838948607</v>
      </c>
    </row>
    <row r="56" spans="14:17" x14ac:dyDescent="0.2">
      <c r="N56" s="38">
        <f t="shared" si="7"/>
        <v>53</v>
      </c>
      <c r="O56" s="150">
        <f t="shared" si="4"/>
        <v>3.65</v>
      </c>
      <c r="P56" s="5">
        <f t="shared" si="5"/>
        <v>0.47</v>
      </c>
      <c r="Q56" s="224">
        <f t="shared" si="6"/>
        <v>60.773646410842439</v>
      </c>
    </row>
    <row r="57" spans="14:17" x14ac:dyDescent="0.2">
      <c r="N57" s="38">
        <f t="shared" si="7"/>
        <v>54</v>
      </c>
      <c r="O57" s="150">
        <f t="shared" si="4"/>
        <v>3.7</v>
      </c>
      <c r="P57" s="5">
        <f t="shared" si="5"/>
        <v>0.45999999999999996</v>
      </c>
      <c r="Q57" s="224">
        <f t="shared" si="6"/>
        <v>60.703067669365552</v>
      </c>
    </row>
    <row r="58" spans="14:17" x14ac:dyDescent="0.2">
      <c r="N58" s="38">
        <f t="shared" si="7"/>
        <v>55</v>
      </c>
      <c r="O58" s="150">
        <f t="shared" si="4"/>
        <v>3.75</v>
      </c>
      <c r="P58" s="5">
        <f t="shared" si="5"/>
        <v>0.44999999999999996</v>
      </c>
      <c r="Q58" s="224">
        <f t="shared" si="6"/>
        <v>60.584552625374279</v>
      </c>
    </row>
    <row r="59" spans="14:17" x14ac:dyDescent="0.2">
      <c r="N59" s="38">
        <f t="shared" si="7"/>
        <v>56</v>
      </c>
      <c r="O59" s="150">
        <f t="shared" si="4"/>
        <v>3.8</v>
      </c>
      <c r="P59" s="5">
        <f t="shared" si="5"/>
        <v>0.43999999999999995</v>
      </c>
      <c r="Q59" s="224">
        <f t="shared" si="6"/>
        <v>60.417309660574617</v>
      </c>
    </row>
    <row r="60" spans="14:17" x14ac:dyDescent="0.2">
      <c r="N60" s="38">
        <f t="shared" si="7"/>
        <v>57</v>
      </c>
      <c r="O60" s="150">
        <f t="shared" si="4"/>
        <v>3.85</v>
      </c>
      <c r="P60" s="5">
        <f t="shared" si="5"/>
        <v>0.43000000000000005</v>
      </c>
      <c r="Q60" s="224">
        <f t="shared" si="6"/>
        <v>60.200482557703829</v>
      </c>
    </row>
    <row r="61" spans="14:17" x14ac:dyDescent="0.2">
      <c r="N61" s="38">
        <f t="shared" si="7"/>
        <v>58</v>
      </c>
      <c r="O61" s="150">
        <f t="shared" si="4"/>
        <v>3.9</v>
      </c>
      <c r="P61" s="5">
        <f t="shared" si="5"/>
        <v>0.42000000000000004</v>
      </c>
      <c r="Q61" s="224">
        <f t="shared" si="6"/>
        <v>59.933146059518762</v>
      </c>
    </row>
    <row r="62" spans="14:17" x14ac:dyDescent="0.2">
      <c r="N62" s="38">
        <f t="shared" si="7"/>
        <v>59</v>
      </c>
      <c r="O62" s="150">
        <f t="shared" si="4"/>
        <v>3.95</v>
      </c>
      <c r="P62" s="5">
        <f t="shared" si="5"/>
        <v>0.41000000000000003</v>
      </c>
      <c r="Q62" s="224">
        <f t="shared" si="6"/>
        <v>59.614300897502368</v>
      </c>
    </row>
    <row r="63" spans="14:17" x14ac:dyDescent="0.2">
      <c r="N63" s="38">
        <f t="shared" si="7"/>
        <v>60</v>
      </c>
      <c r="O63" s="150">
        <f t="shared" si="4"/>
        <v>4</v>
      </c>
      <c r="P63" s="5">
        <f t="shared" si="5"/>
        <v>0.4</v>
      </c>
      <c r="Q63" s="224">
        <f t="shared" si="6"/>
        <v>59.242868221398901</v>
      </c>
    </row>
    <row r="64" spans="14:17" x14ac:dyDescent="0.2">
      <c r="N64" s="38">
        <f t="shared" si="7"/>
        <v>61</v>
      </c>
      <c r="O64" s="150">
        <f t="shared" si="4"/>
        <v>4.05</v>
      </c>
      <c r="P64" s="5">
        <f t="shared" si="5"/>
        <v>0.39</v>
      </c>
      <c r="Q64" s="224">
        <f t="shared" si="6"/>
        <v>58.817683349057504</v>
      </c>
    </row>
    <row r="65" spans="14:17" x14ac:dyDescent="0.2">
      <c r="N65" s="38">
        <f t="shared" si="7"/>
        <v>62</v>
      </c>
      <c r="O65" s="150">
        <f t="shared" si="4"/>
        <v>4.0999999999999996</v>
      </c>
      <c r="P65" s="5">
        <f t="shared" si="5"/>
        <v>0.38</v>
      </c>
      <c r="Q65" s="224">
        <f t="shared" si="6"/>
        <v>58.337488742174948</v>
      </c>
    </row>
    <row r="66" spans="14:17" x14ac:dyDescent="0.2">
      <c r="N66" s="38">
        <f t="shared" si="7"/>
        <v>63</v>
      </c>
      <c r="O66" s="150">
        <f t="shared" si="4"/>
        <v>4.1500000000000004</v>
      </c>
      <c r="P66" s="5">
        <f t="shared" si="5"/>
        <v>0.37</v>
      </c>
      <c r="Q66" s="224">
        <f t="shared" si="6"/>
        <v>57.800926096885583</v>
      </c>
    </row>
    <row r="67" spans="14:17" x14ac:dyDescent="0.2">
      <c r="N67" s="38">
        <f t="shared" si="7"/>
        <v>64</v>
      </c>
      <c r="O67" s="150">
        <f t="shared" si="4"/>
        <v>4.2</v>
      </c>
      <c r="P67" s="5">
        <f t="shared" si="5"/>
        <v>0.36</v>
      </c>
      <c r="Q67" s="224">
        <f t="shared" si="6"/>
        <v>57.206527418090488</v>
      </c>
    </row>
    <row r="68" spans="14:17" x14ac:dyDescent="0.2">
      <c r="N68" s="38">
        <f t="shared" si="7"/>
        <v>65</v>
      </c>
      <c r="O68" s="150">
        <f t="shared" ref="O68:O99" si="8">IF(L$27="","",1+L$27*N68/100)</f>
        <v>4.25</v>
      </c>
      <c r="P68" s="5">
        <f t="shared" ref="P68:P99" si="9">IF(O68="","",1-N68/100)</f>
        <v>0.35</v>
      </c>
      <c r="Q68" s="224">
        <f t="shared" ref="Q68:Q99" si="10">IF(O68="","",100*(O68^(L$28/100)*P68^((100-L$28)/100)-1))</f>
        <v>56.552704922133998</v>
      </c>
    </row>
    <row r="69" spans="14:17" x14ac:dyDescent="0.2">
      <c r="N69" s="38">
        <f t="shared" ref="N69:N103" si="11">N68+1</f>
        <v>66</v>
      </c>
      <c r="O69" s="150">
        <f t="shared" si="8"/>
        <v>4.3</v>
      </c>
      <c r="P69" s="5">
        <f t="shared" si="9"/>
        <v>0.33999999999999997</v>
      </c>
      <c r="Q69" s="224">
        <f t="shared" si="10"/>
        <v>55.837739582876658</v>
      </c>
    </row>
    <row r="70" spans="14:17" x14ac:dyDescent="0.2">
      <c r="N70" s="38">
        <f t="shared" si="11"/>
        <v>67</v>
      </c>
      <c r="O70" s="150">
        <f t="shared" si="8"/>
        <v>4.3499999999999996</v>
      </c>
      <c r="P70" s="5">
        <f t="shared" si="9"/>
        <v>0.32999999999999996</v>
      </c>
      <c r="Q70" s="224">
        <f t="shared" si="10"/>
        <v>55.0597681000337</v>
      </c>
    </row>
    <row r="71" spans="14:17" x14ac:dyDescent="0.2">
      <c r="N71" s="38">
        <f t="shared" si="11"/>
        <v>68</v>
      </c>
      <c r="O71" s="150">
        <f t="shared" si="8"/>
        <v>4.4000000000000004</v>
      </c>
      <c r="P71" s="5">
        <f t="shared" si="9"/>
        <v>0.31999999999999995</v>
      </c>
      <c r="Q71" s="224">
        <f t="shared" si="10"/>
        <v>54.21676802411519</v>
      </c>
    </row>
    <row r="72" spans="14:17" x14ac:dyDescent="0.2">
      <c r="N72" s="38">
        <f t="shared" si="11"/>
        <v>69</v>
      </c>
      <c r="O72" s="150">
        <f t="shared" si="8"/>
        <v>4.45</v>
      </c>
      <c r="P72" s="5">
        <f t="shared" si="9"/>
        <v>0.31000000000000005</v>
      </c>
      <c r="Q72" s="224">
        <f t="shared" si="10"/>
        <v>53.30654071714762</v>
      </c>
    </row>
    <row r="73" spans="14:17" x14ac:dyDescent="0.2">
      <c r="N73" s="38">
        <f t="shared" si="11"/>
        <v>70</v>
      </c>
      <c r="O73" s="150">
        <f t="shared" si="8"/>
        <v>4.5</v>
      </c>
      <c r="P73" s="5">
        <f t="shared" si="9"/>
        <v>0.30000000000000004</v>
      </c>
      <c r="Q73" s="224">
        <f t="shared" si="10"/>
        <v>52.326691759622257</v>
      </c>
    </row>
    <row r="74" spans="14:17" x14ac:dyDescent="0.2">
      <c r="N74" s="38">
        <f t="shared" si="11"/>
        <v>71</v>
      </c>
      <c r="O74" s="150">
        <f t="shared" si="8"/>
        <v>4.55</v>
      </c>
      <c r="P74" s="5">
        <f t="shared" si="9"/>
        <v>0.29000000000000004</v>
      </c>
      <c r="Q74" s="224">
        <f t="shared" si="10"/>
        <v>51.274608327865636</v>
      </c>
    </row>
    <row r="75" spans="14:17" x14ac:dyDescent="0.2">
      <c r="N75" s="38">
        <f t="shared" si="11"/>
        <v>72</v>
      </c>
      <c r="O75" s="150">
        <f t="shared" si="8"/>
        <v>4.5999999999999996</v>
      </c>
      <c r="P75" s="5">
        <f t="shared" si="9"/>
        <v>0.28000000000000003</v>
      </c>
      <c r="Q75" s="224">
        <f t="shared" si="10"/>
        <v>50.147432957037587</v>
      </c>
    </row>
    <row r="76" spans="14:17" x14ac:dyDescent="0.2">
      <c r="N76" s="38">
        <f t="shared" si="11"/>
        <v>73</v>
      </c>
      <c r="O76" s="150">
        <f t="shared" si="8"/>
        <v>4.6500000000000004</v>
      </c>
      <c r="P76" s="5">
        <f t="shared" si="9"/>
        <v>0.27</v>
      </c>
      <c r="Q76" s="224">
        <f t="shared" si="10"/>
        <v>48.942032966181358</v>
      </c>
    </row>
    <row r="77" spans="14:17" x14ac:dyDescent="0.2">
      <c r="N77" s="38">
        <f t="shared" si="11"/>
        <v>74</v>
      </c>
      <c r="O77" s="150">
        <f t="shared" si="8"/>
        <v>4.7</v>
      </c>
      <c r="P77" s="5">
        <f t="shared" si="9"/>
        <v>0.26</v>
      </c>
      <c r="Q77" s="224">
        <f t="shared" si="10"/>
        <v>47.654964643606633</v>
      </c>
    </row>
    <row r="78" spans="14:17" x14ac:dyDescent="0.2">
      <c r="N78" s="38">
        <f t="shared" si="11"/>
        <v>75</v>
      </c>
      <c r="O78" s="150">
        <f t="shared" si="8"/>
        <v>4.75</v>
      </c>
      <c r="P78" s="5">
        <f t="shared" si="9"/>
        <v>0.25</v>
      </c>
      <c r="Q78" s="224">
        <f t="shared" si="10"/>
        <v>46.282431060230444</v>
      </c>
    </row>
    <row r="79" spans="14:17" x14ac:dyDescent="0.2">
      <c r="N79" s="38">
        <f t="shared" si="11"/>
        <v>76</v>
      </c>
      <c r="O79" s="150">
        <f t="shared" si="8"/>
        <v>4.8</v>
      </c>
      <c r="P79" s="5">
        <f t="shared" si="9"/>
        <v>0.24</v>
      </c>
      <c r="Q79" s="224">
        <f t="shared" si="10"/>
        <v>44.82023207708388</v>
      </c>
    </row>
    <row r="80" spans="14:17" x14ac:dyDescent="0.2">
      <c r="N80" s="38">
        <f t="shared" si="11"/>
        <v>77</v>
      </c>
      <c r="O80" s="150">
        <f t="shared" si="8"/>
        <v>4.8499999999999996</v>
      </c>
      <c r="P80" s="5">
        <f t="shared" si="9"/>
        <v>0.22999999999999998</v>
      </c>
      <c r="Q80" s="224">
        <f t="shared" si="10"/>
        <v>43.263704715377486</v>
      </c>
    </row>
    <row r="81" spans="14:17" x14ac:dyDescent="0.2">
      <c r="N81" s="38">
        <f t="shared" si="11"/>
        <v>78</v>
      </c>
      <c r="O81" s="150">
        <f t="shared" si="8"/>
        <v>4.9000000000000004</v>
      </c>
      <c r="P81" s="5">
        <f t="shared" si="9"/>
        <v>0.21999999999999997</v>
      </c>
      <c r="Q81" s="224">
        <f t="shared" si="10"/>
        <v>41.607651526828128</v>
      </c>
    </row>
    <row r="82" spans="14:17" x14ac:dyDescent="0.2">
      <c r="N82" s="38">
        <f t="shared" si="11"/>
        <v>79</v>
      </c>
      <c r="O82" s="150">
        <f t="shared" si="8"/>
        <v>4.95</v>
      </c>
      <c r="P82" s="5">
        <f t="shared" si="9"/>
        <v>0.20999999999999996</v>
      </c>
      <c r="Q82" s="224">
        <f t="shared" si="10"/>
        <v>39.846253885792478</v>
      </c>
    </row>
    <row r="83" spans="14:17" x14ac:dyDescent="0.2">
      <c r="N83" s="38">
        <f t="shared" si="11"/>
        <v>80</v>
      </c>
      <c r="O83" s="150">
        <f t="shared" si="8"/>
        <v>5</v>
      </c>
      <c r="P83" s="5">
        <f t="shared" si="9"/>
        <v>0.19999999999999996</v>
      </c>
      <c r="Q83" s="224">
        <f t="shared" si="10"/>
        <v>37.972966146121465</v>
      </c>
    </row>
    <row r="84" spans="14:17" x14ac:dyDescent="0.2">
      <c r="N84" s="38">
        <f t="shared" si="11"/>
        <v>81</v>
      </c>
      <c r="O84" s="150">
        <f t="shared" si="8"/>
        <v>5.05</v>
      </c>
      <c r="P84" s="5">
        <f t="shared" si="9"/>
        <v>0.18999999999999995</v>
      </c>
      <c r="Q84" s="224">
        <f t="shared" si="10"/>
        <v>35.980385250036086</v>
      </c>
    </row>
    <row r="85" spans="14:17" x14ac:dyDescent="0.2">
      <c r="N85" s="38">
        <f t="shared" si="11"/>
        <v>82</v>
      </c>
      <c r="O85" s="150">
        <f t="shared" si="8"/>
        <v>5.0999999999999996</v>
      </c>
      <c r="P85" s="5">
        <f t="shared" si="9"/>
        <v>0.18000000000000005</v>
      </c>
      <c r="Q85" s="224">
        <f t="shared" si="10"/>
        <v>33.860088470377868</v>
      </c>
    </row>
    <row r="86" spans="14:17" x14ac:dyDescent="0.2">
      <c r="N86" s="38">
        <f t="shared" si="11"/>
        <v>83</v>
      </c>
      <c r="O86" s="150">
        <f t="shared" si="8"/>
        <v>5.15</v>
      </c>
      <c r="P86" s="5">
        <f t="shared" si="9"/>
        <v>0.17000000000000004</v>
      </c>
      <c r="Q86" s="224">
        <f t="shared" si="10"/>
        <v>31.602429243864471</v>
      </c>
    </row>
    <row r="87" spans="14:17" x14ac:dyDescent="0.2">
      <c r="N87" s="38">
        <f t="shared" si="11"/>
        <v>84</v>
      </c>
      <c r="O87" s="150">
        <f t="shared" si="8"/>
        <v>5.2</v>
      </c>
      <c r="P87" s="5">
        <f t="shared" si="9"/>
        <v>0.16000000000000003</v>
      </c>
      <c r="Q87" s="224">
        <f t="shared" si="10"/>
        <v>29.196277090095201</v>
      </c>
    </row>
    <row r="88" spans="14:17" x14ac:dyDescent="0.2">
      <c r="N88" s="38">
        <f t="shared" si="11"/>
        <v>85</v>
      </c>
      <c r="O88" s="150">
        <f t="shared" si="8"/>
        <v>5.25</v>
      </c>
      <c r="P88" s="5">
        <f t="shared" si="9"/>
        <v>0.15000000000000002</v>
      </c>
      <c r="Q88" s="224">
        <f t="shared" si="10"/>
        <v>26.628681729468905</v>
      </c>
    </row>
    <row r="89" spans="14:17" x14ac:dyDescent="0.2">
      <c r="N89" s="38">
        <f t="shared" si="11"/>
        <v>86</v>
      </c>
      <c r="O89" s="150">
        <f t="shared" si="8"/>
        <v>5.3</v>
      </c>
      <c r="P89" s="5">
        <f t="shared" si="9"/>
        <v>0.14000000000000001</v>
      </c>
      <c r="Q89" s="224">
        <f t="shared" si="10"/>
        <v>23.884432588551174</v>
      </c>
    </row>
    <row r="90" spans="14:17" x14ac:dyDescent="0.2">
      <c r="N90" s="38">
        <f t="shared" si="11"/>
        <v>87</v>
      </c>
      <c r="O90" s="150">
        <f t="shared" si="8"/>
        <v>5.35</v>
      </c>
      <c r="P90" s="5">
        <f t="shared" si="9"/>
        <v>0.13</v>
      </c>
      <c r="Q90" s="224">
        <f t="shared" si="10"/>
        <v>20.945470999101623</v>
      </c>
    </row>
    <row r="91" spans="14:17" x14ac:dyDescent="0.2">
      <c r="N91" s="38">
        <f t="shared" si="11"/>
        <v>88</v>
      </c>
      <c r="O91" s="150">
        <f t="shared" si="8"/>
        <v>5.4</v>
      </c>
      <c r="P91" s="5">
        <f t="shared" si="9"/>
        <v>0.12</v>
      </c>
      <c r="Q91" s="224">
        <f t="shared" si="10"/>
        <v>17.790090189422724</v>
      </c>
    </row>
    <row r="92" spans="14:17" x14ac:dyDescent="0.2">
      <c r="N92" s="38">
        <f t="shared" si="11"/>
        <v>89</v>
      </c>
      <c r="O92" s="150">
        <f t="shared" si="8"/>
        <v>5.45</v>
      </c>
      <c r="P92" s="5">
        <f t="shared" si="9"/>
        <v>0.10999999999999999</v>
      </c>
      <c r="Q92" s="224">
        <f t="shared" si="10"/>
        <v>14.391821489907407</v>
      </c>
    </row>
    <row r="93" spans="14:17" x14ac:dyDescent="0.2">
      <c r="N93" s="38">
        <f t="shared" si="11"/>
        <v>90</v>
      </c>
      <c r="O93" s="150">
        <f t="shared" si="8"/>
        <v>5.5</v>
      </c>
      <c r="P93" s="5">
        <f t="shared" si="9"/>
        <v>9.9999999999999978E-2</v>
      </c>
      <c r="Q93" s="224">
        <f t="shared" si="10"/>
        <v>10.717842338912774</v>
      </c>
    </row>
    <row r="94" spans="14:17" x14ac:dyDescent="0.2">
      <c r="N94" s="38">
        <f t="shared" si="11"/>
        <v>91</v>
      </c>
      <c r="O94" s="150">
        <f t="shared" si="8"/>
        <v>5.55</v>
      </c>
      <c r="P94" s="5">
        <f t="shared" si="9"/>
        <v>8.9999999999999969E-2</v>
      </c>
      <c r="Q94" s="224">
        <f t="shared" si="10"/>
        <v>6.7266293337395533</v>
      </c>
    </row>
    <row r="95" spans="14:17" x14ac:dyDescent="0.2">
      <c r="N95" s="38">
        <f t="shared" si="11"/>
        <v>92</v>
      </c>
      <c r="O95" s="150">
        <f t="shared" si="8"/>
        <v>5.6</v>
      </c>
      <c r="P95" s="5">
        <f t="shared" si="9"/>
        <v>7.999999999999996E-2</v>
      </c>
      <c r="Q95" s="224">
        <f t="shared" si="10"/>
        <v>2.3643683694552164</v>
      </c>
    </row>
    <row r="96" spans="14:17" x14ac:dyDescent="0.2">
      <c r="N96" s="38">
        <f t="shared" si="11"/>
        <v>93</v>
      </c>
      <c r="O96" s="150">
        <f t="shared" si="8"/>
        <v>5.65</v>
      </c>
      <c r="P96" s="5">
        <f t="shared" si="9"/>
        <v>6.9999999999999951E-2</v>
      </c>
      <c r="Q96" s="224">
        <f t="shared" si="10"/>
        <v>-2.4407877975001768</v>
      </c>
    </row>
    <row r="97" spans="14:17" x14ac:dyDescent="0.2">
      <c r="N97" s="38">
        <f t="shared" si="11"/>
        <v>94</v>
      </c>
      <c r="O97" s="150">
        <f t="shared" si="8"/>
        <v>5.7</v>
      </c>
      <c r="P97" s="5">
        <f t="shared" si="9"/>
        <v>6.0000000000000053E-2</v>
      </c>
      <c r="Q97" s="224">
        <f t="shared" si="10"/>
        <v>-7.7884306058866093</v>
      </c>
    </row>
    <row r="98" spans="14:17" x14ac:dyDescent="0.2">
      <c r="N98" s="38">
        <f t="shared" si="11"/>
        <v>95</v>
      </c>
      <c r="O98" s="150">
        <f t="shared" si="8"/>
        <v>5.75</v>
      </c>
      <c r="P98" s="5">
        <f t="shared" si="9"/>
        <v>5.0000000000000044E-2</v>
      </c>
      <c r="Q98" s="224">
        <f t="shared" si="10"/>
        <v>-13.823528372726434</v>
      </c>
    </row>
    <row r="99" spans="14:17" x14ac:dyDescent="0.2">
      <c r="N99" s="38">
        <f t="shared" si="11"/>
        <v>96</v>
      </c>
      <c r="O99" s="150">
        <f t="shared" si="8"/>
        <v>5.8</v>
      </c>
      <c r="P99" s="5">
        <f t="shared" si="9"/>
        <v>4.0000000000000036E-2</v>
      </c>
      <c r="Q99" s="224">
        <f t="shared" si="10"/>
        <v>-20.771616941421765</v>
      </c>
    </row>
    <row r="100" spans="14:17" x14ac:dyDescent="0.2">
      <c r="N100" s="38">
        <f t="shared" si="11"/>
        <v>97</v>
      </c>
      <c r="O100" s="150">
        <f t="shared" ref="O100:O131" si="12">IF(L$27="","",1+L$27*N100/100)</f>
        <v>5.85</v>
      </c>
      <c r="P100" s="5">
        <f t="shared" ref="P100:P131" si="13">IF(O100="","",1-N100/100)</f>
        <v>3.0000000000000027E-2</v>
      </c>
      <c r="Q100" s="224">
        <f t="shared" ref="Q100:Q131" si="14">IF(O100="","",100*(O100^(L$28/100)*P100^((100-L$28)/100)-1))</f>
        <v>-29.019015032949248</v>
      </c>
    </row>
    <row r="101" spans="14:17" x14ac:dyDescent="0.2">
      <c r="N101" s="38">
        <f t="shared" si="11"/>
        <v>98</v>
      </c>
      <c r="O101" s="150">
        <f t="shared" si="12"/>
        <v>5.9</v>
      </c>
      <c r="P101" s="5">
        <f t="shared" si="13"/>
        <v>2.0000000000000018E-2</v>
      </c>
      <c r="Q101" s="224">
        <f t="shared" si="14"/>
        <v>-39.337094795439974</v>
      </c>
    </row>
    <row r="102" spans="14:17" x14ac:dyDescent="0.2">
      <c r="N102" s="38">
        <f t="shared" si="11"/>
        <v>99</v>
      </c>
      <c r="O102" s="150">
        <f t="shared" si="12"/>
        <v>5.95</v>
      </c>
      <c r="P102" s="5">
        <f t="shared" si="13"/>
        <v>1.0000000000000009E-2</v>
      </c>
      <c r="Q102" s="224">
        <f t="shared" si="14"/>
        <v>-53.792743940176656</v>
      </c>
    </row>
    <row r="103" spans="14:17" ht="13.5" thickBot="1" x14ac:dyDescent="0.25">
      <c r="N103" s="39">
        <f t="shared" si="11"/>
        <v>100</v>
      </c>
      <c r="O103" s="151">
        <f t="shared" si="12"/>
        <v>6</v>
      </c>
      <c r="P103" s="34">
        <f t="shared" si="13"/>
        <v>0</v>
      </c>
      <c r="Q103" s="225">
        <f t="shared" si="14"/>
        <v>-100</v>
      </c>
    </row>
  </sheetData>
  <mergeCells count="11">
    <mergeCell ref="N2:Q2"/>
    <mergeCell ref="B10:B11"/>
    <mergeCell ref="E23:F23"/>
    <mergeCell ref="B22:C22"/>
    <mergeCell ref="H27:H28"/>
    <mergeCell ref="H25:H26"/>
    <mergeCell ref="H24:I24"/>
    <mergeCell ref="B2:C2"/>
    <mergeCell ref="K25:L25"/>
    <mergeCell ref="E20:L21"/>
    <mergeCell ref="B15:C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B24" sqref="B24"/>
    </sheetView>
  </sheetViews>
  <sheetFormatPr defaultRowHeight="12.75" x14ac:dyDescent="0.2"/>
  <cols>
    <col min="4" max="4" width="9.140625" bestFit="1" customWidth="1"/>
    <col min="15" max="25" width="9.140625" style="119"/>
  </cols>
  <sheetData>
    <row r="1" spans="1:2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  <c r="P1" s="271"/>
      <c r="Q1" s="271"/>
      <c r="R1" s="271"/>
      <c r="S1" s="271"/>
      <c r="T1" s="271"/>
      <c r="U1" s="271"/>
      <c r="V1" s="271"/>
      <c r="W1" s="271"/>
      <c r="X1" s="271"/>
      <c r="Y1" s="271"/>
    </row>
    <row r="2" spans="1:25" x14ac:dyDescent="0.2">
      <c r="A2" s="390">
        <f>IF(Cy!C3="","",Cy!C3)</f>
        <v>42737</v>
      </c>
      <c r="B2" s="137"/>
      <c r="C2" s="130">
        <v>33112.58</v>
      </c>
      <c r="D2" s="282">
        <f>IF(Cy!D3="","",Cy!D3)</f>
        <v>33112.58</v>
      </c>
      <c r="E2" s="135"/>
      <c r="F2" s="135"/>
      <c r="G2" s="136"/>
      <c r="H2" s="135"/>
      <c r="I2" s="282">
        <f>D2</f>
        <v>33112.58</v>
      </c>
      <c r="J2" s="135"/>
      <c r="K2" s="135"/>
      <c r="L2" s="136"/>
      <c r="M2" s="135"/>
      <c r="N2" s="135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</row>
    <row r="3" spans="1:25" x14ac:dyDescent="0.2">
      <c r="A3" s="390">
        <f>IF(Cy!C4="","",Cy!C4)</f>
        <v>42737</v>
      </c>
      <c r="B3" s="130">
        <v>0</v>
      </c>
      <c r="C3" s="22">
        <f>IF(B3="","",C2+B3)</f>
        <v>33112.58</v>
      </c>
      <c r="D3" s="282">
        <f>IF(Cy!D4="","",Cy!D4)</f>
        <v>33089.15</v>
      </c>
      <c r="E3" s="22">
        <f>IF(B3="","",IF(D3="","",D3-D2-B3))</f>
        <v>-23.430000000000291</v>
      </c>
      <c r="F3" s="22">
        <f>IF(E3="","",F2+E3)</f>
        <v>-23.430000000000291</v>
      </c>
      <c r="G3" s="125">
        <f t="shared" ref="G3:G66" si="0">IF(E3="","",100*E3/(D2+0.5*B3))</f>
        <v>-7.0758605943723768E-2</v>
      </c>
      <c r="H3" s="22">
        <f>IF(F3="","",100*F3/C3)</f>
        <v>-7.0758605943723768E-2</v>
      </c>
      <c r="I3" s="282">
        <f t="shared" ref="I3:I66" si="1">D3</f>
        <v>33089.15</v>
      </c>
      <c r="J3" s="22">
        <f>IF(B3="","",IF(I3="","",I3-I2-B3))</f>
        <v>-23.430000000000291</v>
      </c>
      <c r="K3" s="22">
        <f>IF(J3="","",K2+J3)</f>
        <v>-23.430000000000291</v>
      </c>
      <c r="L3" s="125">
        <f>IF(J3="","",100*J3/(I2+0.5*B3))</f>
        <v>-7.0758605943723768E-2</v>
      </c>
      <c r="M3" s="22">
        <f>IF(K3="","",100*K3/C3)</f>
        <v>-7.0758605943723768E-2</v>
      </c>
      <c r="N3" s="22">
        <f>IF(D3="","",IF(I3="","",I3-D3))</f>
        <v>0</v>
      </c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</row>
    <row r="4" spans="1:25" x14ac:dyDescent="0.2">
      <c r="A4" s="390">
        <f>IF(Cy!C5="","",Cy!C5)</f>
        <v>42738</v>
      </c>
      <c r="B4" s="126">
        <v>0</v>
      </c>
      <c r="C4" s="22">
        <f t="shared" ref="C4:C67" si="2">IF(B4="","",C3+B4)</f>
        <v>33112.58</v>
      </c>
      <c r="D4" s="282">
        <f>IF(Cy!D5="","",Cy!D5)</f>
        <v>33103.339999999997</v>
      </c>
      <c r="E4" s="22">
        <f t="shared" ref="E4:E67" si="3">IF(B4="","",IF(D4="","",D4-D3-B4))</f>
        <v>14.189999999995052</v>
      </c>
      <c r="F4" s="22">
        <f t="shared" ref="F4:F67" si="4">IF(E4="","",F3+E4)</f>
        <v>-9.2400000000052387</v>
      </c>
      <c r="G4" s="125">
        <f t="shared" si="0"/>
        <v>4.288414782487629E-2</v>
      </c>
      <c r="H4" s="22">
        <f t="shared" ref="H4:H67" si="5">IF(F4="","",100*F4/C4)</f>
        <v>-2.7904802344019215E-2</v>
      </c>
      <c r="I4" s="282">
        <f t="shared" si="1"/>
        <v>33103.339999999997</v>
      </c>
      <c r="J4" s="22">
        <f t="shared" ref="J4:J67" si="6">IF(B4="","",IF(I4="","",I4-I3-B4))</f>
        <v>14.189999999995052</v>
      </c>
      <c r="K4" s="22">
        <f t="shared" ref="K4:K67" si="7">IF(J4="","",K3+J4)</f>
        <v>-9.2400000000052387</v>
      </c>
      <c r="L4" s="125">
        <f t="shared" ref="L4:L67" si="8">IF(J4="","",100*J4/(I3+0.5*B4))</f>
        <v>4.288414782487629E-2</v>
      </c>
      <c r="M4" s="22">
        <f t="shared" ref="M4:M67" si="9">IF(K4="","",100*K4/C4)</f>
        <v>-2.7904802344019215E-2</v>
      </c>
      <c r="N4" s="22">
        <f t="shared" ref="N4:N67" si="10">IF(D4="","",IF(I4="","",I4-D4))</f>
        <v>0</v>
      </c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</row>
    <row r="5" spans="1:25" x14ac:dyDescent="0.2">
      <c r="A5" s="390" t="str">
        <f>IF(Cy!C6="","",Cy!C6)</f>
        <v/>
      </c>
      <c r="B5" s="126">
        <v>0</v>
      </c>
      <c r="C5" s="22">
        <f t="shared" si="2"/>
        <v>33112.58</v>
      </c>
      <c r="D5" s="282">
        <f>IF(Cy!D6="","",Cy!D6)</f>
        <v>33130.730000000003</v>
      </c>
      <c r="E5" s="22">
        <f t="shared" si="3"/>
        <v>27.390000000006694</v>
      </c>
      <c r="F5" s="22">
        <f t="shared" si="4"/>
        <v>18.150000000001455</v>
      </c>
      <c r="G5" s="125">
        <f t="shared" si="0"/>
        <v>8.2740895631699687E-2</v>
      </c>
      <c r="H5" s="22">
        <f t="shared" si="5"/>
        <v>5.4813004604296778E-2</v>
      </c>
      <c r="I5" s="282">
        <f t="shared" si="1"/>
        <v>33130.730000000003</v>
      </c>
      <c r="J5" s="22">
        <f t="shared" si="6"/>
        <v>27.390000000006694</v>
      </c>
      <c r="K5" s="22">
        <f t="shared" si="7"/>
        <v>18.150000000001455</v>
      </c>
      <c r="L5" s="125">
        <f t="shared" si="8"/>
        <v>8.2740895631699687E-2</v>
      </c>
      <c r="M5" s="22">
        <f t="shared" si="9"/>
        <v>5.4813004604296778E-2</v>
      </c>
      <c r="N5" s="22">
        <f t="shared" si="10"/>
        <v>0</v>
      </c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</row>
    <row r="6" spans="1:25" x14ac:dyDescent="0.2">
      <c r="A6" s="390">
        <f>IF(Cy!C7="","",Cy!C7)</f>
        <v>42740</v>
      </c>
      <c r="B6" s="126">
        <v>0</v>
      </c>
      <c r="C6" s="22">
        <f t="shared" si="2"/>
        <v>33112.58</v>
      </c>
      <c r="D6" s="282">
        <f>IF(Cy!D7="","",Cy!D7)</f>
        <v>33084.86</v>
      </c>
      <c r="E6" s="22">
        <f t="shared" si="3"/>
        <v>-45.870000000002619</v>
      </c>
      <c r="F6" s="22">
        <f t="shared" si="4"/>
        <v>-27.720000000001164</v>
      </c>
      <c r="G6" s="125">
        <f t="shared" si="0"/>
        <v>-0.13845152219707388</v>
      </c>
      <c r="H6" s="22">
        <f t="shared" si="5"/>
        <v>-8.3714407032013702E-2</v>
      </c>
      <c r="I6" s="282">
        <f t="shared" si="1"/>
        <v>33084.86</v>
      </c>
      <c r="J6" s="22">
        <f t="shared" si="6"/>
        <v>-45.870000000002619</v>
      </c>
      <c r="K6" s="22">
        <f t="shared" si="7"/>
        <v>-27.720000000001164</v>
      </c>
      <c r="L6" s="125">
        <f t="shared" si="8"/>
        <v>-0.13845152219707388</v>
      </c>
      <c r="M6" s="22">
        <f t="shared" si="9"/>
        <v>-8.3714407032013702E-2</v>
      </c>
      <c r="N6" s="22">
        <f t="shared" si="10"/>
        <v>0</v>
      </c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25" x14ac:dyDescent="0.2">
      <c r="A7" s="390">
        <f>IF(Cy!C8="","",Cy!C8)</f>
        <v>42741</v>
      </c>
      <c r="B7" s="126">
        <v>0</v>
      </c>
      <c r="C7" s="22">
        <f t="shared" si="2"/>
        <v>33112.58</v>
      </c>
      <c r="D7" s="282">
        <f>IF(Cy!D8="","",Cy!D8)</f>
        <v>33149.65</v>
      </c>
      <c r="E7" s="22">
        <f t="shared" si="3"/>
        <v>64.790000000000873</v>
      </c>
      <c r="F7" s="22">
        <f t="shared" si="4"/>
        <v>37.069999999999709</v>
      </c>
      <c r="G7" s="125">
        <f t="shared" si="0"/>
        <v>0.195829754153413</v>
      </c>
      <c r="H7" s="22">
        <f t="shared" si="5"/>
        <v>0.1119514094039175</v>
      </c>
      <c r="I7" s="282">
        <f t="shared" si="1"/>
        <v>33149.65</v>
      </c>
      <c r="J7" s="22">
        <f t="shared" si="6"/>
        <v>64.790000000000873</v>
      </c>
      <c r="K7" s="22">
        <f t="shared" si="7"/>
        <v>37.069999999999709</v>
      </c>
      <c r="L7" s="125">
        <f t="shared" si="8"/>
        <v>0.195829754153413</v>
      </c>
      <c r="M7" s="22">
        <f t="shared" si="9"/>
        <v>0.1119514094039175</v>
      </c>
      <c r="N7" s="22">
        <f t="shared" si="10"/>
        <v>0</v>
      </c>
      <c r="O7" s="124" t="s">
        <v>204</v>
      </c>
      <c r="P7" s="124"/>
      <c r="Q7" s="124"/>
      <c r="R7" s="124"/>
      <c r="S7" s="124"/>
      <c r="T7" s="124"/>
      <c r="U7" s="124"/>
      <c r="V7" s="124"/>
      <c r="W7" s="124"/>
      <c r="X7" s="124"/>
      <c r="Y7" s="124"/>
    </row>
    <row r="8" spans="1:25" x14ac:dyDescent="0.2">
      <c r="A8" s="390">
        <f>IF(Cy!C9="","",Cy!C9)</f>
        <v>42744</v>
      </c>
      <c r="B8" s="126">
        <v>0</v>
      </c>
      <c r="C8" s="22">
        <f t="shared" si="2"/>
        <v>33112.58</v>
      </c>
      <c r="D8" s="282">
        <f>IF(Cy!D9="","",Cy!D9)</f>
        <v>33204.629999999997</v>
      </c>
      <c r="E8" s="22">
        <f t="shared" si="3"/>
        <v>54.979999999995925</v>
      </c>
      <c r="F8" s="22">
        <f t="shared" si="4"/>
        <v>92.049999999995634</v>
      </c>
      <c r="G8" s="125">
        <f t="shared" si="0"/>
        <v>0.16585393812603128</v>
      </c>
      <c r="H8" s="22">
        <f t="shared" si="5"/>
        <v>0.27799102335123277</v>
      </c>
      <c r="I8" s="282">
        <f t="shared" si="1"/>
        <v>33204.629999999997</v>
      </c>
      <c r="J8" s="22">
        <f t="shared" si="6"/>
        <v>54.979999999995925</v>
      </c>
      <c r="K8" s="22">
        <f t="shared" si="7"/>
        <v>92.049999999995634</v>
      </c>
      <c r="L8" s="125">
        <f t="shared" si="8"/>
        <v>0.16585393812603128</v>
      </c>
      <c r="M8" s="22">
        <f t="shared" si="9"/>
        <v>0.27799102335123277</v>
      </c>
      <c r="N8" s="22">
        <f t="shared" si="10"/>
        <v>0</v>
      </c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</row>
    <row r="9" spans="1:25" x14ac:dyDescent="0.2">
      <c r="A9" s="390">
        <f>IF(Cy!C10="","",Cy!C10)</f>
        <v>42745</v>
      </c>
      <c r="B9" s="126">
        <v>0</v>
      </c>
      <c r="C9" s="22">
        <f t="shared" si="2"/>
        <v>33112.58</v>
      </c>
      <c r="D9" s="282">
        <f>IF(Cy!D10="","",Cy!D10)</f>
        <v>33237.300000000003</v>
      </c>
      <c r="E9" s="22">
        <f t="shared" si="3"/>
        <v>32.67000000000553</v>
      </c>
      <c r="F9" s="22">
        <f t="shared" si="4"/>
        <v>124.72000000000116</v>
      </c>
      <c r="G9" s="125">
        <f t="shared" si="0"/>
        <v>9.8389893216715651E-2</v>
      </c>
      <c r="H9" s="22">
        <f t="shared" si="5"/>
        <v>0.37665443163897577</v>
      </c>
      <c r="I9" s="282">
        <f t="shared" si="1"/>
        <v>33237.300000000003</v>
      </c>
      <c r="J9" s="22">
        <f t="shared" si="6"/>
        <v>32.67000000000553</v>
      </c>
      <c r="K9" s="22">
        <f t="shared" si="7"/>
        <v>124.72000000000116</v>
      </c>
      <c r="L9" s="125">
        <f t="shared" si="8"/>
        <v>9.8389893216715651E-2</v>
      </c>
      <c r="M9" s="22">
        <f t="shared" si="9"/>
        <v>0.37665443163897577</v>
      </c>
      <c r="N9" s="22">
        <f t="shared" si="10"/>
        <v>0</v>
      </c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</row>
    <row r="10" spans="1:25" x14ac:dyDescent="0.2">
      <c r="A10" s="390">
        <f>IF(Cy!C11="","",Cy!C11)</f>
        <v>42746</v>
      </c>
      <c r="B10" s="126">
        <v>0</v>
      </c>
      <c r="C10" s="22">
        <f t="shared" si="2"/>
        <v>33112.58</v>
      </c>
      <c r="D10" s="282">
        <f>IF(Cy!D11="","",Cy!D11)</f>
        <v>33246.660000000003</v>
      </c>
      <c r="E10" s="22">
        <f t="shared" si="3"/>
        <v>9.3600000000005821</v>
      </c>
      <c r="F10" s="22">
        <f t="shared" si="4"/>
        <v>134.08000000000175</v>
      </c>
      <c r="G10" s="125">
        <f t="shared" si="0"/>
        <v>2.8161132221933134E-2</v>
      </c>
      <c r="H10" s="22">
        <f t="shared" si="5"/>
        <v>0.40492163401342252</v>
      </c>
      <c r="I10" s="282">
        <f t="shared" si="1"/>
        <v>33246.660000000003</v>
      </c>
      <c r="J10" s="22">
        <f t="shared" si="6"/>
        <v>9.3600000000005821</v>
      </c>
      <c r="K10" s="22">
        <f t="shared" si="7"/>
        <v>134.08000000000175</v>
      </c>
      <c r="L10" s="125">
        <f t="shared" si="8"/>
        <v>2.8161132221933134E-2</v>
      </c>
      <c r="M10" s="22">
        <f t="shared" si="9"/>
        <v>0.40492163401342252</v>
      </c>
      <c r="N10" s="22">
        <f t="shared" si="10"/>
        <v>0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</row>
    <row r="11" spans="1:25" x14ac:dyDescent="0.2">
      <c r="A11" s="390">
        <f>IF(Cy!C12="","",Cy!C12)</f>
        <v>42747</v>
      </c>
      <c r="B11" s="126">
        <v>0</v>
      </c>
      <c r="C11" s="22">
        <f t="shared" si="2"/>
        <v>33112.58</v>
      </c>
      <c r="D11" s="282">
        <f>IF(Cy!D12="","",Cy!D12)</f>
        <v>33272.879999999997</v>
      </c>
      <c r="E11" s="22">
        <f t="shared" si="3"/>
        <v>26.219999999993888</v>
      </c>
      <c r="F11" s="22">
        <f t="shared" si="4"/>
        <v>160.29999999999563</v>
      </c>
      <c r="G11" s="125">
        <f t="shared" si="0"/>
        <v>7.8865064941843435E-2</v>
      </c>
      <c r="H11" s="22">
        <f t="shared" si="5"/>
        <v>0.48410604066489421</v>
      </c>
      <c r="I11" s="282">
        <f t="shared" si="1"/>
        <v>33272.879999999997</v>
      </c>
      <c r="J11" s="22">
        <f t="shared" si="6"/>
        <v>26.219999999993888</v>
      </c>
      <c r="K11" s="22">
        <f t="shared" si="7"/>
        <v>160.29999999999563</v>
      </c>
      <c r="L11" s="125">
        <f t="shared" si="8"/>
        <v>7.8865064941843435E-2</v>
      </c>
      <c r="M11" s="22">
        <f t="shared" si="9"/>
        <v>0.48410604066489421</v>
      </c>
      <c r="N11" s="22">
        <f t="shared" si="10"/>
        <v>0</v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</row>
    <row r="12" spans="1:25" x14ac:dyDescent="0.2">
      <c r="A12" s="390">
        <f>IF(Cy!C13="","",Cy!C13)</f>
        <v>42748</v>
      </c>
      <c r="B12" s="126">
        <v>0</v>
      </c>
      <c r="C12" s="22">
        <f t="shared" si="2"/>
        <v>33112.58</v>
      </c>
      <c r="D12" s="282">
        <f>IF(Cy!D13="","",Cy!D13)</f>
        <v>33293.94</v>
      </c>
      <c r="E12" s="22">
        <f t="shared" si="3"/>
        <v>21.060000000004948</v>
      </c>
      <c r="F12" s="22">
        <f t="shared" si="4"/>
        <v>181.36000000000058</v>
      </c>
      <c r="G12" s="125">
        <f t="shared" si="0"/>
        <v>6.3294791433759115E-2</v>
      </c>
      <c r="H12" s="22">
        <f t="shared" si="5"/>
        <v>0.54770724600741039</v>
      </c>
      <c r="I12" s="282">
        <f t="shared" si="1"/>
        <v>33293.94</v>
      </c>
      <c r="J12" s="22">
        <f t="shared" si="6"/>
        <v>21.060000000004948</v>
      </c>
      <c r="K12" s="22">
        <f t="shared" si="7"/>
        <v>181.36000000000058</v>
      </c>
      <c r="L12" s="125">
        <f t="shared" si="8"/>
        <v>6.3294791433759115E-2</v>
      </c>
      <c r="M12" s="22">
        <f t="shared" si="9"/>
        <v>0.54770724600741039</v>
      </c>
      <c r="N12" s="22">
        <f t="shared" si="10"/>
        <v>0</v>
      </c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</row>
    <row r="13" spans="1:25" x14ac:dyDescent="0.2">
      <c r="A13" s="390" t="str">
        <f>IF(Cy!C14="","",Cy!C14)</f>
        <v/>
      </c>
      <c r="B13" s="130">
        <v>0</v>
      </c>
      <c r="C13" s="128">
        <f t="shared" si="2"/>
        <v>33112.58</v>
      </c>
      <c r="D13" s="282">
        <f>IF(Cy!D14="","",Cy!D14)</f>
        <v>33273.660000000003</v>
      </c>
      <c r="E13" s="128">
        <f t="shared" si="3"/>
        <v>-20.279999999998836</v>
      </c>
      <c r="F13" s="128">
        <f t="shared" si="4"/>
        <v>161.08000000000175</v>
      </c>
      <c r="G13" s="129">
        <f t="shared" si="0"/>
        <v>-6.0911985784796979E-2</v>
      </c>
      <c r="H13" s="128">
        <f t="shared" si="5"/>
        <v>0.4864616408627831</v>
      </c>
      <c r="I13" s="282">
        <f t="shared" si="1"/>
        <v>33273.660000000003</v>
      </c>
      <c r="J13" s="128">
        <f t="shared" si="6"/>
        <v>-20.279999999998836</v>
      </c>
      <c r="K13" s="128">
        <f t="shared" si="7"/>
        <v>161.08000000000175</v>
      </c>
      <c r="L13" s="129">
        <f t="shared" si="8"/>
        <v>-6.0911985784796979E-2</v>
      </c>
      <c r="M13" s="128">
        <f t="shared" si="9"/>
        <v>0.4864616408627831</v>
      </c>
      <c r="N13" s="128">
        <f t="shared" si="10"/>
        <v>0</v>
      </c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</row>
    <row r="14" spans="1:25" x14ac:dyDescent="0.2">
      <c r="A14" s="390">
        <f>IF(Cy!C15="","",Cy!C15)</f>
        <v>42751</v>
      </c>
      <c r="B14" s="126">
        <v>0</v>
      </c>
      <c r="C14" s="22">
        <f t="shared" si="2"/>
        <v>33112.58</v>
      </c>
      <c r="D14" s="282">
        <f>IF(Cy!D15="","",Cy!D15)</f>
        <v>33285.26</v>
      </c>
      <c r="E14" s="22">
        <f t="shared" si="3"/>
        <v>11.599999999998545</v>
      </c>
      <c r="F14" s="22">
        <f t="shared" si="4"/>
        <v>172.68000000000029</v>
      </c>
      <c r="G14" s="125">
        <f t="shared" si="0"/>
        <v>3.4862410687608585E-2</v>
      </c>
      <c r="H14" s="22">
        <f t="shared" si="5"/>
        <v>0.52149364380546692</v>
      </c>
      <c r="I14" s="282">
        <f t="shared" si="1"/>
        <v>33285.26</v>
      </c>
      <c r="J14" s="22">
        <f t="shared" si="6"/>
        <v>11.599999999998545</v>
      </c>
      <c r="K14" s="22">
        <f t="shared" si="7"/>
        <v>172.68000000000029</v>
      </c>
      <c r="L14" s="125">
        <f t="shared" si="8"/>
        <v>3.4862410687608585E-2</v>
      </c>
      <c r="M14" s="22">
        <f t="shared" si="9"/>
        <v>0.52149364380546692</v>
      </c>
      <c r="N14" s="22">
        <f t="shared" si="10"/>
        <v>0</v>
      </c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</row>
    <row r="15" spans="1:25" x14ac:dyDescent="0.2">
      <c r="A15" s="390">
        <f>IF(Cy!C16="","",Cy!C16)</f>
        <v>42752</v>
      </c>
      <c r="B15" s="126">
        <v>0</v>
      </c>
      <c r="C15" s="22">
        <f t="shared" si="2"/>
        <v>33112.58</v>
      </c>
      <c r="D15" s="282">
        <f>IF(Cy!D16="","",Cy!D16)</f>
        <v>33315.379999999997</v>
      </c>
      <c r="E15" s="22">
        <f t="shared" si="3"/>
        <v>30.119999999995343</v>
      </c>
      <c r="F15" s="22">
        <f t="shared" si="4"/>
        <v>202.79999999999563</v>
      </c>
      <c r="G15" s="125">
        <f t="shared" si="0"/>
        <v>9.0490505406883831E-2</v>
      </c>
      <c r="H15" s="22">
        <f t="shared" si="5"/>
        <v>0.61245605144629511</v>
      </c>
      <c r="I15" s="282">
        <f t="shared" si="1"/>
        <v>33315.379999999997</v>
      </c>
      <c r="J15" s="22">
        <f t="shared" si="6"/>
        <v>30.119999999995343</v>
      </c>
      <c r="K15" s="22">
        <f t="shared" si="7"/>
        <v>202.79999999999563</v>
      </c>
      <c r="L15" s="125">
        <f t="shared" si="8"/>
        <v>9.0490505406883831E-2</v>
      </c>
      <c r="M15" s="22">
        <f t="shared" si="9"/>
        <v>0.61245605144629511</v>
      </c>
      <c r="N15" s="22">
        <f t="shared" si="10"/>
        <v>0</v>
      </c>
      <c r="O15" s="127"/>
      <c r="P15" s="124"/>
      <c r="Q15" s="124"/>
      <c r="R15" s="124"/>
      <c r="S15" s="124"/>
      <c r="T15" s="124"/>
      <c r="U15" s="124"/>
      <c r="V15" s="124"/>
      <c r="W15" s="124"/>
      <c r="X15" s="124"/>
      <c r="Y15" s="124"/>
    </row>
    <row r="16" spans="1:25" x14ac:dyDescent="0.2">
      <c r="A16" s="390">
        <f>IF(Cy!C17="","",Cy!C17)</f>
        <v>42753</v>
      </c>
      <c r="B16" s="126">
        <v>0</v>
      </c>
      <c r="C16" s="22">
        <f t="shared" si="2"/>
        <v>33112.58</v>
      </c>
      <c r="D16" s="282">
        <f>IF(Cy!D17="","",Cy!D17)</f>
        <v>33298.879999999997</v>
      </c>
      <c r="E16" s="22">
        <f t="shared" si="3"/>
        <v>-16.5</v>
      </c>
      <c r="F16" s="22">
        <f t="shared" si="4"/>
        <v>186.29999999999563</v>
      </c>
      <c r="G16" s="125">
        <f t="shared" si="0"/>
        <v>-4.9526675067191196E-2</v>
      </c>
      <c r="H16" s="22">
        <f t="shared" si="5"/>
        <v>0.56262604726057475</v>
      </c>
      <c r="I16" s="282">
        <f t="shared" si="1"/>
        <v>33298.879999999997</v>
      </c>
      <c r="J16" s="22">
        <f t="shared" si="6"/>
        <v>-16.5</v>
      </c>
      <c r="K16" s="22">
        <f t="shared" si="7"/>
        <v>186.29999999999563</v>
      </c>
      <c r="L16" s="125">
        <f t="shared" si="8"/>
        <v>-4.9526675067191196E-2</v>
      </c>
      <c r="M16" s="22">
        <f t="shared" si="9"/>
        <v>0.56262604726057475</v>
      </c>
      <c r="N16" s="22">
        <f t="shared" si="10"/>
        <v>0</v>
      </c>
      <c r="O16" s="124" t="s">
        <v>211</v>
      </c>
      <c r="P16" s="124"/>
      <c r="Q16" s="124"/>
      <c r="R16" s="124"/>
      <c r="S16" s="124"/>
      <c r="T16" s="124"/>
      <c r="U16" s="124"/>
      <c r="V16" s="124"/>
      <c r="W16" s="124"/>
      <c r="X16" s="124"/>
      <c r="Y16" s="124"/>
    </row>
    <row r="17" spans="1:25" x14ac:dyDescent="0.2">
      <c r="A17" s="390">
        <f>IF(Cy!C18="","",Cy!C18)</f>
        <v>42754</v>
      </c>
      <c r="B17" s="126">
        <v>0</v>
      </c>
      <c r="C17" s="22">
        <f t="shared" si="2"/>
        <v>33112.58</v>
      </c>
      <c r="D17" s="282">
        <f>IF(Cy!D18="","",Cy!D18)</f>
        <v>33348.019999999997</v>
      </c>
      <c r="E17" s="22">
        <f t="shared" si="3"/>
        <v>49.139999999999418</v>
      </c>
      <c r="F17" s="22">
        <f t="shared" si="4"/>
        <v>235.43999999999505</v>
      </c>
      <c r="G17" s="125">
        <f t="shared" si="0"/>
        <v>0.14757253096800679</v>
      </c>
      <c r="H17" s="22">
        <f t="shared" si="5"/>
        <v>0.71102885972640928</v>
      </c>
      <c r="I17" s="282">
        <f t="shared" si="1"/>
        <v>33348.019999999997</v>
      </c>
      <c r="J17" s="22">
        <f t="shared" si="6"/>
        <v>49.139999999999418</v>
      </c>
      <c r="K17" s="22">
        <f t="shared" si="7"/>
        <v>235.43999999999505</v>
      </c>
      <c r="L17" s="125">
        <f t="shared" si="8"/>
        <v>0.14757253096800679</v>
      </c>
      <c r="M17" s="22">
        <f t="shared" si="9"/>
        <v>0.71102885972640928</v>
      </c>
      <c r="N17" s="22">
        <f t="shared" si="10"/>
        <v>0</v>
      </c>
      <c r="O17" s="124" t="s">
        <v>212</v>
      </c>
      <c r="P17" s="127"/>
      <c r="Q17" s="127"/>
      <c r="R17" s="127"/>
      <c r="S17" s="127"/>
      <c r="T17" s="127"/>
      <c r="U17" s="127"/>
      <c r="V17" s="127"/>
      <c r="W17" s="127"/>
      <c r="X17" s="127"/>
      <c r="Y17" s="127"/>
    </row>
    <row r="18" spans="1:25" x14ac:dyDescent="0.2">
      <c r="A18" s="390">
        <f>IF(Cy!C19="","",Cy!C19)</f>
        <v>42758</v>
      </c>
      <c r="B18" s="126">
        <v>0</v>
      </c>
      <c r="C18" s="22">
        <f t="shared" si="2"/>
        <v>33112.58</v>
      </c>
      <c r="D18" s="282">
        <f>IF(Cy!D19="","",Cy!D19)</f>
        <v>33375.71</v>
      </c>
      <c r="E18" s="22">
        <f t="shared" si="3"/>
        <v>27.690000000002328</v>
      </c>
      <c r="F18" s="22">
        <f t="shared" si="4"/>
        <v>263.12999999999738</v>
      </c>
      <c r="G18" s="125">
        <f t="shared" si="0"/>
        <v>8.3033415477147765E-2</v>
      </c>
      <c r="H18" s="22">
        <f t="shared" si="5"/>
        <v>0.79465266675081603</v>
      </c>
      <c r="I18" s="282">
        <f t="shared" si="1"/>
        <v>33375.71</v>
      </c>
      <c r="J18" s="22">
        <f t="shared" si="6"/>
        <v>27.690000000002328</v>
      </c>
      <c r="K18" s="22">
        <f t="shared" si="7"/>
        <v>263.12999999999738</v>
      </c>
      <c r="L18" s="125">
        <f t="shared" si="8"/>
        <v>8.3033415477147765E-2</v>
      </c>
      <c r="M18" s="22">
        <f t="shared" si="9"/>
        <v>0.79465266675081603</v>
      </c>
      <c r="N18" s="22">
        <f t="shared" si="10"/>
        <v>0</v>
      </c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</row>
    <row r="19" spans="1:25" x14ac:dyDescent="0.2">
      <c r="A19" s="390">
        <f>IF(Cy!C20="","",Cy!C20)</f>
        <v>42759</v>
      </c>
      <c r="B19" s="126">
        <v>0</v>
      </c>
      <c r="C19" s="22">
        <f t="shared" si="2"/>
        <v>33112.58</v>
      </c>
      <c r="D19" s="282">
        <f>IF(Cy!D20="","",Cy!D20)</f>
        <v>33465.769999999997</v>
      </c>
      <c r="E19" s="22">
        <f t="shared" si="3"/>
        <v>90.059999999997672</v>
      </c>
      <c r="F19" s="22">
        <f t="shared" si="4"/>
        <v>353.18999999999505</v>
      </c>
      <c r="G19" s="125">
        <f t="shared" si="0"/>
        <v>0.26983695627747745</v>
      </c>
      <c r="H19" s="22">
        <f t="shared" si="5"/>
        <v>1.0666338895972318</v>
      </c>
      <c r="I19" s="282">
        <f t="shared" si="1"/>
        <v>33465.769999999997</v>
      </c>
      <c r="J19" s="22">
        <f t="shared" si="6"/>
        <v>90.059999999997672</v>
      </c>
      <c r="K19" s="22">
        <f t="shared" si="7"/>
        <v>353.18999999999505</v>
      </c>
      <c r="L19" s="125">
        <f t="shared" si="8"/>
        <v>0.26983695627747745</v>
      </c>
      <c r="M19" s="22">
        <f t="shared" si="9"/>
        <v>1.0666338895972318</v>
      </c>
      <c r="N19" s="22">
        <f t="shared" si="10"/>
        <v>0</v>
      </c>
      <c r="O19" s="127" t="s">
        <v>219</v>
      </c>
      <c r="P19" s="127"/>
      <c r="Q19" s="127"/>
      <c r="R19" s="127"/>
      <c r="S19" s="127"/>
      <c r="T19" s="127"/>
      <c r="U19" s="127"/>
      <c r="V19" s="127"/>
      <c r="W19" s="127"/>
      <c r="X19" s="127"/>
      <c r="Y19" s="127"/>
    </row>
    <row r="20" spans="1:25" x14ac:dyDescent="0.2">
      <c r="A20" s="390">
        <f>IF(Cy!C21="","",Cy!C21)</f>
        <v>42760</v>
      </c>
      <c r="B20" s="126">
        <v>0</v>
      </c>
      <c r="C20" s="22">
        <f t="shared" si="2"/>
        <v>33112.58</v>
      </c>
      <c r="D20" s="282">
        <f>IF(Cy!D21="","",Cy!D21)</f>
        <v>33573.65</v>
      </c>
      <c r="E20" s="22">
        <f t="shared" si="3"/>
        <v>107.88000000000466</v>
      </c>
      <c r="F20" s="22">
        <f t="shared" si="4"/>
        <v>461.06999999999971</v>
      </c>
      <c r="G20" s="125">
        <f t="shared" si="0"/>
        <v>0.32235923452532145</v>
      </c>
      <c r="H20" s="22">
        <f t="shared" si="5"/>
        <v>1.3924315169642465</v>
      </c>
      <c r="I20" s="282">
        <f t="shared" si="1"/>
        <v>33573.65</v>
      </c>
      <c r="J20" s="22">
        <f t="shared" si="6"/>
        <v>107.88000000000466</v>
      </c>
      <c r="K20" s="22">
        <f t="shared" si="7"/>
        <v>461.06999999999971</v>
      </c>
      <c r="L20" s="125">
        <f t="shared" si="8"/>
        <v>0.32235923452532145</v>
      </c>
      <c r="M20" s="22">
        <f t="shared" si="9"/>
        <v>1.3924315169642465</v>
      </c>
      <c r="N20" s="22">
        <f t="shared" si="10"/>
        <v>0</v>
      </c>
      <c r="O20" s="378" t="s">
        <v>222</v>
      </c>
      <c r="P20" s="127"/>
      <c r="Q20" s="127"/>
      <c r="R20" s="127"/>
      <c r="S20" s="127"/>
      <c r="T20" s="127"/>
      <c r="U20" s="127"/>
      <c r="V20" s="127"/>
      <c r="W20" s="127"/>
      <c r="X20" s="127"/>
      <c r="Y20" s="127"/>
    </row>
    <row r="21" spans="1:25" x14ac:dyDescent="0.2">
      <c r="A21" s="390">
        <f>IF(Cy!C22="","",Cy!C22)</f>
        <v>42761</v>
      </c>
      <c r="B21" s="126">
        <v>0</v>
      </c>
      <c r="C21" s="22">
        <f t="shared" si="2"/>
        <v>33112.58</v>
      </c>
      <c r="D21" s="282">
        <f>IF(Cy!D22="","",Cy!D22)</f>
        <v>33714.949999999997</v>
      </c>
      <c r="E21" s="22">
        <f t="shared" si="3"/>
        <v>141.29999999999563</v>
      </c>
      <c r="F21" s="22">
        <f t="shared" si="4"/>
        <v>602.36999999999534</v>
      </c>
      <c r="G21" s="125">
        <f t="shared" si="0"/>
        <v>0.42086576824383298</v>
      </c>
      <c r="H21" s="22">
        <f t="shared" si="5"/>
        <v>1.8191575528092203</v>
      </c>
      <c r="I21" s="282">
        <f t="shared" si="1"/>
        <v>33714.949999999997</v>
      </c>
      <c r="J21" s="22">
        <f t="shared" si="6"/>
        <v>141.29999999999563</v>
      </c>
      <c r="K21" s="22">
        <f t="shared" si="7"/>
        <v>602.36999999999534</v>
      </c>
      <c r="L21" s="125">
        <f t="shared" si="8"/>
        <v>0.42086576824383298</v>
      </c>
      <c r="M21" s="22">
        <f t="shared" si="9"/>
        <v>1.8191575528092203</v>
      </c>
      <c r="N21" s="22">
        <f t="shared" si="10"/>
        <v>0</v>
      </c>
      <c r="O21" s="127" t="s">
        <v>235</v>
      </c>
      <c r="P21" s="127"/>
      <c r="Q21" s="127"/>
      <c r="R21" s="127"/>
      <c r="S21" s="127"/>
      <c r="T21" s="127"/>
      <c r="U21" s="127"/>
      <c r="V21" s="127"/>
      <c r="W21" s="127"/>
      <c r="X21" s="127"/>
      <c r="Y21" s="127"/>
    </row>
    <row r="22" spans="1:25" x14ac:dyDescent="0.2">
      <c r="A22" s="390">
        <f>IF(Cy!C23="","",Cy!C23)</f>
        <v>42762</v>
      </c>
      <c r="B22" s="126">
        <v>0</v>
      </c>
      <c r="C22" s="22">
        <f t="shared" si="2"/>
        <v>33112.58</v>
      </c>
      <c r="D22" s="282">
        <f>IF(Cy!D23="","",Cy!D23)</f>
        <v>33911.51</v>
      </c>
      <c r="E22" s="22">
        <f t="shared" si="3"/>
        <v>196.56000000000495</v>
      </c>
      <c r="F22" s="22">
        <f t="shared" si="4"/>
        <v>798.93000000000029</v>
      </c>
      <c r="G22" s="125">
        <f t="shared" si="0"/>
        <v>0.58300546196866665</v>
      </c>
      <c r="H22" s="22">
        <f t="shared" si="5"/>
        <v>2.4127688026725802</v>
      </c>
      <c r="I22" s="282">
        <f t="shared" si="1"/>
        <v>33911.51</v>
      </c>
      <c r="J22" s="22">
        <f t="shared" si="6"/>
        <v>196.56000000000495</v>
      </c>
      <c r="K22" s="22">
        <f t="shared" si="7"/>
        <v>798.93000000000029</v>
      </c>
      <c r="L22" s="125">
        <f t="shared" si="8"/>
        <v>0.58300546196866665</v>
      </c>
      <c r="M22" s="22">
        <f t="shared" si="9"/>
        <v>2.4127688026725802</v>
      </c>
      <c r="N22" s="22">
        <f t="shared" si="10"/>
        <v>0</v>
      </c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</row>
    <row r="23" spans="1:25" x14ac:dyDescent="0.2">
      <c r="A23" s="390">
        <f>IF(Cy!C24="","",Cy!C24)</f>
        <v>42765</v>
      </c>
      <c r="B23" s="130">
        <v>0</v>
      </c>
      <c r="C23" s="128">
        <f t="shared" si="2"/>
        <v>33112.58</v>
      </c>
      <c r="D23" s="282">
        <f>IF(Cy!D24="","",Cy!D24)</f>
        <v>34042.550000000003</v>
      </c>
      <c r="E23" s="128">
        <f t="shared" si="3"/>
        <v>131.04000000000087</v>
      </c>
      <c r="F23" s="128">
        <f t="shared" si="4"/>
        <v>929.97000000000116</v>
      </c>
      <c r="G23" s="129">
        <f t="shared" si="0"/>
        <v>0.38641747300548063</v>
      </c>
      <c r="H23" s="128">
        <f t="shared" si="5"/>
        <v>2.8085096359148127</v>
      </c>
      <c r="I23" s="282">
        <f t="shared" si="1"/>
        <v>34042.550000000003</v>
      </c>
      <c r="J23" s="128">
        <f t="shared" si="6"/>
        <v>131.04000000000087</v>
      </c>
      <c r="K23" s="128">
        <f t="shared" si="7"/>
        <v>929.97000000000116</v>
      </c>
      <c r="L23" s="129">
        <f t="shared" si="8"/>
        <v>0.38641747300548063</v>
      </c>
      <c r="M23" s="128">
        <f t="shared" si="9"/>
        <v>2.8085096359148127</v>
      </c>
      <c r="N23" s="128">
        <f t="shared" si="10"/>
        <v>0</v>
      </c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</row>
    <row r="24" spans="1:25" x14ac:dyDescent="0.2">
      <c r="A24" s="390" t="str">
        <f>IF(Cy!C25="","",Cy!C25)</f>
        <v/>
      </c>
      <c r="B24" s="126"/>
      <c r="C24" s="22" t="str">
        <f t="shared" si="2"/>
        <v/>
      </c>
      <c r="D24" s="282" t="str">
        <f>IF(Cy!D25="","",Cy!D25)</f>
        <v/>
      </c>
      <c r="E24" s="22" t="str">
        <f t="shared" si="3"/>
        <v/>
      </c>
      <c r="F24" s="22" t="str">
        <f t="shared" si="4"/>
        <v/>
      </c>
      <c r="G24" s="125" t="str">
        <f t="shared" si="0"/>
        <v/>
      </c>
      <c r="H24" s="22" t="str">
        <f t="shared" si="5"/>
        <v/>
      </c>
      <c r="I24" s="282" t="str">
        <f t="shared" si="1"/>
        <v/>
      </c>
      <c r="J24" s="22" t="str">
        <f t="shared" si="6"/>
        <v/>
      </c>
      <c r="K24" s="22" t="str">
        <f t="shared" si="7"/>
        <v/>
      </c>
      <c r="L24" s="125" t="str">
        <f t="shared" si="8"/>
        <v/>
      </c>
      <c r="M24" s="22" t="str">
        <f t="shared" si="9"/>
        <v/>
      </c>
      <c r="N24" s="22" t="str">
        <f t="shared" si="10"/>
        <v/>
      </c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</row>
    <row r="25" spans="1:25" x14ac:dyDescent="0.2">
      <c r="A25" s="390" t="str">
        <f>IF(Cy!C26="","",Cy!C26)</f>
        <v/>
      </c>
      <c r="B25" s="126"/>
      <c r="C25" s="22" t="str">
        <f t="shared" si="2"/>
        <v/>
      </c>
      <c r="D25" s="282" t="str">
        <f>IF(Cy!D26="","",Cy!D26)</f>
        <v/>
      </c>
      <c r="E25" s="22" t="str">
        <f t="shared" si="3"/>
        <v/>
      </c>
      <c r="F25" s="22" t="str">
        <f t="shared" si="4"/>
        <v/>
      </c>
      <c r="G25" s="125" t="str">
        <f t="shared" si="0"/>
        <v/>
      </c>
      <c r="H25" s="22" t="str">
        <f t="shared" si="5"/>
        <v/>
      </c>
      <c r="I25" s="282" t="str">
        <f t="shared" si="1"/>
        <v/>
      </c>
      <c r="J25" s="22" t="str">
        <f t="shared" si="6"/>
        <v/>
      </c>
      <c r="K25" s="22" t="str">
        <f t="shared" si="7"/>
        <v/>
      </c>
      <c r="L25" s="125" t="str">
        <f t="shared" si="8"/>
        <v/>
      </c>
      <c r="M25" s="22" t="str">
        <f t="shared" si="9"/>
        <v/>
      </c>
      <c r="N25" s="22" t="str">
        <f t="shared" si="10"/>
        <v/>
      </c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</row>
    <row r="26" spans="1:25" x14ac:dyDescent="0.2">
      <c r="A26" s="390" t="str">
        <f>IF(Cy!C27="","",Cy!C27)</f>
        <v/>
      </c>
      <c r="B26" s="126"/>
      <c r="C26" s="22" t="str">
        <f t="shared" si="2"/>
        <v/>
      </c>
      <c r="D26" s="282" t="str">
        <f>IF(Cy!D27="","",Cy!D27)</f>
        <v/>
      </c>
      <c r="E26" s="22" t="str">
        <f t="shared" si="3"/>
        <v/>
      </c>
      <c r="F26" s="22" t="str">
        <f t="shared" si="4"/>
        <v/>
      </c>
      <c r="G26" s="125" t="str">
        <f t="shared" si="0"/>
        <v/>
      </c>
      <c r="H26" s="22" t="str">
        <f t="shared" si="5"/>
        <v/>
      </c>
      <c r="I26" s="282" t="str">
        <f t="shared" si="1"/>
        <v/>
      </c>
      <c r="J26" s="22" t="str">
        <f t="shared" si="6"/>
        <v/>
      </c>
      <c r="K26" s="22" t="str">
        <f t="shared" si="7"/>
        <v/>
      </c>
      <c r="L26" s="125" t="str">
        <f t="shared" si="8"/>
        <v/>
      </c>
      <c r="M26" s="22" t="str">
        <f t="shared" si="9"/>
        <v/>
      </c>
      <c r="N26" s="22" t="str">
        <f t="shared" si="10"/>
        <v/>
      </c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</row>
    <row r="27" spans="1:25" x14ac:dyDescent="0.2">
      <c r="A27" s="390" t="str">
        <f>IF(Cy!C28="","",Cy!C28)</f>
        <v/>
      </c>
      <c r="B27" s="126"/>
      <c r="C27" s="22" t="str">
        <f t="shared" si="2"/>
        <v/>
      </c>
      <c r="D27" s="282" t="str">
        <f>IF(Cy!D28="","",Cy!D28)</f>
        <v/>
      </c>
      <c r="E27" s="22" t="str">
        <f t="shared" si="3"/>
        <v/>
      </c>
      <c r="F27" s="22" t="str">
        <f t="shared" si="4"/>
        <v/>
      </c>
      <c r="G27" s="125" t="str">
        <f t="shared" si="0"/>
        <v/>
      </c>
      <c r="H27" s="22" t="str">
        <f t="shared" si="5"/>
        <v/>
      </c>
      <c r="I27" s="282" t="str">
        <f t="shared" si="1"/>
        <v/>
      </c>
      <c r="J27" s="22" t="str">
        <f t="shared" si="6"/>
        <v/>
      </c>
      <c r="K27" s="22" t="str">
        <f t="shared" si="7"/>
        <v/>
      </c>
      <c r="L27" s="125" t="str">
        <f t="shared" si="8"/>
        <v/>
      </c>
      <c r="M27" s="22" t="str">
        <f t="shared" si="9"/>
        <v/>
      </c>
      <c r="N27" s="22" t="str">
        <f t="shared" si="10"/>
        <v/>
      </c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</row>
    <row r="28" spans="1:25" x14ac:dyDescent="0.2">
      <c r="A28" s="390" t="str">
        <f>IF(Cy!C29="","",Cy!C29)</f>
        <v/>
      </c>
      <c r="B28" s="126"/>
      <c r="C28" s="22" t="str">
        <f t="shared" si="2"/>
        <v/>
      </c>
      <c r="D28" s="282" t="str">
        <f>IF(Cy!D29="","",Cy!D29)</f>
        <v/>
      </c>
      <c r="E28" s="22" t="str">
        <f t="shared" si="3"/>
        <v/>
      </c>
      <c r="F28" s="22" t="str">
        <f t="shared" si="4"/>
        <v/>
      </c>
      <c r="G28" s="125" t="str">
        <f t="shared" si="0"/>
        <v/>
      </c>
      <c r="H28" s="22" t="str">
        <f t="shared" si="5"/>
        <v/>
      </c>
      <c r="I28" s="282" t="str">
        <f t="shared" si="1"/>
        <v/>
      </c>
      <c r="J28" s="22" t="str">
        <f t="shared" si="6"/>
        <v/>
      </c>
      <c r="K28" s="22" t="str">
        <f t="shared" si="7"/>
        <v/>
      </c>
      <c r="L28" s="125" t="str">
        <f t="shared" si="8"/>
        <v/>
      </c>
      <c r="M28" s="22" t="str">
        <f t="shared" si="9"/>
        <v/>
      </c>
      <c r="N28" s="22" t="str">
        <f t="shared" si="10"/>
        <v/>
      </c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</row>
    <row r="29" spans="1:25" x14ac:dyDescent="0.2">
      <c r="A29" s="390" t="str">
        <f>IF(Cy!C30="","",Cy!C30)</f>
        <v/>
      </c>
      <c r="B29" s="126"/>
      <c r="C29" s="22" t="str">
        <f t="shared" si="2"/>
        <v/>
      </c>
      <c r="D29" s="282" t="str">
        <f>IF(Cy!D30="","",Cy!D30)</f>
        <v/>
      </c>
      <c r="E29" s="22" t="str">
        <f t="shared" si="3"/>
        <v/>
      </c>
      <c r="F29" s="22" t="str">
        <f t="shared" si="4"/>
        <v/>
      </c>
      <c r="G29" s="125" t="str">
        <f t="shared" si="0"/>
        <v/>
      </c>
      <c r="H29" s="22" t="str">
        <f t="shared" si="5"/>
        <v/>
      </c>
      <c r="I29" s="282" t="str">
        <f t="shared" si="1"/>
        <v/>
      </c>
      <c r="J29" s="22" t="str">
        <f t="shared" si="6"/>
        <v/>
      </c>
      <c r="K29" s="22" t="str">
        <f t="shared" si="7"/>
        <v/>
      </c>
      <c r="L29" s="125" t="str">
        <f t="shared" si="8"/>
        <v/>
      </c>
      <c r="M29" s="22" t="str">
        <f t="shared" si="9"/>
        <v/>
      </c>
      <c r="N29" s="22" t="str">
        <f t="shared" si="10"/>
        <v/>
      </c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</row>
    <row r="30" spans="1:25" x14ac:dyDescent="0.2">
      <c r="A30" s="390" t="str">
        <f>IF(Cy!C31="","",Cy!C31)</f>
        <v/>
      </c>
      <c r="B30" s="126"/>
      <c r="C30" s="22" t="str">
        <f t="shared" si="2"/>
        <v/>
      </c>
      <c r="D30" s="282" t="str">
        <f>IF(Cy!D31="","",Cy!D31)</f>
        <v/>
      </c>
      <c r="E30" s="22" t="str">
        <f t="shared" si="3"/>
        <v/>
      </c>
      <c r="F30" s="22" t="str">
        <f t="shared" si="4"/>
        <v/>
      </c>
      <c r="G30" s="125" t="str">
        <f t="shared" si="0"/>
        <v/>
      </c>
      <c r="H30" s="22" t="str">
        <f t="shared" si="5"/>
        <v/>
      </c>
      <c r="I30" s="282" t="str">
        <f t="shared" si="1"/>
        <v/>
      </c>
      <c r="J30" s="22" t="str">
        <f t="shared" si="6"/>
        <v/>
      </c>
      <c r="K30" s="22" t="str">
        <f t="shared" si="7"/>
        <v/>
      </c>
      <c r="L30" s="125" t="str">
        <f t="shared" si="8"/>
        <v/>
      </c>
      <c r="M30" s="22" t="str">
        <f t="shared" si="9"/>
        <v/>
      </c>
      <c r="N30" s="22" t="str">
        <f t="shared" si="10"/>
        <v/>
      </c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</row>
    <row r="31" spans="1:25" x14ac:dyDescent="0.2">
      <c r="A31" s="390" t="str">
        <f>IF(Cy!C32="","",Cy!C32)</f>
        <v/>
      </c>
      <c r="B31" s="126"/>
      <c r="C31" s="22" t="str">
        <f t="shared" si="2"/>
        <v/>
      </c>
      <c r="D31" s="282" t="str">
        <f>IF(Cy!D32="","",Cy!D32)</f>
        <v/>
      </c>
      <c r="E31" s="22" t="str">
        <f t="shared" si="3"/>
        <v/>
      </c>
      <c r="F31" s="22" t="str">
        <f t="shared" si="4"/>
        <v/>
      </c>
      <c r="G31" s="125" t="str">
        <f t="shared" si="0"/>
        <v/>
      </c>
      <c r="H31" s="22" t="str">
        <f t="shared" si="5"/>
        <v/>
      </c>
      <c r="I31" s="282" t="str">
        <f t="shared" si="1"/>
        <v/>
      </c>
      <c r="J31" s="22" t="str">
        <f t="shared" si="6"/>
        <v/>
      </c>
      <c r="K31" s="22" t="str">
        <f t="shared" si="7"/>
        <v/>
      </c>
      <c r="L31" s="125" t="str">
        <f t="shared" si="8"/>
        <v/>
      </c>
      <c r="M31" s="22" t="str">
        <f t="shared" si="9"/>
        <v/>
      </c>
      <c r="N31" s="22" t="str">
        <f t="shared" si="10"/>
        <v/>
      </c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</row>
    <row r="32" spans="1:25" x14ac:dyDescent="0.2">
      <c r="A32" s="390" t="str">
        <f>IF(Cy!C33="","",Cy!C33)</f>
        <v/>
      </c>
      <c r="B32" s="126"/>
      <c r="C32" s="22" t="str">
        <f t="shared" si="2"/>
        <v/>
      </c>
      <c r="D32" s="282" t="str">
        <f>IF(Cy!D33="","",Cy!D33)</f>
        <v/>
      </c>
      <c r="E32" s="22" t="str">
        <f t="shared" si="3"/>
        <v/>
      </c>
      <c r="F32" s="22" t="str">
        <f t="shared" si="4"/>
        <v/>
      </c>
      <c r="G32" s="125" t="str">
        <f t="shared" si="0"/>
        <v/>
      </c>
      <c r="H32" s="22" t="str">
        <f t="shared" si="5"/>
        <v/>
      </c>
      <c r="I32" s="282" t="str">
        <f t="shared" si="1"/>
        <v/>
      </c>
      <c r="J32" s="22" t="str">
        <f t="shared" si="6"/>
        <v/>
      </c>
      <c r="K32" s="22" t="str">
        <f t="shared" si="7"/>
        <v/>
      </c>
      <c r="L32" s="125" t="str">
        <f t="shared" si="8"/>
        <v/>
      </c>
      <c r="M32" s="22" t="str">
        <f t="shared" si="9"/>
        <v/>
      </c>
      <c r="N32" s="22" t="str">
        <f t="shared" si="10"/>
        <v/>
      </c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</row>
    <row r="33" spans="1:25" x14ac:dyDescent="0.2">
      <c r="A33" s="390" t="str">
        <f>IF(Cy!C34="","",Cy!C34)</f>
        <v/>
      </c>
      <c r="B33" s="126"/>
      <c r="C33" s="22" t="str">
        <f t="shared" si="2"/>
        <v/>
      </c>
      <c r="D33" s="282" t="str">
        <f>IF(Cy!D34="","",Cy!D34)</f>
        <v/>
      </c>
      <c r="E33" s="22" t="str">
        <f t="shared" si="3"/>
        <v/>
      </c>
      <c r="F33" s="22" t="str">
        <f t="shared" si="4"/>
        <v/>
      </c>
      <c r="G33" s="125" t="str">
        <f t="shared" si="0"/>
        <v/>
      </c>
      <c r="H33" s="22" t="str">
        <f t="shared" si="5"/>
        <v/>
      </c>
      <c r="I33" s="282" t="str">
        <f t="shared" si="1"/>
        <v/>
      </c>
      <c r="J33" s="22" t="str">
        <f t="shared" si="6"/>
        <v/>
      </c>
      <c r="K33" s="22" t="str">
        <f t="shared" si="7"/>
        <v/>
      </c>
      <c r="L33" s="125" t="str">
        <f t="shared" si="8"/>
        <v/>
      </c>
      <c r="M33" s="22" t="str">
        <f t="shared" si="9"/>
        <v/>
      </c>
      <c r="N33" s="22" t="str">
        <f t="shared" si="10"/>
        <v/>
      </c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</row>
    <row r="34" spans="1:25" x14ac:dyDescent="0.2">
      <c r="A34" s="390" t="str">
        <f>IF(Cy!C35="","",Cy!C35)</f>
        <v/>
      </c>
      <c r="B34" s="126"/>
      <c r="C34" s="22" t="str">
        <f t="shared" si="2"/>
        <v/>
      </c>
      <c r="D34" s="282" t="str">
        <f>IF(Cy!D35="","",Cy!D35)</f>
        <v/>
      </c>
      <c r="E34" s="22" t="str">
        <f t="shared" si="3"/>
        <v/>
      </c>
      <c r="F34" s="22" t="str">
        <f t="shared" si="4"/>
        <v/>
      </c>
      <c r="G34" s="125" t="str">
        <f t="shared" si="0"/>
        <v/>
      </c>
      <c r="H34" s="22" t="str">
        <f t="shared" si="5"/>
        <v/>
      </c>
      <c r="I34" s="282" t="str">
        <f t="shared" si="1"/>
        <v/>
      </c>
      <c r="J34" s="22" t="str">
        <f t="shared" si="6"/>
        <v/>
      </c>
      <c r="K34" s="22" t="str">
        <f t="shared" si="7"/>
        <v/>
      </c>
      <c r="L34" s="125" t="str">
        <f t="shared" si="8"/>
        <v/>
      </c>
      <c r="M34" s="22" t="str">
        <f t="shared" si="9"/>
        <v/>
      </c>
      <c r="N34" s="22" t="str">
        <f t="shared" si="10"/>
        <v/>
      </c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</row>
    <row r="35" spans="1:25" x14ac:dyDescent="0.2">
      <c r="A35" s="390" t="str">
        <f>IF(Cy!C36="","",Cy!C36)</f>
        <v/>
      </c>
      <c r="B35" s="126"/>
      <c r="C35" s="22" t="str">
        <f t="shared" si="2"/>
        <v/>
      </c>
      <c r="D35" s="282" t="str">
        <f>IF(Cy!D36="","",Cy!D36)</f>
        <v/>
      </c>
      <c r="E35" s="22" t="str">
        <f t="shared" si="3"/>
        <v/>
      </c>
      <c r="F35" s="22" t="str">
        <f t="shared" si="4"/>
        <v/>
      </c>
      <c r="G35" s="125" t="str">
        <f t="shared" si="0"/>
        <v/>
      </c>
      <c r="H35" s="22" t="str">
        <f t="shared" si="5"/>
        <v/>
      </c>
      <c r="I35" s="282" t="str">
        <f t="shared" si="1"/>
        <v/>
      </c>
      <c r="J35" s="22" t="str">
        <f t="shared" si="6"/>
        <v/>
      </c>
      <c r="K35" s="22" t="str">
        <f t="shared" si="7"/>
        <v/>
      </c>
      <c r="L35" s="125" t="str">
        <f t="shared" si="8"/>
        <v/>
      </c>
      <c r="M35" s="22" t="str">
        <f t="shared" si="9"/>
        <v/>
      </c>
      <c r="N35" s="22" t="str">
        <f t="shared" si="10"/>
        <v/>
      </c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</row>
    <row r="36" spans="1:25" x14ac:dyDescent="0.2">
      <c r="A36" s="390" t="str">
        <f>IF(Cy!C37="","",Cy!C37)</f>
        <v/>
      </c>
      <c r="B36" s="126"/>
      <c r="C36" s="22" t="str">
        <f t="shared" si="2"/>
        <v/>
      </c>
      <c r="D36" s="282" t="str">
        <f>IF(Cy!D37="","",Cy!D37)</f>
        <v/>
      </c>
      <c r="E36" s="22" t="str">
        <f t="shared" si="3"/>
        <v/>
      </c>
      <c r="F36" s="22" t="str">
        <f t="shared" si="4"/>
        <v/>
      </c>
      <c r="G36" s="125" t="str">
        <f t="shared" si="0"/>
        <v/>
      </c>
      <c r="H36" s="22" t="str">
        <f t="shared" si="5"/>
        <v/>
      </c>
      <c r="I36" s="282" t="str">
        <f t="shared" si="1"/>
        <v/>
      </c>
      <c r="J36" s="22" t="str">
        <f t="shared" si="6"/>
        <v/>
      </c>
      <c r="K36" s="22" t="str">
        <f t="shared" si="7"/>
        <v/>
      </c>
      <c r="L36" s="125" t="str">
        <f t="shared" si="8"/>
        <v/>
      </c>
      <c r="M36" s="22" t="str">
        <f t="shared" si="9"/>
        <v/>
      </c>
      <c r="N36" s="22" t="str">
        <f t="shared" si="10"/>
        <v/>
      </c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</row>
    <row r="37" spans="1:25" x14ac:dyDescent="0.2">
      <c r="A37" s="390" t="str">
        <f>IF(Cy!C38="","",Cy!C38)</f>
        <v/>
      </c>
      <c r="B37" s="126"/>
      <c r="C37" s="22" t="str">
        <f t="shared" si="2"/>
        <v/>
      </c>
      <c r="D37" s="282" t="str">
        <f>IF(Cy!D38="","",Cy!D38)</f>
        <v/>
      </c>
      <c r="E37" s="22" t="str">
        <f t="shared" si="3"/>
        <v/>
      </c>
      <c r="F37" s="22" t="str">
        <f t="shared" si="4"/>
        <v/>
      </c>
      <c r="G37" s="125" t="str">
        <f t="shared" si="0"/>
        <v/>
      </c>
      <c r="H37" s="22" t="str">
        <f t="shared" si="5"/>
        <v/>
      </c>
      <c r="I37" s="282" t="str">
        <f t="shared" si="1"/>
        <v/>
      </c>
      <c r="J37" s="22" t="str">
        <f t="shared" si="6"/>
        <v/>
      </c>
      <c r="K37" s="22" t="str">
        <f t="shared" si="7"/>
        <v/>
      </c>
      <c r="L37" s="125" t="str">
        <f t="shared" si="8"/>
        <v/>
      </c>
      <c r="M37" s="22" t="str">
        <f t="shared" si="9"/>
        <v/>
      </c>
      <c r="N37" s="22" t="str">
        <f t="shared" si="10"/>
        <v/>
      </c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</row>
    <row r="38" spans="1:25" x14ac:dyDescent="0.2">
      <c r="A38" s="390" t="str">
        <f>IF(Cy!C39="","",Cy!C39)</f>
        <v/>
      </c>
      <c r="B38" s="126"/>
      <c r="C38" s="22" t="str">
        <f t="shared" si="2"/>
        <v/>
      </c>
      <c r="D38" s="282" t="str">
        <f>IF(Cy!D39="","",Cy!D39)</f>
        <v/>
      </c>
      <c r="E38" s="22" t="str">
        <f t="shared" si="3"/>
        <v/>
      </c>
      <c r="F38" s="22" t="str">
        <f t="shared" si="4"/>
        <v/>
      </c>
      <c r="G38" s="125" t="str">
        <f t="shared" si="0"/>
        <v/>
      </c>
      <c r="H38" s="22" t="str">
        <f t="shared" si="5"/>
        <v/>
      </c>
      <c r="I38" s="282" t="str">
        <f t="shared" si="1"/>
        <v/>
      </c>
      <c r="J38" s="22" t="str">
        <f t="shared" si="6"/>
        <v/>
      </c>
      <c r="K38" s="22" t="str">
        <f t="shared" si="7"/>
        <v/>
      </c>
      <c r="L38" s="125" t="str">
        <f t="shared" si="8"/>
        <v/>
      </c>
      <c r="M38" s="22" t="str">
        <f t="shared" si="9"/>
        <v/>
      </c>
      <c r="N38" s="22" t="str">
        <f t="shared" si="10"/>
        <v/>
      </c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</row>
    <row r="39" spans="1:25" x14ac:dyDescent="0.2">
      <c r="A39" s="390" t="str">
        <f>IF(Cy!C40="","",Cy!C40)</f>
        <v/>
      </c>
      <c r="B39" s="126"/>
      <c r="C39" s="22" t="str">
        <f t="shared" si="2"/>
        <v/>
      </c>
      <c r="D39" s="282" t="str">
        <f>IF(Cy!D40="","",Cy!D40)</f>
        <v/>
      </c>
      <c r="E39" s="22" t="str">
        <f t="shared" si="3"/>
        <v/>
      </c>
      <c r="F39" s="22" t="str">
        <f t="shared" si="4"/>
        <v/>
      </c>
      <c r="G39" s="125" t="str">
        <f t="shared" si="0"/>
        <v/>
      </c>
      <c r="H39" s="22" t="str">
        <f t="shared" si="5"/>
        <v/>
      </c>
      <c r="I39" s="282" t="str">
        <f t="shared" si="1"/>
        <v/>
      </c>
      <c r="J39" s="22" t="str">
        <f t="shared" si="6"/>
        <v/>
      </c>
      <c r="K39" s="22" t="str">
        <f t="shared" si="7"/>
        <v/>
      </c>
      <c r="L39" s="125" t="str">
        <f t="shared" si="8"/>
        <v/>
      </c>
      <c r="M39" s="22" t="str">
        <f t="shared" si="9"/>
        <v/>
      </c>
      <c r="N39" s="22" t="str">
        <f t="shared" si="10"/>
        <v/>
      </c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</row>
    <row r="40" spans="1:25" x14ac:dyDescent="0.2">
      <c r="A40" s="390" t="str">
        <f>IF(Cy!C41="","",Cy!C41)</f>
        <v/>
      </c>
      <c r="B40" s="126"/>
      <c r="C40" s="22" t="str">
        <f t="shared" si="2"/>
        <v/>
      </c>
      <c r="D40" s="282" t="str">
        <f>IF(Cy!D41="","",Cy!D41)</f>
        <v/>
      </c>
      <c r="E40" s="22" t="str">
        <f t="shared" si="3"/>
        <v/>
      </c>
      <c r="F40" s="22" t="str">
        <f t="shared" si="4"/>
        <v/>
      </c>
      <c r="G40" s="125" t="str">
        <f t="shared" si="0"/>
        <v/>
      </c>
      <c r="H40" s="22" t="str">
        <f t="shared" si="5"/>
        <v/>
      </c>
      <c r="I40" s="282" t="str">
        <f t="shared" si="1"/>
        <v/>
      </c>
      <c r="J40" s="22" t="str">
        <f t="shared" si="6"/>
        <v/>
      </c>
      <c r="K40" s="22" t="str">
        <f t="shared" si="7"/>
        <v/>
      </c>
      <c r="L40" s="125" t="str">
        <f t="shared" si="8"/>
        <v/>
      </c>
      <c r="M40" s="22" t="str">
        <f t="shared" si="9"/>
        <v/>
      </c>
      <c r="N40" s="22" t="str">
        <f t="shared" si="10"/>
        <v/>
      </c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</row>
    <row r="41" spans="1:25" x14ac:dyDescent="0.2">
      <c r="A41" s="390" t="str">
        <f>IF(Cy!C42="","",Cy!C42)</f>
        <v/>
      </c>
      <c r="B41" s="126"/>
      <c r="C41" s="22" t="str">
        <f t="shared" si="2"/>
        <v/>
      </c>
      <c r="D41" s="282" t="str">
        <f>IF(Cy!D42="","",Cy!D42)</f>
        <v/>
      </c>
      <c r="E41" s="22" t="str">
        <f t="shared" si="3"/>
        <v/>
      </c>
      <c r="F41" s="22" t="str">
        <f t="shared" si="4"/>
        <v/>
      </c>
      <c r="G41" s="125" t="str">
        <f t="shared" si="0"/>
        <v/>
      </c>
      <c r="H41" s="22" t="str">
        <f t="shared" si="5"/>
        <v/>
      </c>
      <c r="I41" s="282" t="str">
        <f t="shared" si="1"/>
        <v/>
      </c>
      <c r="J41" s="22" t="str">
        <f t="shared" si="6"/>
        <v/>
      </c>
      <c r="K41" s="22" t="str">
        <f t="shared" si="7"/>
        <v/>
      </c>
      <c r="L41" s="125" t="str">
        <f t="shared" si="8"/>
        <v/>
      </c>
      <c r="M41" s="22" t="str">
        <f t="shared" si="9"/>
        <v/>
      </c>
      <c r="N41" s="22" t="str">
        <f t="shared" si="10"/>
        <v/>
      </c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</row>
    <row r="42" spans="1:25" x14ac:dyDescent="0.2">
      <c r="A42" s="390" t="str">
        <f>IF(Cy!C43="","",Cy!C43)</f>
        <v/>
      </c>
      <c r="B42" s="126"/>
      <c r="C42" s="22" t="str">
        <f t="shared" si="2"/>
        <v/>
      </c>
      <c r="D42" s="282" t="str">
        <f>IF(Cy!D43="","",Cy!D43)</f>
        <v/>
      </c>
      <c r="E42" s="22" t="str">
        <f t="shared" si="3"/>
        <v/>
      </c>
      <c r="F42" s="22" t="str">
        <f t="shared" si="4"/>
        <v/>
      </c>
      <c r="G42" s="125" t="str">
        <f t="shared" si="0"/>
        <v/>
      </c>
      <c r="H42" s="22" t="str">
        <f t="shared" si="5"/>
        <v/>
      </c>
      <c r="I42" s="282" t="str">
        <f t="shared" si="1"/>
        <v/>
      </c>
      <c r="J42" s="22" t="str">
        <f t="shared" si="6"/>
        <v/>
      </c>
      <c r="K42" s="22" t="str">
        <f t="shared" si="7"/>
        <v/>
      </c>
      <c r="L42" s="125" t="str">
        <f t="shared" si="8"/>
        <v/>
      </c>
      <c r="M42" s="22" t="str">
        <f t="shared" si="9"/>
        <v/>
      </c>
      <c r="N42" s="22" t="str">
        <f t="shared" si="10"/>
        <v/>
      </c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</row>
    <row r="43" spans="1:25" x14ac:dyDescent="0.2">
      <c r="A43" s="390" t="str">
        <f>IF(Cy!C44="","",Cy!C44)</f>
        <v/>
      </c>
      <c r="B43" s="126"/>
      <c r="C43" s="22" t="str">
        <f t="shared" si="2"/>
        <v/>
      </c>
      <c r="D43" s="282" t="str">
        <f>IF(Cy!D44="","",Cy!D44)</f>
        <v/>
      </c>
      <c r="E43" s="22" t="str">
        <f t="shared" si="3"/>
        <v/>
      </c>
      <c r="F43" s="22" t="str">
        <f t="shared" si="4"/>
        <v/>
      </c>
      <c r="G43" s="125" t="str">
        <f t="shared" si="0"/>
        <v/>
      </c>
      <c r="H43" s="22" t="str">
        <f t="shared" si="5"/>
        <v/>
      </c>
      <c r="I43" s="282" t="str">
        <f t="shared" si="1"/>
        <v/>
      </c>
      <c r="J43" s="22" t="str">
        <f t="shared" si="6"/>
        <v/>
      </c>
      <c r="K43" s="22" t="str">
        <f t="shared" si="7"/>
        <v/>
      </c>
      <c r="L43" s="125" t="str">
        <f t="shared" si="8"/>
        <v/>
      </c>
      <c r="M43" s="22" t="str">
        <f t="shared" si="9"/>
        <v/>
      </c>
      <c r="N43" s="22" t="str">
        <f t="shared" si="10"/>
        <v/>
      </c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</row>
    <row r="44" spans="1:25" x14ac:dyDescent="0.2">
      <c r="A44" s="390" t="str">
        <f>IF(Cy!C45="","",Cy!C45)</f>
        <v/>
      </c>
      <c r="B44" s="126"/>
      <c r="C44" s="22" t="str">
        <f t="shared" si="2"/>
        <v/>
      </c>
      <c r="D44" s="282" t="str">
        <f>IF(Cy!D45="","",Cy!D45)</f>
        <v/>
      </c>
      <c r="E44" s="22" t="str">
        <f t="shared" si="3"/>
        <v/>
      </c>
      <c r="F44" s="22" t="str">
        <f t="shared" si="4"/>
        <v/>
      </c>
      <c r="G44" s="125" t="str">
        <f t="shared" si="0"/>
        <v/>
      </c>
      <c r="H44" s="22" t="str">
        <f t="shared" si="5"/>
        <v/>
      </c>
      <c r="I44" s="282" t="str">
        <f t="shared" si="1"/>
        <v/>
      </c>
      <c r="J44" s="22" t="str">
        <f t="shared" si="6"/>
        <v/>
      </c>
      <c r="K44" s="22" t="str">
        <f t="shared" si="7"/>
        <v/>
      </c>
      <c r="L44" s="125" t="str">
        <f t="shared" si="8"/>
        <v/>
      </c>
      <c r="M44" s="22" t="str">
        <f t="shared" si="9"/>
        <v/>
      </c>
      <c r="N44" s="22" t="str">
        <f t="shared" si="10"/>
        <v/>
      </c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</row>
    <row r="45" spans="1:25" x14ac:dyDescent="0.2">
      <c r="A45" s="390" t="str">
        <f>IF(Cy!C46="","",Cy!C46)</f>
        <v/>
      </c>
      <c r="B45" s="133"/>
      <c r="C45" s="131" t="str">
        <f t="shared" si="2"/>
        <v/>
      </c>
      <c r="D45" s="282" t="str">
        <f>IF(Cy!D46="","",Cy!D46)</f>
        <v/>
      </c>
      <c r="E45" s="131" t="str">
        <f t="shared" si="3"/>
        <v/>
      </c>
      <c r="F45" s="131" t="str">
        <f t="shared" si="4"/>
        <v/>
      </c>
      <c r="G45" s="132" t="str">
        <f t="shared" si="0"/>
        <v/>
      </c>
      <c r="H45" s="131" t="str">
        <f t="shared" si="5"/>
        <v/>
      </c>
      <c r="I45" s="282" t="str">
        <f t="shared" si="1"/>
        <v/>
      </c>
      <c r="J45" s="131" t="str">
        <f t="shared" si="6"/>
        <v/>
      </c>
      <c r="K45" s="131" t="str">
        <f t="shared" si="7"/>
        <v/>
      </c>
      <c r="L45" s="132" t="str">
        <f t="shared" si="8"/>
        <v/>
      </c>
      <c r="M45" s="131" t="str">
        <f t="shared" si="9"/>
        <v/>
      </c>
      <c r="N45" s="131" t="str">
        <f t="shared" si="10"/>
        <v/>
      </c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</row>
    <row r="46" spans="1:25" x14ac:dyDescent="0.2">
      <c r="A46" s="390" t="str">
        <f>IF(Cy!C47="","",Cy!C47)</f>
        <v/>
      </c>
      <c r="B46" s="126"/>
      <c r="C46" s="22" t="str">
        <f t="shared" si="2"/>
        <v/>
      </c>
      <c r="D46" s="282" t="str">
        <f>IF(Cy!D47="","",Cy!D47)</f>
        <v/>
      </c>
      <c r="E46" s="22" t="str">
        <f t="shared" si="3"/>
        <v/>
      </c>
      <c r="F46" s="22" t="str">
        <f t="shared" si="4"/>
        <v/>
      </c>
      <c r="G46" s="125" t="str">
        <f t="shared" si="0"/>
        <v/>
      </c>
      <c r="H46" s="22" t="str">
        <f t="shared" si="5"/>
        <v/>
      </c>
      <c r="I46" s="282" t="str">
        <f t="shared" si="1"/>
        <v/>
      </c>
      <c r="J46" s="22" t="str">
        <f t="shared" si="6"/>
        <v/>
      </c>
      <c r="K46" s="22" t="str">
        <f t="shared" si="7"/>
        <v/>
      </c>
      <c r="L46" s="125" t="str">
        <f t="shared" si="8"/>
        <v/>
      </c>
      <c r="M46" s="22" t="str">
        <f t="shared" si="9"/>
        <v/>
      </c>
      <c r="N46" s="22" t="str">
        <f t="shared" si="10"/>
        <v/>
      </c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</row>
    <row r="47" spans="1:25" x14ac:dyDescent="0.2">
      <c r="A47" s="390" t="str">
        <f>IF(Cy!C48="","",Cy!C48)</f>
        <v/>
      </c>
      <c r="B47" s="126"/>
      <c r="C47" s="22" t="str">
        <f t="shared" si="2"/>
        <v/>
      </c>
      <c r="D47" s="282" t="str">
        <f>IF(Cy!D48="","",Cy!D48)</f>
        <v/>
      </c>
      <c r="E47" s="22" t="str">
        <f t="shared" si="3"/>
        <v/>
      </c>
      <c r="F47" s="22" t="str">
        <f t="shared" si="4"/>
        <v/>
      </c>
      <c r="G47" s="125" t="str">
        <f t="shared" si="0"/>
        <v/>
      </c>
      <c r="H47" s="22" t="str">
        <f t="shared" si="5"/>
        <v/>
      </c>
      <c r="I47" s="282" t="str">
        <f t="shared" si="1"/>
        <v/>
      </c>
      <c r="J47" s="22" t="str">
        <f t="shared" si="6"/>
        <v/>
      </c>
      <c r="K47" s="22" t="str">
        <f t="shared" si="7"/>
        <v/>
      </c>
      <c r="L47" s="125" t="str">
        <f t="shared" si="8"/>
        <v/>
      </c>
      <c r="M47" s="22" t="str">
        <f t="shared" si="9"/>
        <v/>
      </c>
      <c r="N47" s="22" t="str">
        <f t="shared" si="10"/>
        <v/>
      </c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</row>
    <row r="48" spans="1:25" x14ac:dyDescent="0.2">
      <c r="A48" s="390" t="str">
        <f>IF(Cy!C49="","",Cy!C49)</f>
        <v/>
      </c>
      <c r="B48" s="130"/>
      <c r="C48" s="128" t="str">
        <f t="shared" si="2"/>
        <v/>
      </c>
      <c r="D48" s="282" t="str">
        <f>IF(Cy!D49="","",Cy!D49)</f>
        <v/>
      </c>
      <c r="E48" s="128" t="str">
        <f t="shared" si="3"/>
        <v/>
      </c>
      <c r="F48" s="128" t="str">
        <f t="shared" si="4"/>
        <v/>
      </c>
      <c r="G48" s="129" t="str">
        <f t="shared" si="0"/>
        <v/>
      </c>
      <c r="H48" s="128" t="str">
        <f t="shared" si="5"/>
        <v/>
      </c>
      <c r="I48" s="282" t="str">
        <f t="shared" si="1"/>
        <v/>
      </c>
      <c r="J48" s="128" t="str">
        <f t="shared" si="6"/>
        <v/>
      </c>
      <c r="K48" s="128" t="str">
        <f t="shared" si="7"/>
        <v/>
      </c>
      <c r="L48" s="129" t="str">
        <f t="shared" si="8"/>
        <v/>
      </c>
      <c r="M48" s="128" t="str">
        <f t="shared" si="9"/>
        <v/>
      </c>
      <c r="N48" s="128" t="str">
        <f t="shared" si="10"/>
        <v/>
      </c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</row>
    <row r="49" spans="1:25" x14ac:dyDescent="0.2">
      <c r="A49" s="390" t="str">
        <f>IF(Cy!C50="","",Cy!C50)</f>
        <v/>
      </c>
      <c r="B49" s="126"/>
      <c r="C49" s="22" t="str">
        <f t="shared" si="2"/>
        <v/>
      </c>
      <c r="D49" s="282" t="str">
        <f>IF(Cy!D50="","",Cy!D50)</f>
        <v/>
      </c>
      <c r="E49" s="22" t="str">
        <f t="shared" si="3"/>
        <v/>
      </c>
      <c r="F49" s="22" t="str">
        <f t="shared" si="4"/>
        <v/>
      </c>
      <c r="G49" s="125" t="str">
        <f t="shared" si="0"/>
        <v/>
      </c>
      <c r="H49" s="22" t="str">
        <f t="shared" si="5"/>
        <v/>
      </c>
      <c r="I49" s="282" t="str">
        <f t="shared" si="1"/>
        <v/>
      </c>
      <c r="J49" s="22" t="str">
        <f t="shared" si="6"/>
        <v/>
      </c>
      <c r="K49" s="22" t="str">
        <f t="shared" si="7"/>
        <v/>
      </c>
      <c r="L49" s="125" t="str">
        <f t="shared" si="8"/>
        <v/>
      </c>
      <c r="M49" s="22" t="str">
        <f t="shared" si="9"/>
        <v/>
      </c>
      <c r="N49" s="22" t="str">
        <f t="shared" si="10"/>
        <v/>
      </c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</row>
    <row r="50" spans="1:25" x14ac:dyDescent="0.2">
      <c r="A50" s="390" t="str">
        <f>IF(Cy!C51="","",Cy!C51)</f>
        <v/>
      </c>
      <c r="B50" s="126"/>
      <c r="C50" s="22" t="str">
        <f t="shared" si="2"/>
        <v/>
      </c>
      <c r="D50" s="282" t="str">
        <f>IF(Cy!D51="","",Cy!D51)</f>
        <v/>
      </c>
      <c r="E50" s="22" t="str">
        <f t="shared" si="3"/>
        <v/>
      </c>
      <c r="F50" s="22" t="str">
        <f t="shared" si="4"/>
        <v/>
      </c>
      <c r="G50" s="125" t="str">
        <f t="shared" si="0"/>
        <v/>
      </c>
      <c r="H50" s="22" t="str">
        <f t="shared" si="5"/>
        <v/>
      </c>
      <c r="I50" s="282" t="str">
        <f t="shared" si="1"/>
        <v/>
      </c>
      <c r="J50" s="22" t="str">
        <f t="shared" si="6"/>
        <v/>
      </c>
      <c r="K50" s="22" t="str">
        <f t="shared" si="7"/>
        <v/>
      </c>
      <c r="L50" s="125" t="str">
        <f t="shared" si="8"/>
        <v/>
      </c>
      <c r="M50" s="22" t="str">
        <f t="shared" si="9"/>
        <v/>
      </c>
      <c r="N50" s="22" t="str">
        <f t="shared" si="10"/>
        <v/>
      </c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</row>
    <row r="51" spans="1:25" x14ac:dyDescent="0.2">
      <c r="A51" s="390" t="str">
        <f>IF(Cy!C52="","",Cy!C52)</f>
        <v/>
      </c>
      <c r="B51" s="126"/>
      <c r="C51" s="22" t="str">
        <f t="shared" si="2"/>
        <v/>
      </c>
      <c r="D51" s="282" t="str">
        <f>IF(Cy!D52="","",Cy!D52)</f>
        <v/>
      </c>
      <c r="E51" s="22" t="str">
        <f t="shared" si="3"/>
        <v/>
      </c>
      <c r="F51" s="22" t="str">
        <f t="shared" si="4"/>
        <v/>
      </c>
      <c r="G51" s="125" t="str">
        <f t="shared" si="0"/>
        <v/>
      </c>
      <c r="H51" s="22" t="str">
        <f t="shared" si="5"/>
        <v/>
      </c>
      <c r="I51" s="282" t="str">
        <f t="shared" si="1"/>
        <v/>
      </c>
      <c r="J51" s="22" t="str">
        <f t="shared" si="6"/>
        <v/>
      </c>
      <c r="K51" s="22" t="str">
        <f t="shared" si="7"/>
        <v/>
      </c>
      <c r="L51" s="125" t="str">
        <f t="shared" si="8"/>
        <v/>
      </c>
      <c r="M51" s="22" t="str">
        <f t="shared" si="9"/>
        <v/>
      </c>
      <c r="N51" s="22" t="str">
        <f t="shared" si="10"/>
        <v/>
      </c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</row>
    <row r="52" spans="1:25" x14ac:dyDescent="0.2">
      <c r="A52" s="390" t="str">
        <f>IF(Cy!C53="","",Cy!C53)</f>
        <v/>
      </c>
      <c r="B52" s="126"/>
      <c r="C52" s="22" t="str">
        <f t="shared" si="2"/>
        <v/>
      </c>
      <c r="D52" s="282" t="str">
        <f>IF(Cy!D53="","",Cy!D53)</f>
        <v/>
      </c>
      <c r="E52" s="22" t="str">
        <f t="shared" si="3"/>
        <v/>
      </c>
      <c r="F52" s="22" t="str">
        <f t="shared" si="4"/>
        <v/>
      </c>
      <c r="G52" s="125" t="str">
        <f t="shared" si="0"/>
        <v/>
      </c>
      <c r="H52" s="22" t="str">
        <f t="shared" si="5"/>
        <v/>
      </c>
      <c r="I52" s="282" t="str">
        <f t="shared" si="1"/>
        <v/>
      </c>
      <c r="J52" s="22" t="str">
        <f t="shared" si="6"/>
        <v/>
      </c>
      <c r="K52" s="22" t="str">
        <f t="shared" si="7"/>
        <v/>
      </c>
      <c r="L52" s="125" t="str">
        <f t="shared" si="8"/>
        <v/>
      </c>
      <c r="M52" s="22" t="str">
        <f t="shared" si="9"/>
        <v/>
      </c>
      <c r="N52" s="22" t="str">
        <f t="shared" si="10"/>
        <v/>
      </c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</row>
    <row r="53" spans="1:25" x14ac:dyDescent="0.2">
      <c r="A53" s="390" t="str">
        <f>IF(Cy!C54="","",Cy!C54)</f>
        <v/>
      </c>
      <c r="B53" s="126"/>
      <c r="C53" s="22" t="str">
        <f t="shared" si="2"/>
        <v/>
      </c>
      <c r="D53" s="282" t="str">
        <f>IF(Cy!D54="","",Cy!D54)</f>
        <v/>
      </c>
      <c r="E53" s="22" t="str">
        <f t="shared" si="3"/>
        <v/>
      </c>
      <c r="F53" s="22" t="str">
        <f t="shared" si="4"/>
        <v/>
      </c>
      <c r="G53" s="125" t="str">
        <f t="shared" si="0"/>
        <v/>
      </c>
      <c r="H53" s="22" t="str">
        <f t="shared" si="5"/>
        <v/>
      </c>
      <c r="I53" s="282" t="str">
        <f t="shared" si="1"/>
        <v/>
      </c>
      <c r="J53" s="22" t="str">
        <f t="shared" si="6"/>
        <v/>
      </c>
      <c r="K53" s="22" t="str">
        <f t="shared" si="7"/>
        <v/>
      </c>
      <c r="L53" s="125" t="str">
        <f t="shared" si="8"/>
        <v/>
      </c>
      <c r="M53" s="22" t="str">
        <f t="shared" si="9"/>
        <v/>
      </c>
      <c r="N53" s="22" t="str">
        <f t="shared" si="10"/>
        <v/>
      </c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</row>
    <row r="54" spans="1:25" x14ac:dyDescent="0.2">
      <c r="A54" s="390" t="str">
        <f>IF(Cy!C55="","",Cy!C55)</f>
        <v/>
      </c>
      <c r="B54" s="126"/>
      <c r="C54" s="22" t="str">
        <f t="shared" si="2"/>
        <v/>
      </c>
      <c r="D54" s="282" t="str">
        <f>IF(Cy!D55="","",Cy!D55)</f>
        <v/>
      </c>
      <c r="E54" s="22" t="str">
        <f t="shared" si="3"/>
        <v/>
      </c>
      <c r="F54" s="22" t="str">
        <f t="shared" si="4"/>
        <v/>
      </c>
      <c r="G54" s="125" t="str">
        <f t="shared" si="0"/>
        <v/>
      </c>
      <c r="H54" s="22" t="str">
        <f t="shared" si="5"/>
        <v/>
      </c>
      <c r="I54" s="282" t="str">
        <f t="shared" si="1"/>
        <v/>
      </c>
      <c r="J54" s="22" t="str">
        <f t="shared" si="6"/>
        <v/>
      </c>
      <c r="K54" s="22" t="str">
        <f t="shared" si="7"/>
        <v/>
      </c>
      <c r="L54" s="125" t="str">
        <f t="shared" si="8"/>
        <v/>
      </c>
      <c r="M54" s="22" t="str">
        <f t="shared" si="9"/>
        <v/>
      </c>
      <c r="N54" s="22" t="str">
        <f t="shared" si="10"/>
        <v/>
      </c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</row>
    <row r="55" spans="1:25" x14ac:dyDescent="0.2">
      <c r="A55" s="390" t="str">
        <f>IF(Cy!C56="","",Cy!C56)</f>
        <v/>
      </c>
      <c r="B55" s="126"/>
      <c r="C55" s="22" t="str">
        <f t="shared" si="2"/>
        <v/>
      </c>
      <c r="D55" s="282" t="str">
        <f>IF(Cy!D56="","",Cy!D56)</f>
        <v/>
      </c>
      <c r="E55" s="22" t="str">
        <f t="shared" si="3"/>
        <v/>
      </c>
      <c r="F55" s="22" t="str">
        <f t="shared" si="4"/>
        <v/>
      </c>
      <c r="G55" s="125" t="str">
        <f t="shared" si="0"/>
        <v/>
      </c>
      <c r="H55" s="22" t="str">
        <f t="shared" si="5"/>
        <v/>
      </c>
      <c r="I55" s="282" t="str">
        <f t="shared" si="1"/>
        <v/>
      </c>
      <c r="J55" s="22" t="str">
        <f t="shared" si="6"/>
        <v/>
      </c>
      <c r="K55" s="22" t="str">
        <f t="shared" si="7"/>
        <v/>
      </c>
      <c r="L55" s="125" t="str">
        <f t="shared" si="8"/>
        <v/>
      </c>
      <c r="M55" s="22" t="str">
        <f t="shared" si="9"/>
        <v/>
      </c>
      <c r="N55" s="22" t="str">
        <f t="shared" si="10"/>
        <v/>
      </c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</row>
    <row r="56" spans="1:25" x14ac:dyDescent="0.2">
      <c r="A56" s="390" t="str">
        <f>IF(Cy!C57="","",Cy!C57)</f>
        <v/>
      </c>
      <c r="B56" s="126"/>
      <c r="C56" s="22" t="str">
        <f t="shared" si="2"/>
        <v/>
      </c>
      <c r="D56" s="282" t="str">
        <f>IF(Cy!D57="","",Cy!D57)</f>
        <v/>
      </c>
      <c r="E56" s="22" t="str">
        <f t="shared" si="3"/>
        <v/>
      </c>
      <c r="F56" s="22" t="str">
        <f t="shared" si="4"/>
        <v/>
      </c>
      <c r="G56" s="125" t="str">
        <f t="shared" si="0"/>
        <v/>
      </c>
      <c r="H56" s="22" t="str">
        <f t="shared" si="5"/>
        <v/>
      </c>
      <c r="I56" s="282" t="str">
        <f t="shared" si="1"/>
        <v/>
      </c>
      <c r="J56" s="22" t="str">
        <f t="shared" si="6"/>
        <v/>
      </c>
      <c r="K56" s="22" t="str">
        <f t="shared" si="7"/>
        <v/>
      </c>
      <c r="L56" s="125" t="str">
        <f t="shared" si="8"/>
        <v/>
      </c>
      <c r="M56" s="22" t="str">
        <f t="shared" si="9"/>
        <v/>
      </c>
      <c r="N56" s="22" t="str">
        <f t="shared" si="10"/>
        <v/>
      </c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</row>
    <row r="57" spans="1:25" x14ac:dyDescent="0.2">
      <c r="A57" s="390" t="str">
        <f>IF(Cy!C58="","",Cy!C58)</f>
        <v/>
      </c>
      <c r="B57" s="126"/>
      <c r="C57" s="22" t="str">
        <f t="shared" si="2"/>
        <v/>
      </c>
      <c r="D57" s="282" t="str">
        <f>IF(Cy!D58="","",Cy!D58)</f>
        <v/>
      </c>
      <c r="E57" s="22" t="str">
        <f t="shared" si="3"/>
        <v/>
      </c>
      <c r="F57" s="22" t="str">
        <f t="shared" si="4"/>
        <v/>
      </c>
      <c r="G57" s="125" t="str">
        <f t="shared" si="0"/>
        <v/>
      </c>
      <c r="H57" s="22" t="str">
        <f t="shared" si="5"/>
        <v/>
      </c>
      <c r="I57" s="282" t="str">
        <f t="shared" si="1"/>
        <v/>
      </c>
      <c r="J57" s="22" t="str">
        <f t="shared" si="6"/>
        <v/>
      </c>
      <c r="K57" s="22" t="str">
        <f t="shared" si="7"/>
        <v/>
      </c>
      <c r="L57" s="125" t="str">
        <f t="shared" si="8"/>
        <v/>
      </c>
      <c r="M57" s="22" t="str">
        <f t="shared" si="9"/>
        <v/>
      </c>
      <c r="N57" s="22" t="str">
        <f t="shared" si="10"/>
        <v/>
      </c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</row>
    <row r="58" spans="1:25" x14ac:dyDescent="0.2">
      <c r="A58" s="390" t="str">
        <f>IF(Cy!C59="","",Cy!C59)</f>
        <v/>
      </c>
      <c r="B58" s="126"/>
      <c r="C58" s="22" t="str">
        <f t="shared" si="2"/>
        <v/>
      </c>
      <c r="D58" s="282" t="str">
        <f>IF(Cy!D59="","",Cy!D59)</f>
        <v/>
      </c>
      <c r="E58" s="22" t="str">
        <f t="shared" si="3"/>
        <v/>
      </c>
      <c r="F58" s="22" t="str">
        <f t="shared" si="4"/>
        <v/>
      </c>
      <c r="G58" s="125" t="str">
        <f t="shared" si="0"/>
        <v/>
      </c>
      <c r="H58" s="22" t="str">
        <f t="shared" si="5"/>
        <v/>
      </c>
      <c r="I58" s="282" t="str">
        <f t="shared" si="1"/>
        <v/>
      </c>
      <c r="J58" s="22" t="str">
        <f t="shared" si="6"/>
        <v/>
      </c>
      <c r="K58" s="22" t="str">
        <f t="shared" si="7"/>
        <v/>
      </c>
      <c r="L58" s="125" t="str">
        <f t="shared" si="8"/>
        <v/>
      </c>
      <c r="M58" s="22" t="str">
        <f t="shared" si="9"/>
        <v/>
      </c>
      <c r="N58" s="22" t="str">
        <f t="shared" si="10"/>
        <v/>
      </c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</row>
    <row r="59" spans="1:25" x14ac:dyDescent="0.2">
      <c r="A59" s="390" t="str">
        <f>IF(Cy!C60="","",Cy!C60)</f>
        <v/>
      </c>
      <c r="B59" s="126"/>
      <c r="C59" s="22" t="str">
        <f t="shared" si="2"/>
        <v/>
      </c>
      <c r="D59" s="282" t="str">
        <f>IF(Cy!D60="","",Cy!D60)</f>
        <v/>
      </c>
      <c r="E59" s="22" t="str">
        <f t="shared" si="3"/>
        <v/>
      </c>
      <c r="F59" s="22" t="str">
        <f t="shared" si="4"/>
        <v/>
      </c>
      <c r="G59" s="125" t="str">
        <f t="shared" si="0"/>
        <v/>
      </c>
      <c r="H59" s="22" t="str">
        <f t="shared" si="5"/>
        <v/>
      </c>
      <c r="I59" s="282" t="str">
        <f t="shared" si="1"/>
        <v/>
      </c>
      <c r="J59" s="22" t="str">
        <f t="shared" si="6"/>
        <v/>
      </c>
      <c r="K59" s="22" t="str">
        <f t="shared" si="7"/>
        <v/>
      </c>
      <c r="L59" s="125" t="str">
        <f t="shared" si="8"/>
        <v/>
      </c>
      <c r="M59" s="22" t="str">
        <f t="shared" si="9"/>
        <v/>
      </c>
      <c r="N59" s="22" t="str">
        <f t="shared" si="10"/>
        <v/>
      </c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</row>
    <row r="60" spans="1:25" x14ac:dyDescent="0.2">
      <c r="A60" s="390" t="str">
        <f>IF(Cy!C61="","",Cy!C61)</f>
        <v/>
      </c>
      <c r="B60" s="126"/>
      <c r="C60" s="22" t="str">
        <f t="shared" si="2"/>
        <v/>
      </c>
      <c r="D60" s="282" t="str">
        <f>IF(Cy!D61="","",Cy!D61)</f>
        <v/>
      </c>
      <c r="E60" s="22" t="str">
        <f t="shared" si="3"/>
        <v/>
      </c>
      <c r="F60" s="22" t="str">
        <f t="shared" si="4"/>
        <v/>
      </c>
      <c r="G60" s="125" t="str">
        <f t="shared" si="0"/>
        <v/>
      </c>
      <c r="H60" s="22" t="str">
        <f t="shared" si="5"/>
        <v/>
      </c>
      <c r="I60" s="282" t="str">
        <f t="shared" si="1"/>
        <v/>
      </c>
      <c r="J60" s="22" t="str">
        <f t="shared" si="6"/>
        <v/>
      </c>
      <c r="K60" s="22" t="str">
        <f t="shared" si="7"/>
        <v/>
      </c>
      <c r="L60" s="125" t="str">
        <f t="shared" si="8"/>
        <v/>
      </c>
      <c r="M60" s="22" t="str">
        <f t="shared" si="9"/>
        <v/>
      </c>
      <c r="N60" s="22" t="str">
        <f t="shared" si="10"/>
        <v/>
      </c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</row>
    <row r="61" spans="1:25" x14ac:dyDescent="0.2">
      <c r="A61" s="390" t="str">
        <f>IF(Cy!C62="","",Cy!C62)</f>
        <v/>
      </c>
      <c r="B61" s="126"/>
      <c r="C61" s="22" t="str">
        <f t="shared" si="2"/>
        <v/>
      </c>
      <c r="D61" s="282" t="str">
        <f>IF(Cy!D62="","",Cy!D62)</f>
        <v/>
      </c>
      <c r="E61" s="22" t="str">
        <f t="shared" si="3"/>
        <v/>
      </c>
      <c r="F61" s="22" t="str">
        <f t="shared" si="4"/>
        <v/>
      </c>
      <c r="G61" s="125" t="str">
        <f t="shared" si="0"/>
        <v/>
      </c>
      <c r="H61" s="22" t="str">
        <f t="shared" si="5"/>
        <v/>
      </c>
      <c r="I61" s="282" t="str">
        <f t="shared" si="1"/>
        <v/>
      </c>
      <c r="J61" s="22" t="str">
        <f t="shared" si="6"/>
        <v/>
      </c>
      <c r="K61" s="22" t="str">
        <f t="shared" si="7"/>
        <v/>
      </c>
      <c r="L61" s="125" t="str">
        <f t="shared" si="8"/>
        <v/>
      </c>
      <c r="M61" s="22" t="str">
        <f t="shared" si="9"/>
        <v/>
      </c>
      <c r="N61" s="22" t="str">
        <f t="shared" si="10"/>
        <v/>
      </c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</row>
    <row r="62" spans="1:25" x14ac:dyDescent="0.2">
      <c r="A62" s="390" t="str">
        <f>IF(Cy!C63="","",Cy!C63)</f>
        <v/>
      </c>
      <c r="B62" s="126"/>
      <c r="C62" s="22" t="str">
        <f t="shared" si="2"/>
        <v/>
      </c>
      <c r="D62" s="282" t="str">
        <f>IF(Cy!D63="","",Cy!D63)</f>
        <v/>
      </c>
      <c r="E62" s="22" t="str">
        <f t="shared" si="3"/>
        <v/>
      </c>
      <c r="F62" s="22" t="str">
        <f t="shared" si="4"/>
        <v/>
      </c>
      <c r="G62" s="125" t="str">
        <f t="shared" si="0"/>
        <v/>
      </c>
      <c r="H62" s="22" t="str">
        <f t="shared" si="5"/>
        <v/>
      </c>
      <c r="I62" s="282" t="str">
        <f t="shared" si="1"/>
        <v/>
      </c>
      <c r="J62" s="22" t="str">
        <f t="shared" si="6"/>
        <v/>
      </c>
      <c r="K62" s="22" t="str">
        <f t="shared" si="7"/>
        <v/>
      </c>
      <c r="L62" s="125" t="str">
        <f t="shared" si="8"/>
        <v/>
      </c>
      <c r="M62" s="22" t="str">
        <f t="shared" si="9"/>
        <v/>
      </c>
      <c r="N62" s="22" t="str">
        <f t="shared" si="10"/>
        <v/>
      </c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</row>
    <row r="63" spans="1:25" x14ac:dyDescent="0.2">
      <c r="A63" s="390" t="str">
        <f>IF(Cy!C64="","",Cy!C64)</f>
        <v/>
      </c>
      <c r="B63" s="126"/>
      <c r="C63" s="22" t="str">
        <f t="shared" si="2"/>
        <v/>
      </c>
      <c r="D63" s="282" t="str">
        <f>IF(Cy!D64="","",Cy!D64)</f>
        <v/>
      </c>
      <c r="E63" s="22" t="str">
        <f t="shared" si="3"/>
        <v/>
      </c>
      <c r="F63" s="22" t="str">
        <f t="shared" si="4"/>
        <v/>
      </c>
      <c r="G63" s="125" t="str">
        <f t="shared" si="0"/>
        <v/>
      </c>
      <c r="H63" s="22" t="str">
        <f t="shared" si="5"/>
        <v/>
      </c>
      <c r="I63" s="282" t="str">
        <f t="shared" si="1"/>
        <v/>
      </c>
      <c r="J63" s="22" t="str">
        <f t="shared" si="6"/>
        <v/>
      </c>
      <c r="K63" s="22" t="str">
        <f t="shared" si="7"/>
        <v/>
      </c>
      <c r="L63" s="125" t="str">
        <f t="shared" si="8"/>
        <v/>
      </c>
      <c r="M63" s="22" t="str">
        <f t="shared" si="9"/>
        <v/>
      </c>
      <c r="N63" s="22" t="str">
        <f t="shared" si="10"/>
        <v/>
      </c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</row>
    <row r="64" spans="1:25" x14ac:dyDescent="0.2">
      <c r="A64" s="390" t="str">
        <f>IF(Cy!C65="","",Cy!C65)</f>
        <v/>
      </c>
      <c r="B64" s="126"/>
      <c r="C64" s="22" t="str">
        <f t="shared" si="2"/>
        <v/>
      </c>
      <c r="D64" s="282" t="str">
        <f>IF(Cy!D65="","",Cy!D65)</f>
        <v/>
      </c>
      <c r="E64" s="22" t="str">
        <f t="shared" si="3"/>
        <v/>
      </c>
      <c r="F64" s="22" t="str">
        <f t="shared" si="4"/>
        <v/>
      </c>
      <c r="G64" s="125" t="str">
        <f t="shared" si="0"/>
        <v/>
      </c>
      <c r="H64" s="22" t="str">
        <f t="shared" si="5"/>
        <v/>
      </c>
      <c r="I64" s="282" t="str">
        <f t="shared" si="1"/>
        <v/>
      </c>
      <c r="J64" s="22" t="str">
        <f t="shared" si="6"/>
        <v/>
      </c>
      <c r="K64" s="22" t="str">
        <f t="shared" si="7"/>
        <v/>
      </c>
      <c r="L64" s="125" t="str">
        <f t="shared" si="8"/>
        <v/>
      </c>
      <c r="M64" s="22" t="str">
        <f t="shared" si="9"/>
        <v/>
      </c>
      <c r="N64" s="22" t="str">
        <f t="shared" si="10"/>
        <v/>
      </c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</row>
    <row r="65" spans="1:25" x14ac:dyDescent="0.2">
      <c r="A65" s="390" t="str">
        <f>IF(Cy!C66="","",Cy!C66)</f>
        <v/>
      </c>
      <c r="B65" s="126"/>
      <c r="C65" s="22" t="str">
        <f t="shared" si="2"/>
        <v/>
      </c>
      <c r="D65" s="282" t="str">
        <f>IF(Cy!D66="","",Cy!D66)</f>
        <v/>
      </c>
      <c r="E65" s="22" t="str">
        <f t="shared" si="3"/>
        <v/>
      </c>
      <c r="F65" s="22" t="str">
        <f t="shared" si="4"/>
        <v/>
      </c>
      <c r="G65" s="125" t="str">
        <f t="shared" si="0"/>
        <v/>
      </c>
      <c r="H65" s="22" t="str">
        <f t="shared" si="5"/>
        <v/>
      </c>
      <c r="I65" s="282" t="str">
        <f t="shared" si="1"/>
        <v/>
      </c>
      <c r="J65" s="22" t="str">
        <f t="shared" si="6"/>
        <v/>
      </c>
      <c r="K65" s="22" t="str">
        <f t="shared" si="7"/>
        <v/>
      </c>
      <c r="L65" s="125" t="str">
        <f t="shared" si="8"/>
        <v/>
      </c>
      <c r="M65" s="22" t="str">
        <f t="shared" si="9"/>
        <v/>
      </c>
      <c r="N65" s="22" t="str">
        <f t="shared" si="10"/>
        <v/>
      </c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</row>
    <row r="66" spans="1:25" x14ac:dyDescent="0.2">
      <c r="A66" s="390" t="str">
        <f>IF(Cy!C67="","",Cy!C67)</f>
        <v/>
      </c>
      <c r="B66" s="126"/>
      <c r="C66" s="22" t="str">
        <f t="shared" si="2"/>
        <v/>
      </c>
      <c r="D66" s="282" t="str">
        <f>IF(Cy!D67="","",Cy!D67)</f>
        <v/>
      </c>
      <c r="E66" s="22" t="str">
        <f t="shared" si="3"/>
        <v/>
      </c>
      <c r="F66" s="22" t="str">
        <f t="shared" si="4"/>
        <v/>
      </c>
      <c r="G66" s="125" t="str">
        <f t="shared" si="0"/>
        <v/>
      </c>
      <c r="H66" s="22" t="str">
        <f t="shared" si="5"/>
        <v/>
      </c>
      <c r="I66" s="282" t="str">
        <f t="shared" si="1"/>
        <v/>
      </c>
      <c r="J66" s="22" t="str">
        <f t="shared" si="6"/>
        <v/>
      </c>
      <c r="K66" s="22" t="str">
        <f t="shared" si="7"/>
        <v/>
      </c>
      <c r="L66" s="125" t="str">
        <f t="shared" si="8"/>
        <v/>
      </c>
      <c r="M66" s="22" t="str">
        <f t="shared" si="9"/>
        <v/>
      </c>
      <c r="N66" s="22" t="str">
        <f t="shared" si="10"/>
        <v/>
      </c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</row>
    <row r="67" spans="1:25" x14ac:dyDescent="0.2">
      <c r="A67" s="390" t="str">
        <f>IF(Cy!C68="","",Cy!C68)</f>
        <v/>
      </c>
      <c r="B67" s="126"/>
      <c r="C67" s="22" t="str">
        <f t="shared" si="2"/>
        <v/>
      </c>
      <c r="D67" s="282" t="str">
        <f>IF(Cy!D68="","",Cy!D68)</f>
        <v/>
      </c>
      <c r="E67" s="22" t="str">
        <f t="shared" si="3"/>
        <v/>
      </c>
      <c r="F67" s="22" t="str">
        <f t="shared" si="4"/>
        <v/>
      </c>
      <c r="G67" s="125" t="str">
        <f t="shared" ref="G67:G102" si="11">IF(E67="","",100*E67/(D66+0.5*B67))</f>
        <v/>
      </c>
      <c r="H67" s="22" t="str">
        <f t="shared" si="5"/>
        <v/>
      </c>
      <c r="I67" s="282" t="str">
        <f t="shared" ref="I67:I102" si="12">D67</f>
        <v/>
      </c>
      <c r="J67" s="22" t="str">
        <f t="shared" si="6"/>
        <v/>
      </c>
      <c r="K67" s="22" t="str">
        <f t="shared" si="7"/>
        <v/>
      </c>
      <c r="L67" s="125" t="str">
        <f t="shared" si="8"/>
        <v/>
      </c>
      <c r="M67" s="22" t="str">
        <f t="shared" si="9"/>
        <v/>
      </c>
      <c r="N67" s="22" t="str">
        <f t="shared" si="10"/>
        <v/>
      </c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</row>
    <row r="68" spans="1:25" x14ac:dyDescent="0.2">
      <c r="A68" s="390" t="str">
        <f>IF(Cy!C69="","",Cy!C69)</f>
        <v/>
      </c>
      <c r="B68" s="126"/>
      <c r="C68" s="22" t="str">
        <f t="shared" ref="C68:C102" si="13">IF(B68="","",C67+B68)</f>
        <v/>
      </c>
      <c r="D68" s="282" t="str">
        <f>IF(Cy!D69="","",Cy!D69)</f>
        <v/>
      </c>
      <c r="E68" s="22" t="str">
        <f t="shared" ref="E68:E102" si="14">IF(B68="","",IF(D68="","",D68-D67-B68))</f>
        <v/>
      </c>
      <c r="F68" s="22" t="str">
        <f t="shared" ref="F68:F102" si="15">IF(E68="","",F67+E68)</f>
        <v/>
      </c>
      <c r="G68" s="125" t="str">
        <f t="shared" si="11"/>
        <v/>
      </c>
      <c r="H68" s="22" t="str">
        <f t="shared" ref="H68:H102" si="16">IF(F68="","",100*F68/C68)</f>
        <v/>
      </c>
      <c r="I68" s="282" t="str">
        <f t="shared" si="12"/>
        <v/>
      </c>
      <c r="J68" s="22" t="str">
        <f t="shared" ref="J68:J102" si="17">IF(B68="","",IF(I68="","",I68-I67-B68))</f>
        <v/>
      </c>
      <c r="K68" s="22" t="str">
        <f t="shared" ref="K68:K102" si="18">IF(J68="","",K67+J68)</f>
        <v/>
      </c>
      <c r="L68" s="125" t="str">
        <f t="shared" ref="L68:L102" si="19">IF(J68="","",100*J68/(I67+0.5*B68))</f>
        <v/>
      </c>
      <c r="M68" s="22" t="str">
        <f t="shared" ref="M68:M102" si="20">IF(K68="","",100*K68/C68)</f>
        <v/>
      </c>
      <c r="N68" s="22" t="str">
        <f t="shared" ref="N68:N102" si="21">IF(D68="","",IF(I68="","",I68-D68))</f>
        <v/>
      </c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</row>
    <row r="69" spans="1:25" x14ac:dyDescent="0.2">
      <c r="A69" s="390" t="str">
        <f>IF(Cy!C70="","",Cy!C70)</f>
        <v/>
      </c>
      <c r="B69" s="126"/>
      <c r="C69" s="22" t="str">
        <f t="shared" si="13"/>
        <v/>
      </c>
      <c r="D69" s="282" t="str">
        <f>IF(Cy!D70="","",Cy!D70)</f>
        <v/>
      </c>
      <c r="E69" s="22" t="str">
        <f t="shared" si="14"/>
        <v/>
      </c>
      <c r="F69" s="22" t="str">
        <f t="shared" si="15"/>
        <v/>
      </c>
      <c r="G69" s="125" t="str">
        <f t="shared" si="11"/>
        <v/>
      </c>
      <c r="H69" s="22" t="str">
        <f t="shared" si="16"/>
        <v/>
      </c>
      <c r="I69" s="282" t="str">
        <f t="shared" si="12"/>
        <v/>
      </c>
      <c r="J69" s="22" t="str">
        <f t="shared" si="17"/>
        <v/>
      </c>
      <c r="K69" s="22" t="str">
        <f t="shared" si="18"/>
        <v/>
      </c>
      <c r="L69" s="125" t="str">
        <f t="shared" si="19"/>
        <v/>
      </c>
      <c r="M69" s="22" t="str">
        <f t="shared" si="20"/>
        <v/>
      </c>
      <c r="N69" s="22" t="str">
        <f t="shared" si="21"/>
        <v/>
      </c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</row>
    <row r="70" spans="1:25" x14ac:dyDescent="0.2">
      <c r="A70" s="390" t="str">
        <f>IF(Cy!C71="","",Cy!C71)</f>
        <v/>
      </c>
      <c r="B70" s="126"/>
      <c r="C70" s="22" t="str">
        <f t="shared" si="13"/>
        <v/>
      </c>
      <c r="D70" s="282" t="str">
        <f>IF(Cy!D71="","",Cy!D71)</f>
        <v/>
      </c>
      <c r="E70" s="22" t="str">
        <f t="shared" si="14"/>
        <v/>
      </c>
      <c r="F70" s="22" t="str">
        <f t="shared" si="15"/>
        <v/>
      </c>
      <c r="G70" s="125" t="str">
        <f t="shared" si="11"/>
        <v/>
      </c>
      <c r="H70" s="22" t="str">
        <f t="shared" si="16"/>
        <v/>
      </c>
      <c r="I70" s="282" t="str">
        <f t="shared" si="12"/>
        <v/>
      </c>
      <c r="J70" s="22" t="str">
        <f t="shared" si="17"/>
        <v/>
      </c>
      <c r="K70" s="22" t="str">
        <f t="shared" si="18"/>
        <v/>
      </c>
      <c r="L70" s="125" t="str">
        <f t="shared" si="19"/>
        <v/>
      </c>
      <c r="M70" s="22" t="str">
        <f t="shared" si="20"/>
        <v/>
      </c>
      <c r="N70" s="22" t="str">
        <f t="shared" si="21"/>
        <v/>
      </c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</row>
    <row r="71" spans="1:25" x14ac:dyDescent="0.2">
      <c r="A71" s="390" t="str">
        <f>IF(Cy!C72="","",Cy!C72)</f>
        <v/>
      </c>
      <c r="B71" s="126"/>
      <c r="C71" s="22" t="str">
        <f t="shared" si="13"/>
        <v/>
      </c>
      <c r="D71" s="282" t="str">
        <f>IF(Cy!D72="","",Cy!D72)</f>
        <v/>
      </c>
      <c r="E71" s="22" t="str">
        <f t="shared" si="14"/>
        <v/>
      </c>
      <c r="F71" s="22" t="str">
        <f t="shared" si="15"/>
        <v/>
      </c>
      <c r="G71" s="125" t="str">
        <f t="shared" si="11"/>
        <v/>
      </c>
      <c r="H71" s="22" t="str">
        <f t="shared" si="16"/>
        <v/>
      </c>
      <c r="I71" s="282" t="str">
        <f t="shared" si="12"/>
        <v/>
      </c>
      <c r="J71" s="22" t="str">
        <f t="shared" si="17"/>
        <v/>
      </c>
      <c r="K71" s="22" t="str">
        <f t="shared" si="18"/>
        <v/>
      </c>
      <c r="L71" s="125" t="str">
        <f t="shared" si="19"/>
        <v/>
      </c>
      <c r="M71" s="22" t="str">
        <f t="shared" si="20"/>
        <v/>
      </c>
      <c r="N71" s="22" t="str">
        <f t="shared" si="21"/>
        <v/>
      </c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</row>
    <row r="72" spans="1:25" x14ac:dyDescent="0.2">
      <c r="A72" s="390" t="str">
        <f>IF(Cy!C73="","",Cy!C73)</f>
        <v/>
      </c>
      <c r="B72" s="126"/>
      <c r="C72" s="22" t="str">
        <f t="shared" si="13"/>
        <v/>
      </c>
      <c r="D72" s="282" t="str">
        <f>IF(Cy!D73="","",Cy!D73)</f>
        <v/>
      </c>
      <c r="E72" s="22" t="str">
        <f t="shared" si="14"/>
        <v/>
      </c>
      <c r="F72" s="22" t="str">
        <f t="shared" si="15"/>
        <v/>
      </c>
      <c r="G72" s="125" t="str">
        <f t="shared" si="11"/>
        <v/>
      </c>
      <c r="H72" s="22" t="str">
        <f t="shared" si="16"/>
        <v/>
      </c>
      <c r="I72" s="282" t="str">
        <f t="shared" si="12"/>
        <v/>
      </c>
      <c r="J72" s="22" t="str">
        <f t="shared" si="17"/>
        <v/>
      </c>
      <c r="K72" s="22" t="str">
        <f t="shared" si="18"/>
        <v/>
      </c>
      <c r="L72" s="125" t="str">
        <f t="shared" si="19"/>
        <v/>
      </c>
      <c r="M72" s="22" t="str">
        <f t="shared" si="20"/>
        <v/>
      </c>
      <c r="N72" s="22" t="str">
        <f t="shared" si="21"/>
        <v/>
      </c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</row>
    <row r="73" spans="1:25" x14ac:dyDescent="0.2">
      <c r="A73" s="390" t="str">
        <f>IF(Cy!C74="","",Cy!C74)</f>
        <v/>
      </c>
      <c r="B73" s="126"/>
      <c r="C73" s="22" t="str">
        <f t="shared" si="13"/>
        <v/>
      </c>
      <c r="D73" s="282" t="str">
        <f>IF(Cy!D74="","",Cy!D74)</f>
        <v/>
      </c>
      <c r="E73" s="22" t="str">
        <f t="shared" si="14"/>
        <v/>
      </c>
      <c r="F73" s="22" t="str">
        <f t="shared" si="15"/>
        <v/>
      </c>
      <c r="G73" s="125" t="str">
        <f t="shared" si="11"/>
        <v/>
      </c>
      <c r="H73" s="22" t="str">
        <f t="shared" si="16"/>
        <v/>
      </c>
      <c r="I73" s="282" t="str">
        <f t="shared" si="12"/>
        <v/>
      </c>
      <c r="J73" s="22" t="str">
        <f t="shared" si="17"/>
        <v/>
      </c>
      <c r="K73" s="22" t="str">
        <f t="shared" si="18"/>
        <v/>
      </c>
      <c r="L73" s="125" t="str">
        <f t="shared" si="19"/>
        <v/>
      </c>
      <c r="M73" s="22" t="str">
        <f t="shared" si="20"/>
        <v/>
      </c>
      <c r="N73" s="22" t="str">
        <f t="shared" si="21"/>
        <v/>
      </c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</row>
    <row r="74" spans="1:25" x14ac:dyDescent="0.2">
      <c r="A74" s="390" t="str">
        <f>IF(Cy!C75="","",Cy!C75)</f>
        <v/>
      </c>
      <c r="B74" s="126"/>
      <c r="C74" s="22" t="str">
        <f t="shared" si="13"/>
        <v/>
      </c>
      <c r="D74" s="282" t="str">
        <f>IF(Cy!D75="","",Cy!D75)</f>
        <v/>
      </c>
      <c r="E74" s="22" t="str">
        <f t="shared" si="14"/>
        <v/>
      </c>
      <c r="F74" s="22" t="str">
        <f t="shared" si="15"/>
        <v/>
      </c>
      <c r="G74" s="125" t="str">
        <f t="shared" si="11"/>
        <v/>
      </c>
      <c r="H74" s="22" t="str">
        <f t="shared" si="16"/>
        <v/>
      </c>
      <c r="I74" s="282" t="str">
        <f t="shared" si="12"/>
        <v/>
      </c>
      <c r="J74" s="22" t="str">
        <f t="shared" si="17"/>
        <v/>
      </c>
      <c r="K74" s="22" t="str">
        <f t="shared" si="18"/>
        <v/>
      </c>
      <c r="L74" s="125" t="str">
        <f t="shared" si="19"/>
        <v/>
      </c>
      <c r="M74" s="22" t="str">
        <f t="shared" si="20"/>
        <v/>
      </c>
      <c r="N74" s="22" t="str">
        <f t="shared" si="21"/>
        <v/>
      </c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</row>
    <row r="75" spans="1:25" x14ac:dyDescent="0.2">
      <c r="A75" s="390" t="str">
        <f>IF(Cy!C76="","",Cy!C76)</f>
        <v/>
      </c>
      <c r="B75" s="126"/>
      <c r="C75" s="22" t="str">
        <f t="shared" si="13"/>
        <v/>
      </c>
      <c r="D75" s="282" t="str">
        <f>IF(Cy!D76="","",Cy!D76)</f>
        <v/>
      </c>
      <c r="E75" s="22" t="str">
        <f t="shared" si="14"/>
        <v/>
      </c>
      <c r="F75" s="22" t="str">
        <f t="shared" si="15"/>
        <v/>
      </c>
      <c r="G75" s="125" t="str">
        <f t="shared" si="11"/>
        <v/>
      </c>
      <c r="H75" s="22" t="str">
        <f t="shared" si="16"/>
        <v/>
      </c>
      <c r="I75" s="282" t="str">
        <f t="shared" si="12"/>
        <v/>
      </c>
      <c r="J75" s="22" t="str">
        <f t="shared" si="17"/>
        <v/>
      </c>
      <c r="K75" s="22" t="str">
        <f t="shared" si="18"/>
        <v/>
      </c>
      <c r="L75" s="125" t="str">
        <f t="shared" si="19"/>
        <v/>
      </c>
      <c r="M75" s="22" t="str">
        <f t="shared" si="20"/>
        <v/>
      </c>
      <c r="N75" s="22" t="str">
        <f t="shared" si="21"/>
        <v/>
      </c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</row>
    <row r="76" spans="1:25" x14ac:dyDescent="0.2">
      <c r="A76" s="390" t="str">
        <f>IF(Cy!C77="","",Cy!C77)</f>
        <v/>
      </c>
      <c r="B76" s="126"/>
      <c r="C76" s="22" t="str">
        <f t="shared" si="13"/>
        <v/>
      </c>
      <c r="D76" s="282" t="str">
        <f>IF(Cy!D77="","",Cy!D77)</f>
        <v/>
      </c>
      <c r="E76" s="22" t="str">
        <f t="shared" si="14"/>
        <v/>
      </c>
      <c r="F76" s="22" t="str">
        <f t="shared" si="15"/>
        <v/>
      </c>
      <c r="G76" s="125" t="str">
        <f t="shared" si="11"/>
        <v/>
      </c>
      <c r="H76" s="22" t="str">
        <f t="shared" si="16"/>
        <v/>
      </c>
      <c r="I76" s="282" t="str">
        <f t="shared" si="12"/>
        <v/>
      </c>
      <c r="J76" s="22" t="str">
        <f t="shared" si="17"/>
        <v/>
      </c>
      <c r="K76" s="22" t="str">
        <f t="shared" si="18"/>
        <v/>
      </c>
      <c r="L76" s="125" t="str">
        <f t="shared" si="19"/>
        <v/>
      </c>
      <c r="M76" s="22" t="str">
        <f t="shared" si="20"/>
        <v/>
      </c>
      <c r="N76" s="22" t="str">
        <f t="shared" si="21"/>
        <v/>
      </c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</row>
    <row r="77" spans="1:25" x14ac:dyDescent="0.2">
      <c r="A77" s="390" t="str">
        <f>IF(Cy!C78="","",Cy!C78)</f>
        <v/>
      </c>
      <c r="B77" s="126"/>
      <c r="C77" s="22" t="str">
        <f t="shared" si="13"/>
        <v/>
      </c>
      <c r="D77" s="282" t="str">
        <f>IF(Cy!D78="","",Cy!D78)</f>
        <v/>
      </c>
      <c r="E77" s="22" t="str">
        <f t="shared" si="14"/>
        <v/>
      </c>
      <c r="F77" s="22" t="str">
        <f t="shared" si="15"/>
        <v/>
      </c>
      <c r="G77" s="125" t="str">
        <f t="shared" si="11"/>
        <v/>
      </c>
      <c r="H77" s="22" t="str">
        <f t="shared" si="16"/>
        <v/>
      </c>
      <c r="I77" s="282" t="str">
        <f t="shared" si="12"/>
        <v/>
      </c>
      <c r="J77" s="22" t="str">
        <f t="shared" si="17"/>
        <v/>
      </c>
      <c r="K77" s="22" t="str">
        <f t="shared" si="18"/>
        <v/>
      </c>
      <c r="L77" s="125" t="str">
        <f t="shared" si="19"/>
        <v/>
      </c>
      <c r="M77" s="22" t="str">
        <f t="shared" si="20"/>
        <v/>
      </c>
      <c r="N77" s="22" t="str">
        <f t="shared" si="21"/>
        <v/>
      </c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</row>
    <row r="78" spans="1:25" x14ac:dyDescent="0.2">
      <c r="A78" s="390" t="str">
        <f>IF(Cy!C79="","",Cy!C79)</f>
        <v/>
      </c>
      <c r="B78" s="126"/>
      <c r="C78" s="22" t="str">
        <f t="shared" si="13"/>
        <v/>
      </c>
      <c r="D78" s="282" t="str">
        <f>IF(Cy!D79="","",Cy!D79)</f>
        <v/>
      </c>
      <c r="E78" s="22" t="str">
        <f t="shared" si="14"/>
        <v/>
      </c>
      <c r="F78" s="22" t="str">
        <f t="shared" si="15"/>
        <v/>
      </c>
      <c r="G78" s="125" t="str">
        <f t="shared" si="11"/>
        <v/>
      </c>
      <c r="H78" s="22" t="str">
        <f t="shared" si="16"/>
        <v/>
      </c>
      <c r="I78" s="282" t="str">
        <f t="shared" si="12"/>
        <v/>
      </c>
      <c r="J78" s="22" t="str">
        <f t="shared" si="17"/>
        <v/>
      </c>
      <c r="K78" s="22" t="str">
        <f t="shared" si="18"/>
        <v/>
      </c>
      <c r="L78" s="125" t="str">
        <f t="shared" si="19"/>
        <v/>
      </c>
      <c r="M78" s="22" t="str">
        <f t="shared" si="20"/>
        <v/>
      </c>
      <c r="N78" s="22" t="str">
        <f t="shared" si="21"/>
        <v/>
      </c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</row>
    <row r="79" spans="1:25" x14ac:dyDescent="0.2">
      <c r="A79" s="390" t="str">
        <f>IF(Cy!C80="","",Cy!C80)</f>
        <v/>
      </c>
      <c r="B79" s="126"/>
      <c r="C79" s="22" t="str">
        <f t="shared" si="13"/>
        <v/>
      </c>
      <c r="D79" s="282" t="str">
        <f>IF(Cy!D80="","",Cy!D80)</f>
        <v/>
      </c>
      <c r="E79" s="22" t="str">
        <f t="shared" si="14"/>
        <v/>
      </c>
      <c r="F79" s="22" t="str">
        <f t="shared" si="15"/>
        <v/>
      </c>
      <c r="G79" s="125" t="str">
        <f t="shared" si="11"/>
        <v/>
      </c>
      <c r="H79" s="22" t="str">
        <f t="shared" si="16"/>
        <v/>
      </c>
      <c r="I79" s="282" t="str">
        <f t="shared" si="12"/>
        <v/>
      </c>
      <c r="J79" s="22" t="str">
        <f t="shared" si="17"/>
        <v/>
      </c>
      <c r="K79" s="22" t="str">
        <f t="shared" si="18"/>
        <v/>
      </c>
      <c r="L79" s="125" t="str">
        <f t="shared" si="19"/>
        <v/>
      </c>
      <c r="M79" s="22" t="str">
        <f t="shared" si="20"/>
        <v/>
      </c>
      <c r="N79" s="22" t="str">
        <f t="shared" si="21"/>
        <v/>
      </c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</row>
    <row r="80" spans="1:25" x14ac:dyDescent="0.2">
      <c r="A80" s="390" t="str">
        <f>IF(Cy!C81="","",Cy!C81)</f>
        <v/>
      </c>
      <c r="B80" s="133"/>
      <c r="C80" s="131" t="str">
        <f t="shared" si="13"/>
        <v/>
      </c>
      <c r="D80" s="282" t="str">
        <f>IF(Cy!D81="","",Cy!D81)</f>
        <v/>
      </c>
      <c r="E80" s="131" t="str">
        <f t="shared" si="14"/>
        <v/>
      </c>
      <c r="F80" s="131" t="str">
        <f t="shared" si="15"/>
        <v/>
      </c>
      <c r="G80" s="132" t="str">
        <f t="shared" si="11"/>
        <v/>
      </c>
      <c r="H80" s="131" t="str">
        <f t="shared" si="16"/>
        <v/>
      </c>
      <c r="I80" s="282" t="str">
        <f t="shared" si="12"/>
        <v/>
      </c>
      <c r="J80" s="131" t="str">
        <f t="shared" si="17"/>
        <v/>
      </c>
      <c r="K80" s="131" t="str">
        <f t="shared" si="18"/>
        <v/>
      </c>
      <c r="L80" s="132" t="str">
        <f t="shared" si="19"/>
        <v/>
      </c>
      <c r="M80" s="131" t="str">
        <f t="shared" si="20"/>
        <v/>
      </c>
      <c r="N80" s="131" t="str">
        <f t="shared" si="21"/>
        <v/>
      </c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</row>
    <row r="81" spans="1:25" x14ac:dyDescent="0.2">
      <c r="A81" s="390" t="str">
        <f>IF(Cy!C82="","",Cy!C82)</f>
        <v/>
      </c>
      <c r="B81" s="126"/>
      <c r="C81" s="22" t="str">
        <f t="shared" si="13"/>
        <v/>
      </c>
      <c r="D81" s="282" t="str">
        <f>IF(Cy!D82="","",Cy!D82)</f>
        <v/>
      </c>
      <c r="E81" s="22" t="str">
        <f t="shared" si="14"/>
        <v/>
      </c>
      <c r="F81" s="22" t="str">
        <f t="shared" si="15"/>
        <v/>
      </c>
      <c r="G81" s="125" t="str">
        <f t="shared" si="11"/>
        <v/>
      </c>
      <c r="H81" s="22" t="str">
        <f t="shared" si="16"/>
        <v/>
      </c>
      <c r="I81" s="282" t="str">
        <f t="shared" si="12"/>
        <v/>
      </c>
      <c r="J81" s="22" t="str">
        <f t="shared" si="17"/>
        <v/>
      </c>
      <c r="K81" s="22" t="str">
        <f t="shared" si="18"/>
        <v/>
      </c>
      <c r="L81" s="125" t="str">
        <f t="shared" si="19"/>
        <v/>
      </c>
      <c r="M81" s="22" t="str">
        <f t="shared" si="20"/>
        <v/>
      </c>
      <c r="N81" s="22" t="str">
        <f t="shared" si="21"/>
        <v/>
      </c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</row>
    <row r="82" spans="1:25" x14ac:dyDescent="0.2">
      <c r="A82" s="390" t="str">
        <f>IF(Cy!C83="","",Cy!C83)</f>
        <v/>
      </c>
      <c r="B82" s="126"/>
      <c r="C82" s="22" t="str">
        <f t="shared" si="13"/>
        <v/>
      </c>
      <c r="D82" s="282" t="str">
        <f>IF(Cy!D83="","",Cy!D83)</f>
        <v/>
      </c>
      <c r="E82" s="22" t="str">
        <f t="shared" si="14"/>
        <v/>
      </c>
      <c r="F82" s="22" t="str">
        <f t="shared" si="15"/>
        <v/>
      </c>
      <c r="G82" s="125" t="str">
        <f t="shared" si="11"/>
        <v/>
      </c>
      <c r="H82" s="22" t="str">
        <f t="shared" si="16"/>
        <v/>
      </c>
      <c r="I82" s="282" t="str">
        <f t="shared" si="12"/>
        <v/>
      </c>
      <c r="J82" s="22" t="str">
        <f t="shared" si="17"/>
        <v/>
      </c>
      <c r="K82" s="22" t="str">
        <f t="shared" si="18"/>
        <v/>
      </c>
      <c r="L82" s="125" t="str">
        <f t="shared" si="19"/>
        <v/>
      </c>
      <c r="M82" s="22" t="str">
        <f t="shared" si="20"/>
        <v/>
      </c>
      <c r="N82" s="22" t="str">
        <f t="shared" si="21"/>
        <v/>
      </c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</row>
    <row r="83" spans="1:25" x14ac:dyDescent="0.2">
      <c r="A83" s="390" t="str">
        <f>IF(Cy!C84="","",Cy!C84)</f>
        <v/>
      </c>
      <c r="B83" s="126"/>
      <c r="C83" s="22" t="str">
        <f t="shared" si="13"/>
        <v/>
      </c>
      <c r="D83" s="282" t="str">
        <f>IF(Cy!D84="","",Cy!D84)</f>
        <v/>
      </c>
      <c r="E83" s="22" t="str">
        <f t="shared" si="14"/>
        <v/>
      </c>
      <c r="F83" s="22" t="str">
        <f t="shared" si="15"/>
        <v/>
      </c>
      <c r="G83" s="125" t="str">
        <f t="shared" si="11"/>
        <v/>
      </c>
      <c r="H83" s="22" t="str">
        <f t="shared" si="16"/>
        <v/>
      </c>
      <c r="I83" s="282" t="str">
        <f t="shared" si="12"/>
        <v/>
      </c>
      <c r="J83" s="22" t="str">
        <f t="shared" si="17"/>
        <v/>
      </c>
      <c r="K83" s="22" t="str">
        <f t="shared" si="18"/>
        <v/>
      </c>
      <c r="L83" s="125" t="str">
        <f t="shared" si="19"/>
        <v/>
      </c>
      <c r="M83" s="22" t="str">
        <f t="shared" si="20"/>
        <v/>
      </c>
      <c r="N83" s="22" t="str">
        <f t="shared" si="21"/>
        <v/>
      </c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</row>
    <row r="84" spans="1:25" x14ac:dyDescent="0.2">
      <c r="A84" s="390" t="str">
        <f>IF(Cy!C85="","",Cy!C85)</f>
        <v/>
      </c>
      <c r="B84" s="126"/>
      <c r="C84" s="22" t="str">
        <f t="shared" si="13"/>
        <v/>
      </c>
      <c r="D84" s="282" t="str">
        <f>IF(Cy!D85="","",Cy!D85)</f>
        <v/>
      </c>
      <c r="E84" s="22" t="str">
        <f t="shared" si="14"/>
        <v/>
      </c>
      <c r="F84" s="22" t="str">
        <f t="shared" si="15"/>
        <v/>
      </c>
      <c r="G84" s="125" t="str">
        <f t="shared" si="11"/>
        <v/>
      </c>
      <c r="H84" s="22" t="str">
        <f t="shared" si="16"/>
        <v/>
      </c>
      <c r="I84" s="282" t="str">
        <f t="shared" si="12"/>
        <v/>
      </c>
      <c r="J84" s="22" t="str">
        <f t="shared" si="17"/>
        <v/>
      </c>
      <c r="K84" s="22" t="str">
        <f t="shared" si="18"/>
        <v/>
      </c>
      <c r="L84" s="125" t="str">
        <f t="shared" si="19"/>
        <v/>
      </c>
      <c r="M84" s="22" t="str">
        <f t="shared" si="20"/>
        <v/>
      </c>
      <c r="N84" s="22" t="str">
        <f t="shared" si="21"/>
        <v/>
      </c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</row>
    <row r="85" spans="1:25" x14ac:dyDescent="0.2">
      <c r="A85" s="390" t="str">
        <f>IF(Cy!C86="","",Cy!C86)</f>
        <v/>
      </c>
      <c r="B85" s="126"/>
      <c r="C85" s="22" t="str">
        <f t="shared" si="13"/>
        <v/>
      </c>
      <c r="D85" s="282" t="str">
        <f>IF(Cy!D86="","",Cy!D86)</f>
        <v/>
      </c>
      <c r="E85" s="22" t="str">
        <f t="shared" si="14"/>
        <v/>
      </c>
      <c r="F85" s="22" t="str">
        <f t="shared" si="15"/>
        <v/>
      </c>
      <c r="G85" s="125" t="str">
        <f t="shared" si="11"/>
        <v/>
      </c>
      <c r="H85" s="22" t="str">
        <f t="shared" si="16"/>
        <v/>
      </c>
      <c r="I85" s="282" t="str">
        <f t="shared" si="12"/>
        <v/>
      </c>
      <c r="J85" s="22" t="str">
        <f t="shared" si="17"/>
        <v/>
      </c>
      <c r="K85" s="22" t="str">
        <f t="shared" si="18"/>
        <v/>
      </c>
      <c r="L85" s="125" t="str">
        <f t="shared" si="19"/>
        <v/>
      </c>
      <c r="M85" s="22" t="str">
        <f t="shared" si="20"/>
        <v/>
      </c>
      <c r="N85" s="22" t="str">
        <f t="shared" si="21"/>
        <v/>
      </c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</row>
    <row r="86" spans="1:25" x14ac:dyDescent="0.2">
      <c r="A86" s="390" t="str">
        <f>IF(Cy!C87="","",Cy!C87)</f>
        <v/>
      </c>
      <c r="B86" s="126"/>
      <c r="C86" s="22" t="str">
        <f t="shared" si="13"/>
        <v/>
      </c>
      <c r="D86" s="282" t="str">
        <f>IF(Cy!D87="","",Cy!D87)</f>
        <v/>
      </c>
      <c r="E86" s="22" t="str">
        <f t="shared" si="14"/>
        <v/>
      </c>
      <c r="F86" s="22" t="str">
        <f t="shared" si="15"/>
        <v/>
      </c>
      <c r="G86" s="125" t="str">
        <f t="shared" si="11"/>
        <v/>
      </c>
      <c r="H86" s="22" t="str">
        <f t="shared" si="16"/>
        <v/>
      </c>
      <c r="I86" s="282" t="str">
        <f t="shared" si="12"/>
        <v/>
      </c>
      <c r="J86" s="22" t="str">
        <f t="shared" si="17"/>
        <v/>
      </c>
      <c r="K86" s="22" t="str">
        <f t="shared" si="18"/>
        <v/>
      </c>
      <c r="L86" s="125" t="str">
        <f t="shared" si="19"/>
        <v/>
      </c>
      <c r="M86" s="22" t="str">
        <f t="shared" si="20"/>
        <v/>
      </c>
      <c r="N86" s="22" t="str">
        <f t="shared" si="21"/>
        <v/>
      </c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</row>
    <row r="87" spans="1:25" x14ac:dyDescent="0.2">
      <c r="A87" s="390" t="str">
        <f>IF(Cy!C88="","",Cy!C88)</f>
        <v/>
      </c>
      <c r="B87" s="126"/>
      <c r="C87" s="22" t="str">
        <f t="shared" si="13"/>
        <v/>
      </c>
      <c r="D87" s="282" t="str">
        <f>IF(Cy!D88="","",Cy!D88)</f>
        <v/>
      </c>
      <c r="E87" s="22" t="str">
        <f t="shared" si="14"/>
        <v/>
      </c>
      <c r="F87" s="22" t="str">
        <f t="shared" si="15"/>
        <v/>
      </c>
      <c r="G87" s="125" t="str">
        <f t="shared" si="11"/>
        <v/>
      </c>
      <c r="H87" s="22" t="str">
        <f t="shared" si="16"/>
        <v/>
      </c>
      <c r="I87" s="282" t="str">
        <f t="shared" si="12"/>
        <v/>
      </c>
      <c r="J87" s="22" t="str">
        <f t="shared" si="17"/>
        <v/>
      </c>
      <c r="K87" s="22" t="str">
        <f t="shared" si="18"/>
        <v/>
      </c>
      <c r="L87" s="125" t="str">
        <f t="shared" si="19"/>
        <v/>
      </c>
      <c r="M87" s="22" t="str">
        <f t="shared" si="20"/>
        <v/>
      </c>
      <c r="N87" s="22" t="str">
        <f t="shared" si="21"/>
        <v/>
      </c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</row>
    <row r="88" spans="1:25" x14ac:dyDescent="0.2">
      <c r="A88" s="390" t="str">
        <f>IF(Cy!C89="","",Cy!C89)</f>
        <v/>
      </c>
      <c r="B88" s="126"/>
      <c r="C88" s="22" t="str">
        <f t="shared" si="13"/>
        <v/>
      </c>
      <c r="D88" s="282" t="str">
        <f>IF(Cy!D89="","",Cy!D89)</f>
        <v/>
      </c>
      <c r="E88" s="22" t="str">
        <f t="shared" si="14"/>
        <v/>
      </c>
      <c r="F88" s="22" t="str">
        <f t="shared" si="15"/>
        <v/>
      </c>
      <c r="G88" s="125" t="str">
        <f t="shared" si="11"/>
        <v/>
      </c>
      <c r="H88" s="22" t="str">
        <f t="shared" si="16"/>
        <v/>
      </c>
      <c r="I88" s="282" t="str">
        <f t="shared" si="12"/>
        <v/>
      </c>
      <c r="J88" s="22" t="str">
        <f t="shared" si="17"/>
        <v/>
      </c>
      <c r="K88" s="22" t="str">
        <f t="shared" si="18"/>
        <v/>
      </c>
      <c r="L88" s="125" t="str">
        <f t="shared" si="19"/>
        <v/>
      </c>
      <c r="M88" s="22" t="str">
        <f t="shared" si="20"/>
        <v/>
      </c>
      <c r="N88" s="22" t="str">
        <f t="shared" si="21"/>
        <v/>
      </c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</row>
    <row r="89" spans="1:25" x14ac:dyDescent="0.2">
      <c r="A89" s="390" t="str">
        <f>IF(Cy!C90="","",Cy!C90)</f>
        <v/>
      </c>
      <c r="B89" s="126"/>
      <c r="C89" s="22" t="str">
        <f t="shared" si="13"/>
        <v/>
      </c>
      <c r="D89" s="282" t="str">
        <f>IF(Cy!D90="","",Cy!D90)</f>
        <v/>
      </c>
      <c r="E89" s="22" t="str">
        <f t="shared" si="14"/>
        <v/>
      </c>
      <c r="F89" s="22" t="str">
        <f t="shared" si="15"/>
        <v/>
      </c>
      <c r="G89" s="125" t="str">
        <f t="shared" si="11"/>
        <v/>
      </c>
      <c r="H89" s="22" t="str">
        <f t="shared" si="16"/>
        <v/>
      </c>
      <c r="I89" s="282" t="str">
        <f t="shared" si="12"/>
        <v/>
      </c>
      <c r="J89" s="22" t="str">
        <f t="shared" si="17"/>
        <v/>
      </c>
      <c r="K89" s="22" t="str">
        <f t="shared" si="18"/>
        <v/>
      </c>
      <c r="L89" s="125" t="str">
        <f t="shared" si="19"/>
        <v/>
      </c>
      <c r="M89" s="22" t="str">
        <f t="shared" si="20"/>
        <v/>
      </c>
      <c r="N89" s="22" t="str">
        <f t="shared" si="21"/>
        <v/>
      </c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</row>
    <row r="90" spans="1:25" x14ac:dyDescent="0.2">
      <c r="A90" s="390" t="str">
        <f>IF(Cy!C91="","",Cy!C91)</f>
        <v/>
      </c>
      <c r="B90" s="126"/>
      <c r="C90" s="22" t="str">
        <f t="shared" si="13"/>
        <v/>
      </c>
      <c r="D90" s="282" t="str">
        <f>IF(Cy!D91="","",Cy!D91)</f>
        <v/>
      </c>
      <c r="E90" s="22" t="str">
        <f t="shared" si="14"/>
        <v/>
      </c>
      <c r="F90" s="22" t="str">
        <f t="shared" si="15"/>
        <v/>
      </c>
      <c r="G90" s="125" t="str">
        <f t="shared" si="11"/>
        <v/>
      </c>
      <c r="H90" s="22" t="str">
        <f t="shared" si="16"/>
        <v/>
      </c>
      <c r="I90" s="282" t="str">
        <f t="shared" si="12"/>
        <v/>
      </c>
      <c r="J90" s="22" t="str">
        <f t="shared" si="17"/>
        <v/>
      </c>
      <c r="K90" s="22" t="str">
        <f t="shared" si="18"/>
        <v/>
      </c>
      <c r="L90" s="125" t="str">
        <f t="shared" si="19"/>
        <v/>
      </c>
      <c r="M90" s="22" t="str">
        <f t="shared" si="20"/>
        <v/>
      </c>
      <c r="N90" s="22" t="str">
        <f t="shared" si="21"/>
        <v/>
      </c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</row>
    <row r="91" spans="1:25" x14ac:dyDescent="0.2">
      <c r="A91" s="390" t="str">
        <f>IF(Cy!C92="","",Cy!C92)</f>
        <v/>
      </c>
      <c r="B91" s="126"/>
      <c r="C91" s="22" t="str">
        <f t="shared" si="13"/>
        <v/>
      </c>
      <c r="D91" s="282" t="str">
        <f>IF(Cy!D92="","",Cy!D92)</f>
        <v/>
      </c>
      <c r="E91" s="22" t="str">
        <f t="shared" si="14"/>
        <v/>
      </c>
      <c r="F91" s="22" t="str">
        <f t="shared" si="15"/>
        <v/>
      </c>
      <c r="G91" s="125" t="str">
        <f t="shared" si="11"/>
        <v/>
      </c>
      <c r="H91" s="22" t="str">
        <f t="shared" si="16"/>
        <v/>
      </c>
      <c r="I91" s="282" t="str">
        <f t="shared" si="12"/>
        <v/>
      </c>
      <c r="J91" s="22" t="str">
        <f t="shared" si="17"/>
        <v/>
      </c>
      <c r="K91" s="22" t="str">
        <f t="shared" si="18"/>
        <v/>
      </c>
      <c r="L91" s="125" t="str">
        <f t="shared" si="19"/>
        <v/>
      </c>
      <c r="M91" s="22" t="str">
        <f t="shared" si="20"/>
        <v/>
      </c>
      <c r="N91" s="22" t="str">
        <f t="shared" si="21"/>
        <v/>
      </c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</row>
    <row r="92" spans="1:25" x14ac:dyDescent="0.2">
      <c r="A92" s="390" t="str">
        <f>IF(Cy!C93="","",Cy!C93)</f>
        <v/>
      </c>
      <c r="B92" s="126"/>
      <c r="C92" s="22" t="str">
        <f t="shared" si="13"/>
        <v/>
      </c>
      <c r="D92" s="282" t="str">
        <f>IF(Cy!D93="","",Cy!D93)</f>
        <v/>
      </c>
      <c r="E92" s="22" t="str">
        <f t="shared" si="14"/>
        <v/>
      </c>
      <c r="F92" s="22" t="str">
        <f t="shared" si="15"/>
        <v/>
      </c>
      <c r="G92" s="125" t="str">
        <f t="shared" si="11"/>
        <v/>
      </c>
      <c r="H92" s="22" t="str">
        <f t="shared" si="16"/>
        <v/>
      </c>
      <c r="I92" s="282" t="str">
        <f t="shared" si="12"/>
        <v/>
      </c>
      <c r="J92" s="22" t="str">
        <f t="shared" si="17"/>
        <v/>
      </c>
      <c r="K92" s="22" t="str">
        <f t="shared" si="18"/>
        <v/>
      </c>
      <c r="L92" s="125" t="str">
        <f t="shared" si="19"/>
        <v/>
      </c>
      <c r="M92" s="22" t="str">
        <f t="shared" si="20"/>
        <v/>
      </c>
      <c r="N92" s="22" t="str">
        <f t="shared" si="21"/>
        <v/>
      </c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</row>
    <row r="93" spans="1:25" x14ac:dyDescent="0.2">
      <c r="A93" s="390" t="str">
        <f>IF(Cy!C94="","",Cy!C94)</f>
        <v/>
      </c>
      <c r="B93" s="126"/>
      <c r="C93" s="22" t="str">
        <f t="shared" si="13"/>
        <v/>
      </c>
      <c r="D93" s="282" t="str">
        <f>IF(Cy!D94="","",Cy!D94)</f>
        <v/>
      </c>
      <c r="E93" s="22" t="str">
        <f t="shared" si="14"/>
        <v/>
      </c>
      <c r="F93" s="22" t="str">
        <f t="shared" si="15"/>
        <v/>
      </c>
      <c r="G93" s="125" t="str">
        <f t="shared" si="11"/>
        <v/>
      </c>
      <c r="H93" s="22" t="str">
        <f t="shared" si="16"/>
        <v/>
      </c>
      <c r="I93" s="282" t="str">
        <f t="shared" si="12"/>
        <v/>
      </c>
      <c r="J93" s="22" t="str">
        <f t="shared" si="17"/>
        <v/>
      </c>
      <c r="K93" s="22" t="str">
        <f t="shared" si="18"/>
        <v/>
      </c>
      <c r="L93" s="125" t="str">
        <f t="shared" si="19"/>
        <v/>
      </c>
      <c r="M93" s="22" t="str">
        <f t="shared" si="20"/>
        <v/>
      </c>
      <c r="N93" s="22" t="str">
        <f t="shared" si="21"/>
        <v/>
      </c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</row>
    <row r="94" spans="1:25" x14ac:dyDescent="0.2">
      <c r="A94" s="390" t="str">
        <f>IF(Cy!C95="","",Cy!C95)</f>
        <v/>
      </c>
      <c r="B94" s="126"/>
      <c r="C94" s="22" t="str">
        <f t="shared" si="13"/>
        <v/>
      </c>
      <c r="D94" s="282" t="str">
        <f>IF(Cy!D95="","",Cy!D95)</f>
        <v/>
      </c>
      <c r="E94" s="22" t="str">
        <f t="shared" si="14"/>
        <v/>
      </c>
      <c r="F94" s="22" t="str">
        <f t="shared" si="15"/>
        <v/>
      </c>
      <c r="G94" s="125" t="str">
        <f t="shared" si="11"/>
        <v/>
      </c>
      <c r="H94" s="22" t="str">
        <f t="shared" si="16"/>
        <v/>
      </c>
      <c r="I94" s="282" t="str">
        <f t="shared" si="12"/>
        <v/>
      </c>
      <c r="J94" s="22" t="str">
        <f t="shared" si="17"/>
        <v/>
      </c>
      <c r="K94" s="22" t="str">
        <f t="shared" si="18"/>
        <v/>
      </c>
      <c r="L94" s="125" t="str">
        <f t="shared" si="19"/>
        <v/>
      </c>
      <c r="M94" s="22" t="str">
        <f t="shared" si="20"/>
        <v/>
      </c>
      <c r="N94" s="22" t="str">
        <f t="shared" si="21"/>
        <v/>
      </c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</row>
    <row r="95" spans="1:25" x14ac:dyDescent="0.2">
      <c r="A95" s="390" t="str">
        <f>IF(Cy!C96="","",Cy!C96)</f>
        <v/>
      </c>
      <c r="B95" s="126"/>
      <c r="C95" s="22" t="str">
        <f t="shared" si="13"/>
        <v/>
      </c>
      <c r="D95" s="282" t="str">
        <f>IF(Cy!D96="","",Cy!D96)</f>
        <v/>
      </c>
      <c r="E95" s="22" t="str">
        <f t="shared" si="14"/>
        <v/>
      </c>
      <c r="F95" s="22" t="str">
        <f t="shared" si="15"/>
        <v/>
      </c>
      <c r="G95" s="125" t="str">
        <f t="shared" si="11"/>
        <v/>
      </c>
      <c r="H95" s="22" t="str">
        <f t="shared" si="16"/>
        <v/>
      </c>
      <c r="I95" s="282" t="str">
        <f t="shared" si="12"/>
        <v/>
      </c>
      <c r="J95" s="22" t="str">
        <f t="shared" si="17"/>
        <v/>
      </c>
      <c r="K95" s="22" t="str">
        <f t="shared" si="18"/>
        <v/>
      </c>
      <c r="L95" s="125" t="str">
        <f t="shared" si="19"/>
        <v/>
      </c>
      <c r="M95" s="22" t="str">
        <f t="shared" si="20"/>
        <v/>
      </c>
      <c r="N95" s="22" t="str">
        <f t="shared" si="21"/>
        <v/>
      </c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</row>
    <row r="96" spans="1:25" x14ac:dyDescent="0.2">
      <c r="A96" s="390" t="str">
        <f>IF(Cy!C97="","",Cy!C97)</f>
        <v/>
      </c>
      <c r="B96" s="126"/>
      <c r="C96" s="22" t="str">
        <f t="shared" si="13"/>
        <v/>
      </c>
      <c r="D96" s="282" t="str">
        <f>IF(Cy!D97="","",Cy!D97)</f>
        <v/>
      </c>
      <c r="E96" s="22" t="str">
        <f t="shared" si="14"/>
        <v/>
      </c>
      <c r="F96" s="22" t="str">
        <f t="shared" si="15"/>
        <v/>
      </c>
      <c r="G96" s="125" t="str">
        <f t="shared" si="11"/>
        <v/>
      </c>
      <c r="H96" s="22" t="str">
        <f t="shared" si="16"/>
        <v/>
      </c>
      <c r="I96" s="282" t="str">
        <f t="shared" si="12"/>
        <v/>
      </c>
      <c r="J96" s="22" t="str">
        <f t="shared" si="17"/>
        <v/>
      </c>
      <c r="K96" s="22" t="str">
        <f t="shared" si="18"/>
        <v/>
      </c>
      <c r="L96" s="125" t="str">
        <f t="shared" si="19"/>
        <v/>
      </c>
      <c r="M96" s="22" t="str">
        <f t="shared" si="20"/>
        <v/>
      </c>
      <c r="N96" s="22" t="str">
        <f t="shared" si="21"/>
        <v/>
      </c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</row>
    <row r="97" spans="1:25" x14ac:dyDescent="0.2">
      <c r="A97" s="390" t="str">
        <f>IF(Cy!C98="","",Cy!C98)</f>
        <v/>
      </c>
      <c r="B97" s="126"/>
      <c r="C97" s="22" t="str">
        <f t="shared" si="13"/>
        <v/>
      </c>
      <c r="D97" s="282" t="str">
        <f>IF(Cy!D98="","",Cy!D98)</f>
        <v/>
      </c>
      <c r="E97" s="22" t="str">
        <f t="shared" si="14"/>
        <v/>
      </c>
      <c r="F97" s="22" t="str">
        <f t="shared" si="15"/>
        <v/>
      </c>
      <c r="G97" s="125" t="str">
        <f t="shared" si="11"/>
        <v/>
      </c>
      <c r="H97" s="22" t="str">
        <f t="shared" si="16"/>
        <v/>
      </c>
      <c r="I97" s="282" t="str">
        <f t="shared" si="12"/>
        <v/>
      </c>
      <c r="J97" s="22" t="str">
        <f t="shared" si="17"/>
        <v/>
      </c>
      <c r="K97" s="22" t="str">
        <f t="shared" si="18"/>
        <v/>
      </c>
      <c r="L97" s="125" t="str">
        <f t="shared" si="19"/>
        <v/>
      </c>
      <c r="M97" s="22" t="str">
        <f t="shared" si="20"/>
        <v/>
      </c>
      <c r="N97" s="22" t="str">
        <f t="shared" si="21"/>
        <v/>
      </c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</row>
    <row r="98" spans="1:25" x14ac:dyDescent="0.2">
      <c r="A98" s="390" t="str">
        <f>IF(Cy!C99="","",Cy!C99)</f>
        <v/>
      </c>
      <c r="B98" s="126"/>
      <c r="C98" s="22" t="str">
        <f t="shared" si="13"/>
        <v/>
      </c>
      <c r="D98" s="282" t="str">
        <f>IF(Cy!D99="","",Cy!D99)</f>
        <v/>
      </c>
      <c r="E98" s="22" t="str">
        <f t="shared" si="14"/>
        <v/>
      </c>
      <c r="F98" s="22" t="str">
        <f t="shared" si="15"/>
        <v/>
      </c>
      <c r="G98" s="125" t="str">
        <f t="shared" si="11"/>
        <v/>
      </c>
      <c r="H98" s="22" t="str">
        <f t="shared" si="16"/>
        <v/>
      </c>
      <c r="I98" s="282" t="str">
        <f t="shared" si="12"/>
        <v/>
      </c>
      <c r="J98" s="22" t="str">
        <f t="shared" si="17"/>
        <v/>
      </c>
      <c r="K98" s="22" t="str">
        <f t="shared" si="18"/>
        <v/>
      </c>
      <c r="L98" s="125" t="str">
        <f t="shared" si="19"/>
        <v/>
      </c>
      <c r="M98" s="22" t="str">
        <f t="shared" si="20"/>
        <v/>
      </c>
      <c r="N98" s="22" t="str">
        <f t="shared" si="21"/>
        <v/>
      </c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</row>
    <row r="99" spans="1:25" x14ac:dyDescent="0.2">
      <c r="A99" s="390" t="str">
        <f>IF(Cy!C100="","",Cy!C100)</f>
        <v/>
      </c>
      <c r="B99" s="126"/>
      <c r="C99" s="22" t="str">
        <f t="shared" si="13"/>
        <v/>
      </c>
      <c r="D99" s="282" t="str">
        <f>IF(Cy!D100="","",Cy!D100)</f>
        <v/>
      </c>
      <c r="E99" s="22" t="str">
        <f t="shared" si="14"/>
        <v/>
      </c>
      <c r="F99" s="22" t="str">
        <f t="shared" si="15"/>
        <v/>
      </c>
      <c r="G99" s="125" t="str">
        <f t="shared" si="11"/>
        <v/>
      </c>
      <c r="H99" s="22" t="str">
        <f t="shared" si="16"/>
        <v/>
      </c>
      <c r="I99" s="282" t="str">
        <f t="shared" si="12"/>
        <v/>
      </c>
      <c r="J99" s="22" t="str">
        <f t="shared" si="17"/>
        <v/>
      </c>
      <c r="K99" s="22" t="str">
        <f t="shared" si="18"/>
        <v/>
      </c>
      <c r="L99" s="125" t="str">
        <f t="shared" si="19"/>
        <v/>
      </c>
      <c r="M99" s="22" t="str">
        <f t="shared" si="20"/>
        <v/>
      </c>
      <c r="N99" s="22" t="str">
        <f t="shared" si="21"/>
        <v/>
      </c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</row>
    <row r="100" spans="1:25" x14ac:dyDescent="0.2">
      <c r="A100" s="390" t="str">
        <f>IF(Cy!C101="","",Cy!C101)</f>
        <v/>
      </c>
      <c r="B100" s="126"/>
      <c r="C100" s="22" t="str">
        <f t="shared" si="13"/>
        <v/>
      </c>
      <c r="D100" s="282" t="str">
        <f>IF(Cy!D101="","",Cy!D101)</f>
        <v/>
      </c>
      <c r="E100" s="22" t="str">
        <f t="shared" si="14"/>
        <v/>
      </c>
      <c r="F100" s="22" t="str">
        <f t="shared" si="15"/>
        <v/>
      </c>
      <c r="G100" s="125" t="str">
        <f t="shared" si="11"/>
        <v/>
      </c>
      <c r="H100" s="22" t="str">
        <f t="shared" si="16"/>
        <v/>
      </c>
      <c r="I100" s="282" t="str">
        <f t="shared" si="12"/>
        <v/>
      </c>
      <c r="J100" s="22" t="str">
        <f t="shared" si="17"/>
        <v/>
      </c>
      <c r="K100" s="22" t="str">
        <f t="shared" si="18"/>
        <v/>
      </c>
      <c r="L100" s="125" t="str">
        <f t="shared" si="19"/>
        <v/>
      </c>
      <c r="M100" s="22" t="str">
        <f t="shared" si="20"/>
        <v/>
      </c>
      <c r="N100" s="22" t="str">
        <f t="shared" si="21"/>
        <v/>
      </c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</row>
    <row r="101" spans="1:25" x14ac:dyDescent="0.2">
      <c r="A101" s="390" t="str">
        <f>IF(Cy!C102="","",Cy!C102)</f>
        <v/>
      </c>
      <c r="B101" s="126"/>
      <c r="C101" s="22" t="str">
        <f t="shared" si="13"/>
        <v/>
      </c>
      <c r="D101" s="282" t="str">
        <f>IF(Cy!D102="","",Cy!D102)</f>
        <v/>
      </c>
      <c r="E101" s="22" t="str">
        <f t="shared" si="14"/>
        <v/>
      </c>
      <c r="F101" s="22" t="str">
        <f t="shared" si="15"/>
        <v/>
      </c>
      <c r="G101" s="125" t="str">
        <f t="shared" si="11"/>
        <v/>
      </c>
      <c r="H101" s="22" t="str">
        <f t="shared" si="16"/>
        <v/>
      </c>
      <c r="I101" s="282" t="str">
        <f t="shared" si="12"/>
        <v/>
      </c>
      <c r="J101" s="22" t="str">
        <f t="shared" si="17"/>
        <v/>
      </c>
      <c r="K101" s="22" t="str">
        <f t="shared" si="18"/>
        <v/>
      </c>
      <c r="L101" s="125" t="str">
        <f t="shared" si="19"/>
        <v/>
      </c>
      <c r="M101" s="22" t="str">
        <f t="shared" si="20"/>
        <v/>
      </c>
      <c r="N101" s="22" t="str">
        <f t="shared" si="21"/>
        <v/>
      </c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</row>
    <row r="102" spans="1:25" ht="13.5" thickBot="1" x14ac:dyDescent="0.25">
      <c r="A102" s="391" t="str">
        <f>IF(Cy!C103="","",Cy!C103)</f>
        <v/>
      </c>
      <c r="B102" s="122"/>
      <c r="C102" s="120" t="str">
        <f t="shared" si="13"/>
        <v/>
      </c>
      <c r="D102" s="283" t="str">
        <f>IF(Cy!D103="","",Cy!D103)</f>
        <v/>
      </c>
      <c r="E102" s="120" t="str">
        <f t="shared" si="14"/>
        <v/>
      </c>
      <c r="F102" s="120" t="str">
        <f t="shared" si="15"/>
        <v/>
      </c>
      <c r="G102" s="121" t="str">
        <f t="shared" si="11"/>
        <v/>
      </c>
      <c r="H102" s="120" t="str">
        <f t="shared" si="16"/>
        <v/>
      </c>
      <c r="I102" s="283" t="str">
        <f t="shared" si="12"/>
        <v/>
      </c>
      <c r="J102" s="120" t="str">
        <f t="shared" si="17"/>
        <v/>
      </c>
      <c r="K102" s="120" t="str">
        <f t="shared" si="18"/>
        <v/>
      </c>
      <c r="L102" s="121" t="str">
        <f t="shared" si="19"/>
        <v/>
      </c>
      <c r="M102" s="120" t="str">
        <f t="shared" si="20"/>
        <v/>
      </c>
      <c r="N102" s="120" t="str">
        <f t="shared" si="21"/>
        <v/>
      </c>
      <c r="O102" s="212"/>
      <c r="P102" s="212"/>
      <c r="Q102" s="212"/>
      <c r="R102" s="212"/>
      <c r="S102" s="212"/>
      <c r="T102" s="212"/>
      <c r="U102" s="212"/>
      <c r="V102" s="212"/>
      <c r="W102" s="212"/>
      <c r="X102" s="212"/>
      <c r="Y102" s="212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N4" sqref="N4"/>
    </sheetView>
  </sheetViews>
  <sheetFormatPr defaultRowHeight="12.75" x14ac:dyDescent="0.2"/>
  <cols>
    <col min="3" max="3" width="4.42578125" hidden="1" customWidth="1"/>
    <col min="4" max="4" width="11" hidden="1" customWidth="1"/>
    <col min="6" max="6" width="4.42578125" hidden="1" customWidth="1"/>
    <col min="7" max="7" width="11" hidden="1" customWidth="1"/>
    <col min="8" max="8" width="4.42578125" hidden="1" customWidth="1"/>
    <col min="10" max="10" width="4.42578125" hidden="1" customWidth="1"/>
    <col min="11" max="11" width="11" hidden="1" customWidth="1"/>
  </cols>
  <sheetData>
    <row r="1" spans="1:14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2" t="s">
        <v>106</v>
      </c>
      <c r="F1" s="270" t="s">
        <v>0</v>
      </c>
      <c r="G1" s="270" t="s">
        <v>107</v>
      </c>
      <c r="H1" s="270" t="s">
        <v>0</v>
      </c>
      <c r="I1" s="272" t="s">
        <v>174</v>
      </c>
      <c r="J1" s="270" t="s">
        <v>0</v>
      </c>
      <c r="K1" s="270" t="s">
        <v>107</v>
      </c>
      <c r="L1" s="272" t="s">
        <v>173</v>
      </c>
      <c r="M1" s="271" t="s">
        <v>93</v>
      </c>
    </row>
    <row r="2" spans="1:14" x14ac:dyDescent="0.2">
      <c r="A2" s="139">
        <f>IF(CRes!A2="","",CRes!A2)</f>
        <v>42737</v>
      </c>
      <c r="B2" s="144"/>
      <c r="C2" s="141">
        <v>0</v>
      </c>
      <c r="D2" s="141">
        <v>1</v>
      </c>
      <c r="E2" s="144"/>
      <c r="F2" s="267"/>
      <c r="G2" s="267"/>
      <c r="H2" s="267"/>
      <c r="I2" s="267"/>
      <c r="J2" s="267"/>
      <c r="K2" s="267"/>
      <c r="L2" s="267"/>
      <c r="M2" s="124"/>
    </row>
    <row r="3" spans="1:14" x14ac:dyDescent="0.2">
      <c r="A3" s="139">
        <f>IF(CRes!A3="","",CRes!A3)</f>
        <v>42737</v>
      </c>
      <c r="B3" s="125">
        <f>CRes!L3</f>
        <v>-7.0758605943723768E-2</v>
      </c>
      <c r="C3" s="4">
        <f>IF(B3="","",C2+1)</f>
        <v>1</v>
      </c>
      <c r="D3" s="138">
        <f t="shared" ref="D3:D34" si="0">IF(B3="","",D2*(1+B3/100))</f>
        <v>0.99929241394056278</v>
      </c>
      <c r="E3" s="226">
        <f t="shared" ref="E3:E34" si="1">IF(B3="","",100*(D3^(1/C3)-1))</f>
        <v>-7.075860594372152E-2</v>
      </c>
      <c r="F3" s="142"/>
      <c r="G3" s="142"/>
      <c r="H3" s="142"/>
      <c r="I3" s="142"/>
      <c r="J3" s="142"/>
      <c r="K3" s="142"/>
      <c r="L3" s="142"/>
      <c r="M3" s="124"/>
      <c r="N3" s="272" t="s">
        <v>174</v>
      </c>
    </row>
    <row r="4" spans="1:14" x14ac:dyDescent="0.2">
      <c r="A4" s="139">
        <f>IF(CRes!A4="","",CRes!A4)</f>
        <v>42738</v>
      </c>
      <c r="B4" s="125">
        <f>CRes!L4</f>
        <v>4.288414782487629E-2</v>
      </c>
      <c r="C4" s="4">
        <f t="shared" ref="C4:C60" si="2">IF(B4="","",C3+1)</f>
        <v>2</v>
      </c>
      <c r="D4" s="138">
        <f t="shared" si="0"/>
        <v>0.99972095197655975</v>
      </c>
      <c r="E4" s="226">
        <f t="shared" si="1"/>
        <v>-1.3953374655328865E-2</v>
      </c>
      <c r="F4" s="142"/>
      <c r="G4" s="142"/>
      <c r="H4" s="142"/>
      <c r="I4" s="142"/>
      <c r="J4" s="142"/>
      <c r="K4" s="142"/>
      <c r="L4" s="142"/>
      <c r="M4" s="127"/>
      <c r="N4" s="265">
        <f>IF(I7="","",VLOOKUP(MAX(H7:H102),H7:I102,2,FALSE))</f>
        <v>0.16799646702851945</v>
      </c>
    </row>
    <row r="5" spans="1:14" x14ac:dyDescent="0.2">
      <c r="A5" s="139" t="str">
        <f>IF(CRes!A5="","",CRes!A5)</f>
        <v/>
      </c>
      <c r="B5" s="125">
        <f>CRes!L5</f>
        <v>8.2740895631699687E-2</v>
      </c>
      <c r="C5" s="4">
        <f t="shared" si="2"/>
        <v>3</v>
      </c>
      <c r="D5" s="138">
        <f t="shared" si="0"/>
        <v>1.0005481300460428</v>
      </c>
      <c r="E5" s="226">
        <f t="shared" si="1"/>
        <v>1.8267664255988691E-2</v>
      </c>
      <c r="F5" s="142"/>
      <c r="G5" s="142"/>
      <c r="H5" s="142"/>
      <c r="I5" s="142"/>
      <c r="J5" s="142"/>
      <c r="K5" s="142"/>
      <c r="L5" s="142"/>
      <c r="M5" s="127"/>
    </row>
    <row r="6" spans="1:14" x14ac:dyDescent="0.2">
      <c r="A6" s="139">
        <f>IF(CRes!A6="","",CRes!A6)</f>
        <v>42740</v>
      </c>
      <c r="B6" s="125">
        <f>CRes!L6</f>
        <v>-0.13845152219707388</v>
      </c>
      <c r="C6" s="4">
        <f t="shared" si="2"/>
        <v>4</v>
      </c>
      <c r="D6" s="138">
        <f t="shared" si="0"/>
        <v>0.99916285592967979</v>
      </c>
      <c r="E6" s="226">
        <f t="shared" si="1"/>
        <v>-2.0935175063829803E-2</v>
      </c>
      <c r="F6" s="141">
        <v>0</v>
      </c>
      <c r="G6" s="141">
        <v>1</v>
      </c>
      <c r="H6" s="141">
        <v>0</v>
      </c>
      <c r="I6" s="142"/>
      <c r="J6" s="142"/>
      <c r="K6" s="142"/>
      <c r="L6" s="142"/>
      <c r="M6" s="124"/>
    </row>
    <row r="7" spans="1:14" x14ac:dyDescent="0.2">
      <c r="A7" s="139">
        <f>IF(CRes!A7="","",CRes!A7)</f>
        <v>42741</v>
      </c>
      <c r="B7" s="125">
        <f>CRes!L7</f>
        <v>0.195829754153413</v>
      </c>
      <c r="C7" s="4">
        <f t="shared" si="2"/>
        <v>5</v>
      </c>
      <c r="D7" s="138">
        <f t="shared" si="0"/>
        <v>1.0011195140940392</v>
      </c>
      <c r="E7" s="226">
        <f t="shared" si="1"/>
        <v>2.2380262115939686E-2</v>
      </c>
      <c r="F7" s="4">
        <f t="shared" ref="F7:F38" si="3">IF(D7="","",F6+1)</f>
        <v>1</v>
      </c>
      <c r="G7" s="138">
        <f>IF(B7="","",G6*(1+B7/100))</f>
        <v>1.0019582975415342</v>
      </c>
      <c r="H7" s="4">
        <f t="shared" ref="H7:H38" si="4">IF(E7="","",H6+1)</f>
        <v>1</v>
      </c>
      <c r="I7" s="226">
        <f t="shared" ref="I7:I38" si="5">IF(B7="","",100*(G7^(1/F7)-1))</f>
        <v>0.19582975415342041</v>
      </c>
      <c r="J7" s="142"/>
      <c r="K7" s="142"/>
      <c r="L7" s="142"/>
      <c r="M7" s="124"/>
    </row>
    <row r="8" spans="1:14" x14ac:dyDescent="0.2">
      <c r="A8" s="139">
        <f>IF(CRes!A8="","",CRes!A8)</f>
        <v>42744</v>
      </c>
      <c r="B8" s="125">
        <f>CRes!L8</f>
        <v>0.16585393812603128</v>
      </c>
      <c r="C8" s="4">
        <f t="shared" si="2"/>
        <v>6</v>
      </c>
      <c r="D8" s="138">
        <f t="shared" si="0"/>
        <v>1.0027799102335122</v>
      </c>
      <c r="E8" s="226">
        <f t="shared" si="1"/>
        <v>4.6278262237131607E-2</v>
      </c>
      <c r="F8" s="4">
        <f t="shared" si="3"/>
        <v>2</v>
      </c>
      <c r="G8" s="138">
        <f>IF(B8="","",G7*(1+B8/100))</f>
        <v>1.0036200848363874</v>
      </c>
      <c r="H8" s="4">
        <f t="shared" si="4"/>
        <v>2</v>
      </c>
      <c r="I8" s="226">
        <f t="shared" si="5"/>
        <v>0.18084072498032455</v>
      </c>
      <c r="J8" s="142"/>
      <c r="K8" s="142"/>
      <c r="L8" s="142"/>
      <c r="M8" s="124"/>
    </row>
    <row r="9" spans="1:14" x14ac:dyDescent="0.2">
      <c r="A9" s="139">
        <f>IF(CRes!A9="","",CRes!A9)</f>
        <v>42745</v>
      </c>
      <c r="B9" s="125">
        <f>CRes!L9</f>
        <v>9.8389893216715651E-2</v>
      </c>
      <c r="C9" s="4">
        <f t="shared" si="2"/>
        <v>7</v>
      </c>
      <c r="D9" s="138">
        <f t="shared" si="0"/>
        <v>1.0037665443163897</v>
      </c>
      <c r="E9" s="226">
        <f t="shared" si="1"/>
        <v>5.372111962747006E-2</v>
      </c>
      <c r="F9" s="4">
        <f t="shared" si="3"/>
        <v>3</v>
      </c>
      <c r="G9" s="138">
        <f t="shared" ref="G9:G60" si="6">IF(B9="","",G8*(1+B9/100))</f>
        <v>1.0046075455661594</v>
      </c>
      <c r="H9" s="4">
        <f t="shared" si="4"/>
        <v>3</v>
      </c>
      <c r="I9" s="226">
        <f t="shared" si="5"/>
        <v>0.15334957108970038</v>
      </c>
      <c r="J9" s="142"/>
      <c r="K9" s="142"/>
      <c r="L9" s="142"/>
      <c r="M9" s="124"/>
    </row>
    <row r="10" spans="1:14" x14ac:dyDescent="0.2">
      <c r="A10" s="139">
        <f>IF(CRes!A10="","",CRes!A10)</f>
        <v>42746</v>
      </c>
      <c r="B10" s="125">
        <f>CRes!L10</f>
        <v>2.8161132221933134E-2</v>
      </c>
      <c r="C10" s="4">
        <f t="shared" si="2"/>
        <v>8</v>
      </c>
      <c r="D10" s="138">
        <f t="shared" si="0"/>
        <v>1.004049216340134</v>
      </c>
      <c r="E10" s="226">
        <f t="shared" si="1"/>
        <v>5.0525764056064126E-2</v>
      </c>
      <c r="F10" s="4">
        <f t="shared" si="3"/>
        <v>4</v>
      </c>
      <c r="G10" s="138">
        <f t="shared" si="6"/>
        <v>1.0048904544253778</v>
      </c>
      <c r="H10" s="4">
        <f t="shared" si="4"/>
        <v>4</v>
      </c>
      <c r="I10" s="226">
        <f t="shared" si="5"/>
        <v>0.12203778052730652</v>
      </c>
      <c r="J10" s="142"/>
      <c r="K10" s="142"/>
      <c r="L10" s="142"/>
      <c r="M10" s="124"/>
    </row>
    <row r="11" spans="1:14" x14ac:dyDescent="0.2">
      <c r="A11" s="139">
        <f>IF(CRes!A11="","",CRes!A11)</f>
        <v>42747</v>
      </c>
      <c r="B11" s="125">
        <f>CRes!L11</f>
        <v>7.8865064941843435E-2</v>
      </c>
      <c r="C11" s="4">
        <f t="shared" si="2"/>
        <v>9</v>
      </c>
      <c r="D11" s="138">
        <f t="shared" si="0"/>
        <v>1.0048410604066487</v>
      </c>
      <c r="E11" s="226">
        <f t="shared" si="1"/>
        <v>5.3674178936091721E-2</v>
      </c>
      <c r="F11" s="4">
        <f t="shared" si="3"/>
        <v>5</v>
      </c>
      <c r="G11" s="138">
        <f t="shared" si="6"/>
        <v>1.0056829619348546</v>
      </c>
      <c r="H11" s="4">
        <f t="shared" si="4"/>
        <v>5</v>
      </c>
      <c r="I11" s="226">
        <f t="shared" si="5"/>
        <v>0.11340174773557532</v>
      </c>
      <c r="J11" s="142"/>
      <c r="K11" s="142"/>
      <c r="L11" s="142"/>
      <c r="M11" s="124"/>
    </row>
    <row r="12" spans="1:14" x14ac:dyDescent="0.2">
      <c r="A12" s="139">
        <f>IF(CRes!A12="","",CRes!A12)</f>
        <v>42748</v>
      </c>
      <c r="B12" s="125">
        <f>CRes!L12</f>
        <v>6.3294791433759115E-2</v>
      </c>
      <c r="C12" s="4">
        <f t="shared" si="2"/>
        <v>10</v>
      </c>
      <c r="D12" s="138">
        <f t="shared" si="0"/>
        <v>1.0054770724600739</v>
      </c>
      <c r="E12" s="226">
        <f t="shared" si="1"/>
        <v>5.4636198560453764E-2</v>
      </c>
      <c r="F12" s="4">
        <f t="shared" si="3"/>
        <v>6</v>
      </c>
      <c r="G12" s="138">
        <f t="shared" si="6"/>
        <v>1.0063195068680961</v>
      </c>
      <c r="H12" s="4">
        <f t="shared" si="4"/>
        <v>6</v>
      </c>
      <c r="I12" s="226">
        <f t="shared" si="5"/>
        <v>0.10504884624746857</v>
      </c>
      <c r="J12" s="142"/>
      <c r="K12" s="142"/>
      <c r="L12" s="142"/>
      <c r="M12" s="124"/>
    </row>
    <row r="13" spans="1:14" x14ac:dyDescent="0.2">
      <c r="A13" s="139" t="str">
        <f>IF(CRes!A13="","",CRes!A13)</f>
        <v/>
      </c>
      <c r="B13" s="125">
        <f>CRes!L13</f>
        <v>-6.0911985784796979E-2</v>
      </c>
      <c r="C13" s="4">
        <f t="shared" si="2"/>
        <v>11</v>
      </c>
      <c r="D13" s="138">
        <f t="shared" si="0"/>
        <v>1.0048646164086277</v>
      </c>
      <c r="E13" s="226">
        <f t="shared" si="1"/>
        <v>4.4126300021996023E-2</v>
      </c>
      <c r="F13" s="4">
        <f t="shared" si="3"/>
        <v>7</v>
      </c>
      <c r="G13" s="138">
        <f t="shared" si="6"/>
        <v>1.0057065376731229</v>
      </c>
      <c r="H13" s="4">
        <f t="shared" si="4"/>
        <v>7</v>
      </c>
      <c r="I13" s="226">
        <f t="shared" si="5"/>
        <v>8.1323293284274456E-2</v>
      </c>
      <c r="J13" s="142"/>
      <c r="K13" s="142"/>
      <c r="L13" s="142"/>
      <c r="M13" s="124"/>
    </row>
    <row r="14" spans="1:14" x14ac:dyDescent="0.2">
      <c r="A14" s="139">
        <f>IF(CRes!A14="","",CRes!A14)</f>
        <v>42751</v>
      </c>
      <c r="B14" s="125">
        <f>CRes!L14</f>
        <v>3.4862410687608585E-2</v>
      </c>
      <c r="C14" s="4">
        <f t="shared" si="2"/>
        <v>12</v>
      </c>
      <c r="D14" s="138">
        <f t="shared" si="0"/>
        <v>1.0052149364380547</v>
      </c>
      <c r="E14" s="226">
        <f t="shared" si="1"/>
        <v>4.3354276478324572E-2</v>
      </c>
      <c r="F14" s="4">
        <f t="shared" si="3"/>
        <v>8</v>
      </c>
      <c r="G14" s="138">
        <f t="shared" si="6"/>
        <v>1.0060571512165988</v>
      </c>
      <c r="H14" s="4">
        <f t="shared" si="4"/>
        <v>8</v>
      </c>
      <c r="I14" s="226">
        <f t="shared" si="5"/>
        <v>7.5514503084761486E-2</v>
      </c>
      <c r="J14" s="142"/>
      <c r="K14" s="142"/>
      <c r="L14" s="142"/>
      <c r="M14" s="124"/>
    </row>
    <row r="15" spans="1:14" x14ac:dyDescent="0.2">
      <c r="A15" s="139">
        <f>IF(CRes!A15="","",CRes!A15)</f>
        <v>42752</v>
      </c>
      <c r="B15" s="125">
        <f>CRes!L15</f>
        <v>9.0490505406883831E-2</v>
      </c>
      <c r="C15" s="4">
        <f t="shared" si="2"/>
        <v>13</v>
      </c>
      <c r="D15" s="138">
        <f t="shared" si="0"/>
        <v>1.0061245605144629</v>
      </c>
      <c r="E15" s="226">
        <f t="shared" si="1"/>
        <v>4.6979352008658104E-2</v>
      </c>
      <c r="F15" s="4">
        <f t="shared" si="3"/>
        <v>9</v>
      </c>
      <c r="G15" s="138">
        <f t="shared" si="6"/>
        <v>1.0069675374174167</v>
      </c>
      <c r="H15" s="4">
        <f t="shared" si="4"/>
        <v>9</v>
      </c>
      <c r="I15" s="226">
        <f t="shared" si="5"/>
        <v>7.717839268090998E-2</v>
      </c>
      <c r="J15" s="142"/>
      <c r="K15" s="142"/>
      <c r="L15" s="142"/>
      <c r="M15" s="124"/>
    </row>
    <row r="16" spans="1:14" x14ac:dyDescent="0.2">
      <c r="A16" s="139">
        <f>IF(CRes!A16="","",CRes!A16)</f>
        <v>42753</v>
      </c>
      <c r="B16" s="125">
        <f>CRes!L16</f>
        <v>-4.9526675067191196E-2</v>
      </c>
      <c r="C16" s="4">
        <f t="shared" si="2"/>
        <v>14</v>
      </c>
      <c r="D16" s="138">
        <f t="shared" si="0"/>
        <v>1.0056262604726056</v>
      </c>
      <c r="E16" s="226">
        <f t="shared" si="1"/>
        <v>4.0082975263056042E-2</v>
      </c>
      <c r="F16" s="4">
        <f t="shared" si="3"/>
        <v>10</v>
      </c>
      <c r="G16" s="138">
        <f t="shared" si="6"/>
        <v>1.0064688198771279</v>
      </c>
      <c r="H16" s="4">
        <f t="shared" si="4"/>
        <v>10</v>
      </c>
      <c r="I16" s="226">
        <f t="shared" si="5"/>
        <v>6.4500661305366691E-2</v>
      </c>
      <c r="J16" s="142"/>
      <c r="K16" s="142"/>
      <c r="L16" s="142"/>
      <c r="M16" s="124"/>
    </row>
    <row r="17" spans="1:13" x14ac:dyDescent="0.2">
      <c r="A17" s="143">
        <f>IF(CRes!A17="","",CRes!A17)</f>
        <v>42754</v>
      </c>
      <c r="B17" s="125">
        <f>CRes!L17</f>
        <v>0.14757253096800679</v>
      </c>
      <c r="C17" s="4">
        <f t="shared" si="2"/>
        <v>15</v>
      </c>
      <c r="D17" s="138">
        <f t="shared" si="0"/>
        <v>1.0071102885972638</v>
      </c>
      <c r="E17" s="226">
        <f t="shared" si="1"/>
        <v>4.7245354990455013E-2</v>
      </c>
      <c r="F17" s="4">
        <f t="shared" si="3"/>
        <v>11</v>
      </c>
      <c r="G17" s="138">
        <f t="shared" si="6"/>
        <v>1.0079540913880243</v>
      </c>
      <c r="H17" s="4">
        <f t="shared" si="4"/>
        <v>11</v>
      </c>
      <c r="I17" s="226">
        <f t="shared" si="5"/>
        <v>7.2049801173035277E-2</v>
      </c>
      <c r="J17" s="142"/>
      <c r="K17" s="142"/>
      <c r="L17" s="142"/>
      <c r="M17" s="124"/>
    </row>
    <row r="18" spans="1:13" x14ac:dyDescent="0.2">
      <c r="A18" s="140">
        <f>IF(CRes!A18="","",CRes!A18)</f>
        <v>42758</v>
      </c>
      <c r="B18" s="125">
        <f>CRes!L18</f>
        <v>8.3033415477147765E-2</v>
      </c>
      <c r="C18" s="4">
        <f t="shared" si="2"/>
        <v>16</v>
      </c>
      <c r="D18" s="138">
        <f t="shared" si="0"/>
        <v>1.0079465266675078</v>
      </c>
      <c r="E18" s="226">
        <f t="shared" si="1"/>
        <v>4.9481733804634942E-2</v>
      </c>
      <c r="F18" s="4">
        <f t="shared" si="3"/>
        <v>12</v>
      </c>
      <c r="G18" s="138">
        <f t="shared" si="6"/>
        <v>1.0087910300965455</v>
      </c>
      <c r="H18" s="4">
        <f t="shared" si="4"/>
        <v>12</v>
      </c>
      <c r="I18" s="226">
        <f t="shared" si="5"/>
        <v>7.2965056323748279E-2</v>
      </c>
      <c r="J18" s="141">
        <v>0</v>
      </c>
      <c r="K18" s="141">
        <v>1</v>
      </c>
      <c r="L18" s="142"/>
      <c r="M18" s="124"/>
    </row>
    <row r="19" spans="1:13" x14ac:dyDescent="0.2">
      <c r="A19" s="140">
        <f>IF(CRes!A19="","",CRes!A19)</f>
        <v>42759</v>
      </c>
      <c r="B19" s="125">
        <f>CRes!L19</f>
        <v>0.26983695627747745</v>
      </c>
      <c r="C19" s="4">
        <f t="shared" si="2"/>
        <v>17</v>
      </c>
      <c r="D19" s="138">
        <f t="shared" si="0"/>
        <v>1.010666338895972</v>
      </c>
      <c r="E19" s="226">
        <f t="shared" si="1"/>
        <v>6.2430390252776746E-2</v>
      </c>
      <c r="F19" s="4">
        <f t="shared" si="3"/>
        <v>13</v>
      </c>
      <c r="G19" s="138">
        <f t="shared" si="6"/>
        <v>1.011513121107358</v>
      </c>
      <c r="H19" s="4">
        <f t="shared" si="4"/>
        <v>13</v>
      </c>
      <c r="I19" s="226">
        <f t="shared" si="5"/>
        <v>8.8095315546143915E-2</v>
      </c>
      <c r="J19" s="4">
        <f t="shared" ref="J19:J49" si="7">IF(G19="","",J18+1)</f>
        <v>1</v>
      </c>
      <c r="K19" s="138">
        <f t="shared" ref="K19:K49" si="8">IF(B19="","",K18*(1+B19/100))</f>
        <v>1.0026983695627747</v>
      </c>
      <c r="L19" s="22">
        <f t="shared" ref="L19:L49" si="9">IF(B19="","",100*(K19^(1/J19)-1))</f>
        <v>0.2698369562774694</v>
      </c>
      <c r="M19" s="124"/>
    </row>
    <row r="20" spans="1:13" x14ac:dyDescent="0.2">
      <c r="A20" s="140">
        <f>IF(CRes!A20="","",CRes!A20)</f>
        <v>42760</v>
      </c>
      <c r="B20" s="125">
        <f>CRes!L20</f>
        <v>0.32235923452532145</v>
      </c>
      <c r="C20" s="4">
        <f t="shared" si="2"/>
        <v>18</v>
      </c>
      <c r="D20" s="138">
        <f t="shared" si="0"/>
        <v>1.0139243151696422</v>
      </c>
      <c r="E20" s="226">
        <f t="shared" si="1"/>
        <v>7.6853197565207587E-2</v>
      </c>
      <c r="F20" s="4">
        <f t="shared" si="3"/>
        <v>14</v>
      </c>
      <c r="G20" s="138">
        <f t="shared" si="6"/>
        <v>1.0147738270616828</v>
      </c>
      <c r="H20" s="4">
        <f t="shared" si="4"/>
        <v>14</v>
      </c>
      <c r="I20" s="226">
        <f t="shared" si="5"/>
        <v>0.10481029608688797</v>
      </c>
      <c r="J20" s="4">
        <f t="shared" si="7"/>
        <v>2</v>
      </c>
      <c r="K20" s="138">
        <f t="shared" si="8"/>
        <v>1.0059306603514953</v>
      </c>
      <c r="L20" s="22">
        <f t="shared" si="9"/>
        <v>0.2960946573442147</v>
      </c>
      <c r="M20" s="124"/>
    </row>
    <row r="21" spans="1:13" x14ac:dyDescent="0.2">
      <c r="A21" s="140">
        <f>IF(CRes!A21="","",CRes!A21)</f>
        <v>42761</v>
      </c>
      <c r="B21" s="125">
        <f>CRes!L21</f>
        <v>0.42086576824383298</v>
      </c>
      <c r="C21" s="4">
        <f t="shared" si="2"/>
        <v>19</v>
      </c>
      <c r="D21" s="138">
        <f t="shared" si="0"/>
        <v>1.0181915755280919</v>
      </c>
      <c r="E21" s="226">
        <f t="shared" si="1"/>
        <v>9.4929706406654546E-2</v>
      </c>
      <c r="F21" s="4">
        <f t="shared" si="3"/>
        <v>15</v>
      </c>
      <c r="G21" s="138">
        <f t="shared" si="6"/>
        <v>1.0190446627248833</v>
      </c>
      <c r="H21" s="4">
        <f t="shared" si="4"/>
        <v>15</v>
      </c>
      <c r="I21" s="226">
        <f t="shared" si="5"/>
        <v>0.12584967923601198</v>
      </c>
      <c r="J21" s="4">
        <f t="shared" si="7"/>
        <v>3</v>
      </c>
      <c r="K21" s="138">
        <f t="shared" si="8"/>
        <v>1.0101642781531839</v>
      </c>
      <c r="L21" s="22">
        <f t="shared" si="9"/>
        <v>0.33766779303077143</v>
      </c>
      <c r="M21" s="124"/>
    </row>
    <row r="22" spans="1:13" x14ac:dyDescent="0.2">
      <c r="A22" s="140">
        <f>IF(CRes!A22="","",CRes!A22)</f>
        <v>42762</v>
      </c>
      <c r="B22" s="125">
        <f>CRes!L22</f>
        <v>0.58300546196866665</v>
      </c>
      <c r="C22" s="4">
        <f t="shared" si="2"/>
        <v>20</v>
      </c>
      <c r="D22" s="138">
        <f t="shared" si="0"/>
        <v>1.0241276880267256</v>
      </c>
      <c r="E22" s="226">
        <f t="shared" si="1"/>
        <v>0.11927714958774871</v>
      </c>
      <c r="F22" s="4">
        <f t="shared" si="3"/>
        <v>16</v>
      </c>
      <c r="G22" s="138">
        <f t="shared" si="6"/>
        <v>1.0249857487684697</v>
      </c>
      <c r="H22" s="4">
        <f t="shared" si="4"/>
        <v>16</v>
      </c>
      <c r="I22" s="226">
        <f t="shared" si="5"/>
        <v>0.15436094437983883</v>
      </c>
      <c r="J22" s="4">
        <f t="shared" si="7"/>
        <v>4</v>
      </c>
      <c r="K22" s="138">
        <f t="shared" si="8"/>
        <v>1.0160535910696733</v>
      </c>
      <c r="L22" s="22">
        <f t="shared" si="9"/>
        <v>0.3989460515842369</v>
      </c>
      <c r="M22" s="124"/>
    </row>
    <row r="23" spans="1:13" x14ac:dyDescent="0.2">
      <c r="A23" s="140">
        <f>IF(CRes!A23="","",CRes!A23)</f>
        <v>42765</v>
      </c>
      <c r="B23" s="125">
        <f>CRes!L23</f>
        <v>0.38641747300548063</v>
      </c>
      <c r="C23" s="4">
        <f t="shared" si="2"/>
        <v>21</v>
      </c>
      <c r="D23" s="138">
        <f t="shared" si="0"/>
        <v>1.0280850963591479</v>
      </c>
      <c r="E23" s="226">
        <f t="shared" si="1"/>
        <v>0.13198198235750969</v>
      </c>
      <c r="F23" s="4">
        <f t="shared" si="3"/>
        <v>17</v>
      </c>
      <c r="G23" s="138">
        <f t="shared" si="6"/>
        <v>1.028946472797527</v>
      </c>
      <c r="H23" s="4">
        <f t="shared" si="4"/>
        <v>17</v>
      </c>
      <c r="I23" s="226">
        <f t="shared" si="5"/>
        <v>0.16799646702851945</v>
      </c>
      <c r="J23" s="4">
        <f t="shared" si="7"/>
        <v>5</v>
      </c>
      <c r="K23" s="138">
        <f t="shared" si="8"/>
        <v>1.0199797996806661</v>
      </c>
      <c r="L23" s="22">
        <f t="shared" si="9"/>
        <v>0.39644021078586444</v>
      </c>
      <c r="M23" s="124"/>
    </row>
    <row r="24" spans="1:13" x14ac:dyDescent="0.2">
      <c r="A24" s="140" t="str">
        <f>IF(CRes!A24="","",CRes!A24)</f>
        <v/>
      </c>
      <c r="B24" s="125" t="str">
        <f>CRes!L24</f>
        <v/>
      </c>
      <c r="C24" s="4" t="str">
        <f t="shared" si="2"/>
        <v/>
      </c>
      <c r="D24" s="138" t="str">
        <f t="shared" si="0"/>
        <v/>
      </c>
      <c r="E24" s="226" t="str">
        <f t="shared" si="1"/>
        <v/>
      </c>
      <c r="F24" s="4" t="str">
        <f t="shared" si="3"/>
        <v/>
      </c>
      <c r="G24" s="138" t="str">
        <f t="shared" si="6"/>
        <v/>
      </c>
      <c r="H24" s="4" t="str">
        <f t="shared" si="4"/>
        <v/>
      </c>
      <c r="I24" s="226" t="str">
        <f t="shared" si="5"/>
        <v/>
      </c>
      <c r="J24" s="4" t="str">
        <f t="shared" si="7"/>
        <v/>
      </c>
      <c r="K24" s="138" t="str">
        <f t="shared" si="8"/>
        <v/>
      </c>
      <c r="L24" s="22" t="str">
        <f t="shared" si="9"/>
        <v/>
      </c>
      <c r="M24" s="124"/>
    </row>
    <row r="25" spans="1:13" x14ac:dyDescent="0.2">
      <c r="A25" s="140" t="str">
        <f>IF(CRes!A25="","",CRes!A25)</f>
        <v/>
      </c>
      <c r="B25" s="125" t="str">
        <f>CRes!L25</f>
        <v/>
      </c>
      <c r="C25" s="4" t="str">
        <f t="shared" si="2"/>
        <v/>
      </c>
      <c r="D25" s="138" t="str">
        <f t="shared" si="0"/>
        <v/>
      </c>
      <c r="E25" s="226" t="str">
        <f t="shared" si="1"/>
        <v/>
      </c>
      <c r="F25" s="4" t="str">
        <f t="shared" si="3"/>
        <v/>
      </c>
      <c r="G25" s="138" t="str">
        <f t="shared" si="6"/>
        <v/>
      </c>
      <c r="H25" s="4" t="str">
        <f t="shared" si="4"/>
        <v/>
      </c>
      <c r="I25" s="226" t="str">
        <f t="shared" si="5"/>
        <v/>
      </c>
      <c r="J25" s="4" t="str">
        <f t="shared" si="7"/>
        <v/>
      </c>
      <c r="K25" s="138" t="str">
        <f t="shared" si="8"/>
        <v/>
      </c>
      <c r="L25" s="22" t="str">
        <f t="shared" si="9"/>
        <v/>
      </c>
      <c r="M25" s="124"/>
    </row>
    <row r="26" spans="1:13" x14ac:dyDescent="0.2">
      <c r="A26" s="140" t="str">
        <f>IF(CRes!A26="","",CRes!A26)</f>
        <v/>
      </c>
      <c r="B26" s="125" t="str">
        <f>CRes!L26</f>
        <v/>
      </c>
      <c r="C26" s="4" t="str">
        <f t="shared" si="2"/>
        <v/>
      </c>
      <c r="D26" s="138" t="str">
        <f t="shared" si="0"/>
        <v/>
      </c>
      <c r="E26" s="226" t="str">
        <f t="shared" si="1"/>
        <v/>
      </c>
      <c r="F26" s="4" t="str">
        <f t="shared" si="3"/>
        <v/>
      </c>
      <c r="G26" s="138" t="str">
        <f t="shared" si="6"/>
        <v/>
      </c>
      <c r="H26" s="4" t="str">
        <f t="shared" si="4"/>
        <v/>
      </c>
      <c r="I26" s="226" t="str">
        <f t="shared" si="5"/>
        <v/>
      </c>
      <c r="J26" s="4" t="str">
        <f t="shared" si="7"/>
        <v/>
      </c>
      <c r="K26" s="138" t="str">
        <f t="shared" si="8"/>
        <v/>
      </c>
      <c r="L26" s="22" t="str">
        <f t="shared" si="9"/>
        <v/>
      </c>
      <c r="M26" s="124"/>
    </row>
    <row r="27" spans="1:13" x14ac:dyDescent="0.2">
      <c r="A27" s="140" t="str">
        <f>IF(CRes!A27="","",CRes!A27)</f>
        <v/>
      </c>
      <c r="B27" s="125" t="str">
        <f>CRes!L27</f>
        <v/>
      </c>
      <c r="C27" s="4" t="str">
        <f t="shared" si="2"/>
        <v/>
      </c>
      <c r="D27" s="138" t="str">
        <f t="shared" si="0"/>
        <v/>
      </c>
      <c r="E27" s="226" t="str">
        <f t="shared" si="1"/>
        <v/>
      </c>
      <c r="F27" s="4" t="str">
        <f t="shared" si="3"/>
        <v/>
      </c>
      <c r="G27" s="138" t="str">
        <f t="shared" si="6"/>
        <v/>
      </c>
      <c r="H27" s="4" t="str">
        <f t="shared" si="4"/>
        <v/>
      </c>
      <c r="I27" s="226" t="str">
        <f t="shared" si="5"/>
        <v/>
      </c>
      <c r="J27" s="4" t="str">
        <f t="shared" si="7"/>
        <v/>
      </c>
      <c r="K27" s="138" t="str">
        <f t="shared" si="8"/>
        <v/>
      </c>
      <c r="L27" s="22" t="str">
        <f t="shared" si="9"/>
        <v/>
      </c>
      <c r="M27" s="124"/>
    </row>
    <row r="28" spans="1:13" x14ac:dyDescent="0.2">
      <c r="A28" s="140" t="str">
        <f>IF(CRes!A28="","",CRes!A28)</f>
        <v/>
      </c>
      <c r="B28" s="125" t="str">
        <f>CRes!L28</f>
        <v/>
      </c>
      <c r="C28" s="4" t="str">
        <f t="shared" si="2"/>
        <v/>
      </c>
      <c r="D28" s="138" t="str">
        <f t="shared" si="0"/>
        <v/>
      </c>
      <c r="E28" s="226" t="str">
        <f t="shared" si="1"/>
        <v/>
      </c>
      <c r="F28" s="4" t="str">
        <f t="shared" si="3"/>
        <v/>
      </c>
      <c r="G28" s="138" t="str">
        <f t="shared" si="6"/>
        <v/>
      </c>
      <c r="H28" s="4" t="str">
        <f t="shared" si="4"/>
        <v/>
      </c>
      <c r="I28" s="226" t="str">
        <f t="shared" si="5"/>
        <v/>
      </c>
      <c r="J28" s="4" t="str">
        <f t="shared" si="7"/>
        <v/>
      </c>
      <c r="K28" s="138" t="str">
        <f t="shared" si="8"/>
        <v/>
      </c>
      <c r="L28" s="22" t="str">
        <f t="shared" si="9"/>
        <v/>
      </c>
      <c r="M28" s="124"/>
    </row>
    <row r="29" spans="1:13" x14ac:dyDescent="0.2">
      <c r="A29" s="140" t="str">
        <f>IF(CRes!A29="","",CRes!A29)</f>
        <v/>
      </c>
      <c r="B29" s="125" t="str">
        <f>CRes!L29</f>
        <v/>
      </c>
      <c r="C29" s="4" t="str">
        <f t="shared" si="2"/>
        <v/>
      </c>
      <c r="D29" s="138" t="str">
        <f t="shared" si="0"/>
        <v/>
      </c>
      <c r="E29" s="226" t="str">
        <f t="shared" si="1"/>
        <v/>
      </c>
      <c r="F29" s="4" t="str">
        <f t="shared" si="3"/>
        <v/>
      </c>
      <c r="G29" s="138" t="str">
        <f t="shared" si="6"/>
        <v/>
      </c>
      <c r="H29" s="4" t="str">
        <f t="shared" si="4"/>
        <v/>
      </c>
      <c r="I29" s="226" t="str">
        <f t="shared" si="5"/>
        <v/>
      </c>
      <c r="J29" s="4" t="str">
        <f t="shared" si="7"/>
        <v/>
      </c>
      <c r="K29" s="138" t="str">
        <f t="shared" si="8"/>
        <v/>
      </c>
      <c r="L29" s="22" t="str">
        <f t="shared" si="9"/>
        <v/>
      </c>
      <c r="M29" s="124"/>
    </row>
    <row r="30" spans="1:13" x14ac:dyDescent="0.2">
      <c r="A30" s="139" t="str">
        <f>IF(CRes!A30="","",CRes!A30)</f>
        <v/>
      </c>
      <c r="B30" s="125" t="str">
        <f>CRes!L30</f>
        <v/>
      </c>
      <c r="C30" s="4" t="str">
        <f t="shared" si="2"/>
        <v/>
      </c>
      <c r="D30" s="138" t="str">
        <f t="shared" si="0"/>
        <v/>
      </c>
      <c r="E30" s="226" t="str">
        <f t="shared" si="1"/>
        <v/>
      </c>
      <c r="F30" s="4" t="str">
        <f t="shared" si="3"/>
        <v/>
      </c>
      <c r="G30" s="138" t="str">
        <f t="shared" si="6"/>
        <v/>
      </c>
      <c r="H30" s="4" t="str">
        <f t="shared" si="4"/>
        <v/>
      </c>
      <c r="I30" s="226" t="str">
        <f t="shared" si="5"/>
        <v/>
      </c>
      <c r="J30" s="4" t="str">
        <f t="shared" si="7"/>
        <v/>
      </c>
      <c r="K30" s="138" t="str">
        <f t="shared" si="8"/>
        <v/>
      </c>
      <c r="L30" s="22" t="str">
        <f t="shared" si="9"/>
        <v/>
      </c>
      <c r="M30" s="124"/>
    </row>
    <row r="31" spans="1:13" x14ac:dyDescent="0.2">
      <c r="A31" s="139" t="str">
        <f>IF(CRes!A31="","",CRes!A31)</f>
        <v/>
      </c>
      <c r="B31" s="125" t="str">
        <f>CRes!L31</f>
        <v/>
      </c>
      <c r="C31" s="4" t="str">
        <f t="shared" si="2"/>
        <v/>
      </c>
      <c r="D31" s="138" t="str">
        <f t="shared" si="0"/>
        <v/>
      </c>
      <c r="E31" s="226" t="str">
        <f t="shared" si="1"/>
        <v/>
      </c>
      <c r="F31" s="4" t="str">
        <f t="shared" si="3"/>
        <v/>
      </c>
      <c r="G31" s="138" t="str">
        <f t="shared" si="6"/>
        <v/>
      </c>
      <c r="H31" s="4" t="str">
        <f t="shared" si="4"/>
        <v/>
      </c>
      <c r="I31" s="226" t="str">
        <f t="shared" si="5"/>
        <v/>
      </c>
      <c r="J31" s="4" t="str">
        <f t="shared" si="7"/>
        <v/>
      </c>
      <c r="K31" s="138" t="str">
        <f t="shared" si="8"/>
        <v/>
      </c>
      <c r="L31" s="22" t="str">
        <f t="shared" si="9"/>
        <v/>
      </c>
      <c r="M31" s="124"/>
    </row>
    <row r="32" spans="1:13" x14ac:dyDescent="0.2">
      <c r="A32" s="139" t="str">
        <f>IF(CRes!A32="","",CRes!A32)</f>
        <v/>
      </c>
      <c r="B32" s="125" t="str">
        <f>CRes!L32</f>
        <v/>
      </c>
      <c r="C32" s="4" t="str">
        <f t="shared" si="2"/>
        <v/>
      </c>
      <c r="D32" s="138" t="str">
        <f t="shared" si="0"/>
        <v/>
      </c>
      <c r="E32" s="226" t="str">
        <f t="shared" si="1"/>
        <v/>
      </c>
      <c r="F32" s="4" t="str">
        <f t="shared" si="3"/>
        <v/>
      </c>
      <c r="G32" s="138" t="str">
        <f t="shared" si="6"/>
        <v/>
      </c>
      <c r="H32" s="4" t="str">
        <f t="shared" si="4"/>
        <v/>
      </c>
      <c r="I32" s="226" t="str">
        <f t="shared" si="5"/>
        <v/>
      </c>
      <c r="J32" s="4" t="str">
        <f t="shared" si="7"/>
        <v/>
      </c>
      <c r="K32" s="138" t="str">
        <f t="shared" si="8"/>
        <v/>
      </c>
      <c r="L32" s="22" t="str">
        <f t="shared" si="9"/>
        <v/>
      </c>
      <c r="M32" s="124"/>
    </row>
    <row r="33" spans="1:13" x14ac:dyDescent="0.2">
      <c r="A33" s="139" t="str">
        <f>IF(CRes!A33="","",CRes!A33)</f>
        <v/>
      </c>
      <c r="B33" s="125" t="str">
        <f>CRes!L33</f>
        <v/>
      </c>
      <c r="C33" s="4" t="str">
        <f t="shared" si="2"/>
        <v/>
      </c>
      <c r="D33" s="138" t="str">
        <f t="shared" si="0"/>
        <v/>
      </c>
      <c r="E33" s="226" t="str">
        <f t="shared" si="1"/>
        <v/>
      </c>
      <c r="F33" s="4" t="str">
        <f t="shared" si="3"/>
        <v/>
      </c>
      <c r="G33" s="138" t="str">
        <f t="shared" si="6"/>
        <v/>
      </c>
      <c r="H33" s="4" t="str">
        <f t="shared" si="4"/>
        <v/>
      </c>
      <c r="I33" s="226" t="str">
        <f t="shared" si="5"/>
        <v/>
      </c>
      <c r="J33" s="4" t="str">
        <f t="shared" si="7"/>
        <v/>
      </c>
      <c r="K33" s="138" t="str">
        <f t="shared" si="8"/>
        <v/>
      </c>
      <c r="L33" s="22" t="str">
        <f t="shared" si="9"/>
        <v/>
      </c>
      <c r="M33" s="124"/>
    </row>
    <row r="34" spans="1:13" x14ac:dyDescent="0.2">
      <c r="A34" s="139" t="str">
        <f>IF(CRes!A34="","",CRes!A34)</f>
        <v/>
      </c>
      <c r="B34" s="125" t="str">
        <f>CRes!L34</f>
        <v/>
      </c>
      <c r="C34" s="4" t="str">
        <f t="shared" si="2"/>
        <v/>
      </c>
      <c r="D34" s="138" t="str">
        <f t="shared" si="0"/>
        <v/>
      </c>
      <c r="E34" s="226" t="str">
        <f t="shared" si="1"/>
        <v/>
      </c>
      <c r="F34" s="4" t="str">
        <f t="shared" si="3"/>
        <v/>
      </c>
      <c r="G34" s="138" t="str">
        <f t="shared" si="6"/>
        <v/>
      </c>
      <c r="H34" s="4" t="str">
        <f t="shared" si="4"/>
        <v/>
      </c>
      <c r="I34" s="226" t="str">
        <f t="shared" si="5"/>
        <v/>
      </c>
      <c r="J34" s="4" t="str">
        <f t="shared" si="7"/>
        <v/>
      </c>
      <c r="K34" s="138" t="str">
        <f t="shared" si="8"/>
        <v/>
      </c>
      <c r="L34" s="22" t="str">
        <f t="shared" si="9"/>
        <v/>
      </c>
      <c r="M34" s="124"/>
    </row>
    <row r="35" spans="1:13" x14ac:dyDescent="0.2">
      <c r="A35" s="140" t="str">
        <f>IF(CRes!A35="","",CRes!A35)</f>
        <v/>
      </c>
      <c r="B35" s="125" t="str">
        <f>CRes!L35</f>
        <v/>
      </c>
      <c r="C35" s="4" t="str">
        <f t="shared" si="2"/>
        <v/>
      </c>
      <c r="D35" s="138" t="str">
        <f t="shared" ref="D35:D60" si="10">IF(B35="","",D34*(1+B35/100))</f>
        <v/>
      </c>
      <c r="E35" s="226" t="str">
        <f t="shared" ref="E35:E66" si="11">IF(B35="","",100*(D35^(1/C35)-1))</f>
        <v/>
      </c>
      <c r="F35" s="4" t="str">
        <f t="shared" si="3"/>
        <v/>
      </c>
      <c r="G35" s="138" t="str">
        <f t="shared" si="6"/>
        <v/>
      </c>
      <c r="H35" s="4" t="str">
        <f t="shared" si="4"/>
        <v/>
      </c>
      <c r="I35" s="226" t="str">
        <f t="shared" si="5"/>
        <v/>
      </c>
      <c r="J35" s="4" t="str">
        <f t="shared" si="7"/>
        <v/>
      </c>
      <c r="K35" s="138" t="str">
        <f t="shared" si="8"/>
        <v/>
      </c>
      <c r="L35" s="22" t="str">
        <f t="shared" si="9"/>
        <v/>
      </c>
      <c r="M35" s="124"/>
    </row>
    <row r="36" spans="1:13" x14ac:dyDescent="0.2">
      <c r="A36" s="140" t="str">
        <f>IF(CRes!A36="","",CRes!A36)</f>
        <v/>
      </c>
      <c r="B36" s="125" t="str">
        <f>CRes!L36</f>
        <v/>
      </c>
      <c r="C36" s="4" t="str">
        <f t="shared" si="2"/>
        <v/>
      </c>
      <c r="D36" s="138" t="str">
        <f t="shared" si="10"/>
        <v/>
      </c>
      <c r="E36" s="226" t="str">
        <f t="shared" si="11"/>
        <v/>
      </c>
      <c r="F36" s="4" t="str">
        <f t="shared" si="3"/>
        <v/>
      </c>
      <c r="G36" s="138" t="str">
        <f t="shared" si="6"/>
        <v/>
      </c>
      <c r="H36" s="4" t="str">
        <f t="shared" si="4"/>
        <v/>
      </c>
      <c r="I36" s="226" t="str">
        <f t="shared" si="5"/>
        <v/>
      </c>
      <c r="J36" s="4" t="str">
        <f t="shared" si="7"/>
        <v/>
      </c>
      <c r="K36" s="138" t="str">
        <f t="shared" si="8"/>
        <v/>
      </c>
      <c r="L36" s="22" t="str">
        <f t="shared" si="9"/>
        <v/>
      </c>
      <c r="M36" s="124"/>
    </row>
    <row r="37" spans="1:13" x14ac:dyDescent="0.2">
      <c r="A37" s="139" t="str">
        <f>IF(CRes!A37="","",CRes!A37)</f>
        <v/>
      </c>
      <c r="B37" s="125" t="str">
        <f>CRes!L37</f>
        <v/>
      </c>
      <c r="C37" s="4" t="str">
        <f t="shared" si="2"/>
        <v/>
      </c>
      <c r="D37" s="138" t="str">
        <f t="shared" si="10"/>
        <v/>
      </c>
      <c r="E37" s="226" t="str">
        <f t="shared" si="11"/>
        <v/>
      </c>
      <c r="F37" s="4" t="str">
        <f t="shared" si="3"/>
        <v/>
      </c>
      <c r="G37" s="138" t="str">
        <f t="shared" si="6"/>
        <v/>
      </c>
      <c r="H37" s="4" t="str">
        <f t="shared" si="4"/>
        <v/>
      </c>
      <c r="I37" s="226" t="str">
        <f t="shared" si="5"/>
        <v/>
      </c>
      <c r="J37" s="4" t="str">
        <f t="shared" si="7"/>
        <v/>
      </c>
      <c r="K37" s="138" t="str">
        <f t="shared" si="8"/>
        <v/>
      </c>
      <c r="L37" s="22" t="str">
        <f t="shared" si="9"/>
        <v/>
      </c>
      <c r="M37" s="124"/>
    </row>
    <row r="38" spans="1:13" x14ac:dyDescent="0.2">
      <c r="A38" s="139" t="str">
        <f>IF(CRes!A38="","",CRes!A38)</f>
        <v/>
      </c>
      <c r="B38" s="125" t="str">
        <f>CRes!L38</f>
        <v/>
      </c>
      <c r="C38" s="4" t="str">
        <f t="shared" si="2"/>
        <v/>
      </c>
      <c r="D38" s="138" t="str">
        <f t="shared" si="10"/>
        <v/>
      </c>
      <c r="E38" s="226" t="str">
        <f t="shared" si="11"/>
        <v/>
      </c>
      <c r="F38" s="4" t="str">
        <f t="shared" si="3"/>
        <v/>
      </c>
      <c r="G38" s="138" t="str">
        <f t="shared" si="6"/>
        <v/>
      </c>
      <c r="H38" s="4" t="str">
        <f t="shared" si="4"/>
        <v/>
      </c>
      <c r="I38" s="226" t="str">
        <f t="shared" si="5"/>
        <v/>
      </c>
      <c r="J38" s="4" t="str">
        <f t="shared" si="7"/>
        <v/>
      </c>
      <c r="K38" s="138" t="str">
        <f t="shared" si="8"/>
        <v/>
      </c>
      <c r="L38" s="22" t="str">
        <f t="shared" si="9"/>
        <v/>
      </c>
      <c r="M38" s="124"/>
    </row>
    <row r="39" spans="1:13" x14ac:dyDescent="0.2">
      <c r="A39" s="139" t="str">
        <f>IF(CRes!A39="","",CRes!A39)</f>
        <v/>
      </c>
      <c r="B39" s="125" t="str">
        <f>CRes!L39</f>
        <v/>
      </c>
      <c r="C39" s="4" t="str">
        <f t="shared" si="2"/>
        <v/>
      </c>
      <c r="D39" s="138" t="str">
        <f t="shared" si="10"/>
        <v/>
      </c>
      <c r="E39" s="226" t="str">
        <f t="shared" si="11"/>
        <v/>
      </c>
      <c r="F39" s="4" t="str">
        <f t="shared" ref="F39:F60" si="12">IF(D39="","",F38+1)</f>
        <v/>
      </c>
      <c r="G39" s="138" t="str">
        <f t="shared" si="6"/>
        <v/>
      </c>
      <c r="H39" s="4" t="str">
        <f t="shared" ref="H39:H70" si="13">IF(E39="","",H38+1)</f>
        <v/>
      </c>
      <c r="I39" s="226" t="str">
        <f t="shared" ref="I39:I70" si="14">IF(B39="","",100*(G39^(1/F39)-1))</f>
        <v/>
      </c>
      <c r="J39" s="4" t="str">
        <f t="shared" si="7"/>
        <v/>
      </c>
      <c r="K39" s="138" t="str">
        <f t="shared" si="8"/>
        <v/>
      </c>
      <c r="L39" s="22" t="str">
        <f t="shared" si="9"/>
        <v/>
      </c>
      <c r="M39" s="124"/>
    </row>
    <row r="40" spans="1:13" x14ac:dyDescent="0.2">
      <c r="A40" s="139" t="str">
        <f>IF(CRes!A40="","",CRes!A40)</f>
        <v/>
      </c>
      <c r="B40" s="125" t="str">
        <f>CRes!L40</f>
        <v/>
      </c>
      <c r="C40" s="4" t="str">
        <f t="shared" si="2"/>
        <v/>
      </c>
      <c r="D40" s="138" t="str">
        <f t="shared" si="10"/>
        <v/>
      </c>
      <c r="E40" s="226" t="str">
        <f t="shared" si="11"/>
        <v/>
      </c>
      <c r="F40" s="4" t="str">
        <f t="shared" si="12"/>
        <v/>
      </c>
      <c r="G40" s="138" t="str">
        <f t="shared" si="6"/>
        <v/>
      </c>
      <c r="H40" s="4" t="str">
        <f t="shared" si="13"/>
        <v/>
      </c>
      <c r="I40" s="226" t="str">
        <f t="shared" si="14"/>
        <v/>
      </c>
      <c r="J40" s="4" t="str">
        <f t="shared" si="7"/>
        <v/>
      </c>
      <c r="K40" s="138" t="str">
        <f t="shared" si="8"/>
        <v/>
      </c>
      <c r="L40" s="22" t="str">
        <f t="shared" si="9"/>
        <v/>
      </c>
      <c r="M40" s="124"/>
    </row>
    <row r="41" spans="1:13" x14ac:dyDescent="0.2">
      <c r="A41" s="139" t="str">
        <f>IF(CRes!A41="","",CRes!A41)</f>
        <v/>
      </c>
      <c r="B41" s="125" t="str">
        <f>CRes!L41</f>
        <v/>
      </c>
      <c r="C41" s="4" t="str">
        <f t="shared" si="2"/>
        <v/>
      </c>
      <c r="D41" s="138" t="str">
        <f t="shared" si="10"/>
        <v/>
      </c>
      <c r="E41" s="226" t="str">
        <f t="shared" si="11"/>
        <v/>
      </c>
      <c r="F41" s="4" t="str">
        <f t="shared" si="12"/>
        <v/>
      </c>
      <c r="G41" s="138" t="str">
        <f t="shared" si="6"/>
        <v/>
      </c>
      <c r="H41" s="4" t="str">
        <f t="shared" si="13"/>
        <v/>
      </c>
      <c r="I41" s="226" t="str">
        <f t="shared" si="14"/>
        <v/>
      </c>
      <c r="J41" s="4" t="str">
        <f t="shared" si="7"/>
        <v/>
      </c>
      <c r="K41" s="138" t="str">
        <f t="shared" si="8"/>
        <v/>
      </c>
      <c r="L41" s="22" t="str">
        <f t="shared" si="9"/>
        <v/>
      </c>
      <c r="M41" s="124"/>
    </row>
    <row r="42" spans="1:13" x14ac:dyDescent="0.2">
      <c r="A42" s="139" t="str">
        <f>IF(CRes!A42="","",CRes!A42)</f>
        <v/>
      </c>
      <c r="B42" s="125" t="str">
        <f>CRes!L42</f>
        <v/>
      </c>
      <c r="C42" s="4" t="str">
        <f t="shared" si="2"/>
        <v/>
      </c>
      <c r="D42" s="138" t="str">
        <f t="shared" si="10"/>
        <v/>
      </c>
      <c r="E42" s="226" t="str">
        <f t="shared" si="11"/>
        <v/>
      </c>
      <c r="F42" s="4" t="str">
        <f t="shared" si="12"/>
        <v/>
      </c>
      <c r="G42" s="138" t="str">
        <f t="shared" si="6"/>
        <v/>
      </c>
      <c r="H42" s="4" t="str">
        <f t="shared" si="13"/>
        <v/>
      </c>
      <c r="I42" s="226" t="str">
        <f t="shared" si="14"/>
        <v/>
      </c>
      <c r="J42" s="4" t="str">
        <f t="shared" si="7"/>
        <v/>
      </c>
      <c r="K42" s="138" t="str">
        <f t="shared" si="8"/>
        <v/>
      </c>
      <c r="L42" s="22" t="str">
        <f t="shared" si="9"/>
        <v/>
      </c>
      <c r="M42" s="124"/>
    </row>
    <row r="43" spans="1:13" x14ac:dyDescent="0.2">
      <c r="A43" s="139" t="str">
        <f>IF(CRes!A43="","",CRes!A43)</f>
        <v/>
      </c>
      <c r="B43" s="125" t="str">
        <f>CRes!L43</f>
        <v/>
      </c>
      <c r="C43" s="4" t="str">
        <f t="shared" si="2"/>
        <v/>
      </c>
      <c r="D43" s="138" t="str">
        <f t="shared" si="10"/>
        <v/>
      </c>
      <c r="E43" s="226" t="str">
        <f t="shared" si="11"/>
        <v/>
      </c>
      <c r="F43" s="4" t="str">
        <f t="shared" si="12"/>
        <v/>
      </c>
      <c r="G43" s="138" t="str">
        <f t="shared" si="6"/>
        <v/>
      </c>
      <c r="H43" s="4" t="str">
        <f t="shared" si="13"/>
        <v/>
      </c>
      <c r="I43" s="226" t="str">
        <f t="shared" si="14"/>
        <v/>
      </c>
      <c r="J43" s="4" t="str">
        <f t="shared" si="7"/>
        <v/>
      </c>
      <c r="K43" s="138" t="str">
        <f t="shared" si="8"/>
        <v/>
      </c>
      <c r="L43" s="22" t="str">
        <f t="shared" si="9"/>
        <v/>
      </c>
      <c r="M43" s="124"/>
    </row>
    <row r="44" spans="1:13" x14ac:dyDescent="0.2">
      <c r="A44" s="139" t="str">
        <f>IF(CRes!A44="","",CRes!A44)</f>
        <v/>
      </c>
      <c r="B44" s="125" t="str">
        <f>CRes!L44</f>
        <v/>
      </c>
      <c r="C44" s="4" t="str">
        <f t="shared" si="2"/>
        <v/>
      </c>
      <c r="D44" s="138" t="str">
        <f t="shared" si="10"/>
        <v/>
      </c>
      <c r="E44" s="226" t="str">
        <f t="shared" si="11"/>
        <v/>
      </c>
      <c r="F44" s="4" t="str">
        <f t="shared" si="12"/>
        <v/>
      </c>
      <c r="G44" s="138" t="str">
        <f t="shared" si="6"/>
        <v/>
      </c>
      <c r="H44" s="4" t="str">
        <f t="shared" si="13"/>
        <v/>
      </c>
      <c r="I44" s="226" t="str">
        <f t="shared" si="14"/>
        <v/>
      </c>
      <c r="J44" s="4" t="str">
        <f t="shared" si="7"/>
        <v/>
      </c>
      <c r="K44" s="138" t="str">
        <f t="shared" si="8"/>
        <v/>
      </c>
      <c r="L44" s="22" t="str">
        <f t="shared" si="9"/>
        <v/>
      </c>
      <c r="M44" s="124"/>
    </row>
    <row r="45" spans="1:13" x14ac:dyDescent="0.2">
      <c r="A45" s="139" t="str">
        <f>IF(CRes!A45="","",CRes!A45)</f>
        <v/>
      </c>
      <c r="B45" s="125" t="str">
        <f>CRes!L45</f>
        <v/>
      </c>
      <c r="C45" s="4" t="str">
        <f t="shared" si="2"/>
        <v/>
      </c>
      <c r="D45" s="138" t="str">
        <f t="shared" si="10"/>
        <v/>
      </c>
      <c r="E45" s="226" t="str">
        <f t="shared" si="11"/>
        <v/>
      </c>
      <c r="F45" s="4" t="str">
        <f t="shared" si="12"/>
        <v/>
      </c>
      <c r="G45" s="138" t="str">
        <f t="shared" si="6"/>
        <v/>
      </c>
      <c r="H45" s="4" t="str">
        <f t="shared" si="13"/>
        <v/>
      </c>
      <c r="I45" s="226" t="str">
        <f t="shared" si="14"/>
        <v/>
      </c>
      <c r="J45" s="4" t="str">
        <f t="shared" si="7"/>
        <v/>
      </c>
      <c r="K45" s="138" t="str">
        <f t="shared" si="8"/>
        <v/>
      </c>
      <c r="L45" s="22" t="str">
        <f t="shared" si="9"/>
        <v/>
      </c>
      <c r="M45" s="124"/>
    </row>
    <row r="46" spans="1:13" x14ac:dyDescent="0.2">
      <c r="A46" s="140" t="str">
        <f>IF(CRes!A46="","",CRes!A46)</f>
        <v/>
      </c>
      <c r="B46" s="125" t="str">
        <f>CRes!L46</f>
        <v/>
      </c>
      <c r="C46" s="4" t="str">
        <f t="shared" si="2"/>
        <v/>
      </c>
      <c r="D46" s="138" t="str">
        <f t="shared" si="10"/>
        <v/>
      </c>
      <c r="E46" s="226" t="str">
        <f t="shared" si="11"/>
        <v/>
      </c>
      <c r="F46" s="4" t="str">
        <f t="shared" si="12"/>
        <v/>
      </c>
      <c r="G46" s="138" t="str">
        <f t="shared" si="6"/>
        <v/>
      </c>
      <c r="H46" s="4" t="str">
        <f t="shared" si="13"/>
        <v/>
      </c>
      <c r="I46" s="226" t="str">
        <f t="shared" si="14"/>
        <v/>
      </c>
      <c r="J46" s="4" t="str">
        <f t="shared" si="7"/>
        <v/>
      </c>
      <c r="K46" s="138" t="str">
        <f t="shared" si="8"/>
        <v/>
      </c>
      <c r="L46" s="22" t="str">
        <f t="shared" si="9"/>
        <v/>
      </c>
      <c r="M46" s="124"/>
    </row>
    <row r="47" spans="1:13" x14ac:dyDescent="0.2">
      <c r="A47" s="140" t="str">
        <f>IF(CRes!A47="","",CRes!A47)</f>
        <v/>
      </c>
      <c r="B47" s="125" t="str">
        <f>CRes!L47</f>
        <v/>
      </c>
      <c r="C47" s="4" t="str">
        <f t="shared" si="2"/>
        <v/>
      </c>
      <c r="D47" s="138" t="str">
        <f t="shared" si="10"/>
        <v/>
      </c>
      <c r="E47" s="226" t="str">
        <f t="shared" si="11"/>
        <v/>
      </c>
      <c r="F47" s="4" t="str">
        <f t="shared" si="12"/>
        <v/>
      </c>
      <c r="G47" s="138" t="str">
        <f t="shared" si="6"/>
        <v/>
      </c>
      <c r="H47" s="4" t="str">
        <f t="shared" si="13"/>
        <v/>
      </c>
      <c r="I47" s="226" t="str">
        <f t="shared" si="14"/>
        <v/>
      </c>
      <c r="J47" s="4" t="str">
        <f t="shared" si="7"/>
        <v/>
      </c>
      <c r="K47" s="138" t="str">
        <f t="shared" si="8"/>
        <v/>
      </c>
      <c r="L47" s="22" t="str">
        <f t="shared" si="9"/>
        <v/>
      </c>
      <c r="M47" s="124"/>
    </row>
    <row r="48" spans="1:13" x14ac:dyDescent="0.2">
      <c r="A48" s="139" t="str">
        <f>IF(CRes!A48="","",CRes!A48)</f>
        <v/>
      </c>
      <c r="B48" s="125" t="str">
        <f>CRes!L48</f>
        <v/>
      </c>
      <c r="C48" s="4" t="str">
        <f t="shared" si="2"/>
        <v/>
      </c>
      <c r="D48" s="138" t="str">
        <f t="shared" si="10"/>
        <v/>
      </c>
      <c r="E48" s="226" t="str">
        <f t="shared" si="11"/>
        <v/>
      </c>
      <c r="F48" s="4" t="str">
        <f t="shared" si="12"/>
        <v/>
      </c>
      <c r="G48" s="138" t="str">
        <f t="shared" si="6"/>
        <v/>
      </c>
      <c r="H48" s="4" t="str">
        <f t="shared" si="13"/>
        <v/>
      </c>
      <c r="I48" s="226" t="str">
        <f t="shared" si="14"/>
        <v/>
      </c>
      <c r="J48" s="4" t="str">
        <f t="shared" si="7"/>
        <v/>
      </c>
      <c r="K48" s="138" t="str">
        <f t="shared" si="8"/>
        <v/>
      </c>
      <c r="L48" s="22" t="str">
        <f t="shared" si="9"/>
        <v/>
      </c>
      <c r="M48" s="124"/>
    </row>
    <row r="49" spans="1:13" x14ac:dyDescent="0.2">
      <c r="A49" s="139" t="str">
        <f>IF(CRes!A49="","",CRes!A49)</f>
        <v/>
      </c>
      <c r="B49" s="125" t="str">
        <f>CRes!L49</f>
        <v/>
      </c>
      <c r="C49" s="4" t="str">
        <f t="shared" si="2"/>
        <v/>
      </c>
      <c r="D49" s="138" t="str">
        <f t="shared" si="10"/>
        <v/>
      </c>
      <c r="E49" s="226" t="str">
        <f t="shared" si="11"/>
        <v/>
      </c>
      <c r="F49" s="4" t="str">
        <f t="shared" si="12"/>
        <v/>
      </c>
      <c r="G49" s="138" t="str">
        <f t="shared" si="6"/>
        <v/>
      </c>
      <c r="H49" s="4" t="str">
        <f t="shared" si="13"/>
        <v/>
      </c>
      <c r="I49" s="226" t="str">
        <f t="shared" si="14"/>
        <v/>
      </c>
      <c r="J49" s="4" t="str">
        <f t="shared" si="7"/>
        <v/>
      </c>
      <c r="K49" s="138" t="str">
        <f t="shared" si="8"/>
        <v/>
      </c>
      <c r="L49" s="22" t="str">
        <f t="shared" si="9"/>
        <v/>
      </c>
      <c r="M49" s="124"/>
    </row>
    <row r="50" spans="1:13" x14ac:dyDescent="0.2">
      <c r="A50" s="139" t="str">
        <f>IF(CRes!A50="","",CRes!A50)</f>
        <v/>
      </c>
      <c r="B50" s="125" t="str">
        <f>CRes!L50</f>
        <v/>
      </c>
      <c r="C50" s="4" t="str">
        <f t="shared" si="2"/>
        <v/>
      </c>
      <c r="D50" s="138" t="str">
        <f t="shared" si="10"/>
        <v/>
      </c>
      <c r="E50" s="226" t="str">
        <f t="shared" si="11"/>
        <v/>
      </c>
      <c r="F50" s="4" t="str">
        <f t="shared" si="12"/>
        <v/>
      </c>
      <c r="G50" s="138" t="str">
        <f t="shared" si="6"/>
        <v/>
      </c>
      <c r="H50" s="4" t="str">
        <f t="shared" si="13"/>
        <v/>
      </c>
      <c r="I50" s="226" t="str">
        <f t="shared" si="14"/>
        <v/>
      </c>
      <c r="J50" s="4" t="str">
        <f t="shared" ref="J50:J81" si="15">IF(G50="","",J49+1)</f>
        <v/>
      </c>
      <c r="K50" s="138" t="str">
        <f t="shared" ref="K50:K81" si="16">IF(B50="","",K49*(1+B50/100))</f>
        <v/>
      </c>
      <c r="L50" s="22" t="str">
        <f t="shared" ref="L50:L81" si="17">IF(B50="","",100*(K50^(1/J50)-1))</f>
        <v/>
      </c>
      <c r="M50" s="124"/>
    </row>
    <row r="51" spans="1:13" x14ac:dyDescent="0.2">
      <c r="A51" s="139" t="str">
        <f>IF(CRes!A51="","",CRes!A51)</f>
        <v/>
      </c>
      <c r="B51" s="125" t="str">
        <f>CRes!L51</f>
        <v/>
      </c>
      <c r="C51" s="4" t="str">
        <f t="shared" si="2"/>
        <v/>
      </c>
      <c r="D51" s="138" t="str">
        <f t="shared" si="10"/>
        <v/>
      </c>
      <c r="E51" s="226" t="str">
        <f t="shared" si="11"/>
        <v/>
      </c>
      <c r="F51" s="4" t="str">
        <f t="shared" si="12"/>
        <v/>
      </c>
      <c r="G51" s="138" t="str">
        <f t="shared" si="6"/>
        <v/>
      </c>
      <c r="H51" s="4" t="str">
        <f t="shared" si="13"/>
        <v/>
      </c>
      <c r="I51" s="226" t="str">
        <f t="shared" si="14"/>
        <v/>
      </c>
      <c r="J51" s="4" t="str">
        <f t="shared" si="15"/>
        <v/>
      </c>
      <c r="K51" s="138" t="str">
        <f t="shared" si="16"/>
        <v/>
      </c>
      <c r="L51" s="22" t="str">
        <f t="shared" si="17"/>
        <v/>
      </c>
      <c r="M51" s="124"/>
    </row>
    <row r="52" spans="1:13" x14ac:dyDescent="0.2">
      <c r="A52" s="139" t="str">
        <f>IF(CRes!A52="","",CRes!A52)</f>
        <v/>
      </c>
      <c r="B52" s="125" t="str">
        <f>CRes!L52</f>
        <v/>
      </c>
      <c r="C52" s="4" t="str">
        <f t="shared" si="2"/>
        <v/>
      </c>
      <c r="D52" s="138" t="str">
        <f t="shared" si="10"/>
        <v/>
      </c>
      <c r="E52" s="226" t="str">
        <f t="shared" si="11"/>
        <v/>
      </c>
      <c r="F52" s="4" t="str">
        <f t="shared" si="12"/>
        <v/>
      </c>
      <c r="G52" s="138" t="str">
        <f t="shared" si="6"/>
        <v/>
      </c>
      <c r="H52" s="4" t="str">
        <f t="shared" si="13"/>
        <v/>
      </c>
      <c r="I52" s="226" t="str">
        <f t="shared" si="14"/>
        <v/>
      </c>
      <c r="J52" s="4" t="str">
        <f t="shared" si="15"/>
        <v/>
      </c>
      <c r="K52" s="138" t="str">
        <f t="shared" si="16"/>
        <v/>
      </c>
      <c r="L52" s="22" t="str">
        <f t="shared" si="17"/>
        <v/>
      </c>
      <c r="M52" s="124"/>
    </row>
    <row r="53" spans="1:13" x14ac:dyDescent="0.2">
      <c r="A53" s="139" t="str">
        <f>IF(CRes!A53="","",CRes!A53)</f>
        <v/>
      </c>
      <c r="B53" s="125" t="str">
        <f>CRes!L53</f>
        <v/>
      </c>
      <c r="C53" s="4" t="str">
        <f t="shared" si="2"/>
        <v/>
      </c>
      <c r="D53" s="138" t="str">
        <f t="shared" si="10"/>
        <v/>
      </c>
      <c r="E53" s="226" t="str">
        <f t="shared" si="11"/>
        <v/>
      </c>
      <c r="F53" s="4" t="str">
        <f t="shared" si="12"/>
        <v/>
      </c>
      <c r="G53" s="138" t="str">
        <f t="shared" si="6"/>
        <v/>
      </c>
      <c r="H53" s="4" t="str">
        <f t="shared" si="13"/>
        <v/>
      </c>
      <c r="I53" s="226" t="str">
        <f t="shared" si="14"/>
        <v/>
      </c>
      <c r="J53" s="4" t="str">
        <f t="shared" si="15"/>
        <v/>
      </c>
      <c r="K53" s="138" t="str">
        <f t="shared" si="16"/>
        <v/>
      </c>
      <c r="L53" s="22" t="str">
        <f t="shared" si="17"/>
        <v/>
      </c>
      <c r="M53" s="124"/>
    </row>
    <row r="54" spans="1:13" x14ac:dyDescent="0.2">
      <c r="A54" s="139" t="str">
        <f>IF(CRes!A54="","",CRes!A54)</f>
        <v/>
      </c>
      <c r="B54" s="125" t="str">
        <f>CRes!L54</f>
        <v/>
      </c>
      <c r="C54" s="4" t="str">
        <f t="shared" si="2"/>
        <v/>
      </c>
      <c r="D54" s="138" t="str">
        <f t="shared" si="10"/>
        <v/>
      </c>
      <c r="E54" s="226" t="str">
        <f t="shared" si="11"/>
        <v/>
      </c>
      <c r="F54" s="4" t="str">
        <f t="shared" si="12"/>
        <v/>
      </c>
      <c r="G54" s="138" t="str">
        <f t="shared" si="6"/>
        <v/>
      </c>
      <c r="H54" s="4" t="str">
        <f t="shared" si="13"/>
        <v/>
      </c>
      <c r="I54" s="226" t="str">
        <f t="shared" si="14"/>
        <v/>
      </c>
      <c r="J54" s="4" t="str">
        <f t="shared" si="15"/>
        <v/>
      </c>
      <c r="K54" s="138" t="str">
        <f t="shared" si="16"/>
        <v/>
      </c>
      <c r="L54" s="22" t="str">
        <f t="shared" si="17"/>
        <v/>
      </c>
      <c r="M54" s="124"/>
    </row>
    <row r="55" spans="1:13" x14ac:dyDescent="0.2">
      <c r="A55" s="139" t="str">
        <f>IF(CRes!A55="","",CRes!A55)</f>
        <v/>
      </c>
      <c r="B55" s="125" t="str">
        <f>CRes!L55</f>
        <v/>
      </c>
      <c r="C55" s="4" t="str">
        <f t="shared" si="2"/>
        <v/>
      </c>
      <c r="D55" s="138" t="str">
        <f t="shared" si="10"/>
        <v/>
      </c>
      <c r="E55" s="226" t="str">
        <f t="shared" si="11"/>
        <v/>
      </c>
      <c r="F55" s="4" t="str">
        <f t="shared" si="12"/>
        <v/>
      </c>
      <c r="G55" s="138" t="str">
        <f t="shared" si="6"/>
        <v/>
      </c>
      <c r="H55" s="4" t="str">
        <f t="shared" si="13"/>
        <v/>
      </c>
      <c r="I55" s="226" t="str">
        <f t="shared" si="14"/>
        <v/>
      </c>
      <c r="J55" s="4" t="str">
        <f t="shared" si="15"/>
        <v/>
      </c>
      <c r="K55" s="138" t="str">
        <f t="shared" si="16"/>
        <v/>
      </c>
      <c r="L55" s="22" t="str">
        <f t="shared" si="17"/>
        <v/>
      </c>
      <c r="M55" s="124"/>
    </row>
    <row r="56" spans="1:13" x14ac:dyDescent="0.2">
      <c r="A56" s="139" t="str">
        <f>IF(CRes!A56="","",CRes!A56)</f>
        <v/>
      </c>
      <c r="B56" s="125" t="str">
        <f>CRes!L56</f>
        <v/>
      </c>
      <c r="C56" s="4" t="str">
        <f t="shared" si="2"/>
        <v/>
      </c>
      <c r="D56" s="138" t="str">
        <f t="shared" si="10"/>
        <v/>
      </c>
      <c r="E56" s="226" t="str">
        <f t="shared" si="11"/>
        <v/>
      </c>
      <c r="F56" s="4" t="str">
        <f t="shared" si="12"/>
        <v/>
      </c>
      <c r="G56" s="138" t="str">
        <f t="shared" si="6"/>
        <v/>
      </c>
      <c r="H56" s="4" t="str">
        <f t="shared" si="13"/>
        <v/>
      </c>
      <c r="I56" s="226" t="str">
        <f t="shared" si="14"/>
        <v/>
      </c>
      <c r="J56" s="4" t="str">
        <f t="shared" si="15"/>
        <v/>
      </c>
      <c r="K56" s="138" t="str">
        <f t="shared" si="16"/>
        <v/>
      </c>
      <c r="L56" s="22" t="str">
        <f t="shared" si="17"/>
        <v/>
      </c>
      <c r="M56" s="124"/>
    </row>
    <row r="57" spans="1:13" x14ac:dyDescent="0.2">
      <c r="A57" s="139" t="str">
        <f>IF(CRes!A57="","",CRes!A57)</f>
        <v/>
      </c>
      <c r="B57" s="125" t="str">
        <f>CRes!L57</f>
        <v/>
      </c>
      <c r="C57" s="4" t="str">
        <f t="shared" si="2"/>
        <v/>
      </c>
      <c r="D57" s="138" t="str">
        <f t="shared" si="10"/>
        <v/>
      </c>
      <c r="E57" s="226" t="str">
        <f t="shared" si="11"/>
        <v/>
      </c>
      <c r="F57" s="4" t="str">
        <f t="shared" si="12"/>
        <v/>
      </c>
      <c r="G57" s="138" t="str">
        <f t="shared" si="6"/>
        <v/>
      </c>
      <c r="H57" s="4" t="str">
        <f t="shared" si="13"/>
        <v/>
      </c>
      <c r="I57" s="226" t="str">
        <f t="shared" si="14"/>
        <v/>
      </c>
      <c r="J57" s="4" t="str">
        <f t="shared" si="15"/>
        <v/>
      </c>
      <c r="K57" s="138" t="str">
        <f t="shared" si="16"/>
        <v/>
      </c>
      <c r="L57" s="22" t="str">
        <f t="shared" si="17"/>
        <v/>
      </c>
      <c r="M57" s="124"/>
    </row>
    <row r="58" spans="1:13" x14ac:dyDescent="0.2">
      <c r="A58" s="139" t="str">
        <f>IF(CRes!A58="","",CRes!A58)</f>
        <v/>
      </c>
      <c r="B58" s="125" t="str">
        <f>CRes!L58</f>
        <v/>
      </c>
      <c r="C58" s="4" t="str">
        <f t="shared" si="2"/>
        <v/>
      </c>
      <c r="D58" s="138" t="str">
        <f t="shared" si="10"/>
        <v/>
      </c>
      <c r="E58" s="226" t="str">
        <f t="shared" si="11"/>
        <v/>
      </c>
      <c r="F58" s="4" t="str">
        <f t="shared" si="12"/>
        <v/>
      </c>
      <c r="G58" s="138" t="str">
        <f t="shared" si="6"/>
        <v/>
      </c>
      <c r="H58" s="4" t="str">
        <f t="shared" si="13"/>
        <v/>
      </c>
      <c r="I58" s="226" t="str">
        <f t="shared" si="14"/>
        <v/>
      </c>
      <c r="J58" s="4" t="str">
        <f t="shared" si="15"/>
        <v/>
      </c>
      <c r="K58" s="138" t="str">
        <f t="shared" si="16"/>
        <v/>
      </c>
      <c r="L58" s="22" t="str">
        <f t="shared" si="17"/>
        <v/>
      </c>
      <c r="M58" s="124"/>
    </row>
    <row r="59" spans="1:13" x14ac:dyDescent="0.2">
      <c r="A59" s="139" t="str">
        <f>IF(CRes!A59="","",CRes!A59)</f>
        <v/>
      </c>
      <c r="B59" s="125" t="str">
        <f>CRes!L59</f>
        <v/>
      </c>
      <c r="C59" s="4" t="str">
        <f t="shared" si="2"/>
        <v/>
      </c>
      <c r="D59" s="138" t="str">
        <f t="shared" si="10"/>
        <v/>
      </c>
      <c r="E59" s="226" t="str">
        <f t="shared" si="11"/>
        <v/>
      </c>
      <c r="F59" s="4" t="str">
        <f t="shared" si="12"/>
        <v/>
      </c>
      <c r="G59" s="138" t="str">
        <f t="shared" si="6"/>
        <v/>
      </c>
      <c r="H59" s="4" t="str">
        <f t="shared" si="13"/>
        <v/>
      </c>
      <c r="I59" s="226" t="str">
        <f t="shared" si="14"/>
        <v/>
      </c>
      <c r="J59" s="4" t="str">
        <f t="shared" si="15"/>
        <v/>
      </c>
      <c r="K59" s="138" t="str">
        <f t="shared" si="16"/>
        <v/>
      </c>
      <c r="L59" s="22" t="str">
        <f t="shared" si="17"/>
        <v/>
      </c>
      <c r="M59" s="124"/>
    </row>
    <row r="60" spans="1:13" x14ac:dyDescent="0.2">
      <c r="A60" s="139" t="str">
        <f>IF(CRes!A60="","",CRes!A60)</f>
        <v/>
      </c>
      <c r="B60" s="125" t="str">
        <f>CRes!L60</f>
        <v/>
      </c>
      <c r="C60" s="4" t="str">
        <f t="shared" si="2"/>
        <v/>
      </c>
      <c r="D60" s="138" t="str">
        <f t="shared" si="10"/>
        <v/>
      </c>
      <c r="E60" s="226" t="str">
        <f t="shared" si="11"/>
        <v/>
      </c>
      <c r="F60" s="4" t="str">
        <f t="shared" si="12"/>
        <v/>
      </c>
      <c r="G60" s="138" t="str">
        <f t="shared" si="6"/>
        <v/>
      </c>
      <c r="H60" s="4" t="str">
        <f t="shared" si="13"/>
        <v/>
      </c>
      <c r="I60" s="226" t="str">
        <f t="shared" si="14"/>
        <v/>
      </c>
      <c r="J60" s="4" t="str">
        <f t="shared" si="15"/>
        <v/>
      </c>
      <c r="K60" s="138" t="str">
        <f t="shared" si="16"/>
        <v/>
      </c>
      <c r="L60" s="22" t="str">
        <f t="shared" si="17"/>
        <v/>
      </c>
      <c r="M60" s="124"/>
    </row>
    <row r="61" spans="1:13" x14ac:dyDescent="0.2">
      <c r="A61" s="139" t="str">
        <f>IF(CRes!A61="","",CRes!A61)</f>
        <v/>
      </c>
      <c r="B61" s="125" t="str">
        <f>CRes!L61</f>
        <v/>
      </c>
      <c r="C61" s="4" t="str">
        <f t="shared" ref="C61:C102" si="18">IF(B61="","",C60+1)</f>
        <v/>
      </c>
      <c r="D61" s="138" t="str">
        <f t="shared" ref="D61:D102" si="19">IF(B61="","",D60*(1+B61/100))</f>
        <v/>
      </c>
      <c r="E61" s="226" t="str">
        <f t="shared" si="11"/>
        <v/>
      </c>
      <c r="F61" s="4" t="str">
        <f t="shared" ref="F61:F102" si="20">IF(D61="","",F60+1)</f>
        <v/>
      </c>
      <c r="G61" s="138" t="str">
        <f t="shared" ref="G61:G102" si="21">IF(B61="","",G60*(1+B61/100))</f>
        <v/>
      </c>
      <c r="H61" s="4" t="str">
        <f t="shared" si="13"/>
        <v/>
      </c>
      <c r="I61" s="226" t="str">
        <f t="shared" si="14"/>
        <v/>
      </c>
      <c r="J61" s="4" t="str">
        <f t="shared" si="15"/>
        <v/>
      </c>
      <c r="K61" s="138" t="str">
        <f t="shared" si="16"/>
        <v/>
      </c>
      <c r="L61" s="22" t="str">
        <f t="shared" si="17"/>
        <v/>
      </c>
      <c r="M61" s="124"/>
    </row>
    <row r="62" spans="1:13" x14ac:dyDescent="0.2">
      <c r="A62" s="139" t="str">
        <f>IF(CRes!A62="","",CRes!A62)</f>
        <v/>
      </c>
      <c r="B62" s="125" t="str">
        <f>CRes!L62</f>
        <v/>
      </c>
      <c r="C62" s="4" t="str">
        <f t="shared" si="18"/>
        <v/>
      </c>
      <c r="D62" s="138" t="str">
        <f t="shared" si="19"/>
        <v/>
      </c>
      <c r="E62" s="226" t="str">
        <f t="shared" si="11"/>
        <v/>
      </c>
      <c r="F62" s="4" t="str">
        <f t="shared" si="20"/>
        <v/>
      </c>
      <c r="G62" s="138" t="str">
        <f t="shared" si="21"/>
        <v/>
      </c>
      <c r="H62" s="4" t="str">
        <f t="shared" si="13"/>
        <v/>
      </c>
      <c r="I62" s="226" t="str">
        <f t="shared" si="14"/>
        <v/>
      </c>
      <c r="J62" s="4" t="str">
        <f t="shared" si="15"/>
        <v/>
      </c>
      <c r="K62" s="138" t="str">
        <f t="shared" si="16"/>
        <v/>
      </c>
      <c r="L62" s="22" t="str">
        <f t="shared" si="17"/>
        <v/>
      </c>
      <c r="M62" s="124"/>
    </row>
    <row r="63" spans="1:13" x14ac:dyDescent="0.2">
      <c r="A63" s="139" t="str">
        <f>IF(CRes!A63="","",CRes!A63)</f>
        <v/>
      </c>
      <c r="B63" s="125" t="str">
        <f>CRes!L63</f>
        <v/>
      </c>
      <c r="C63" s="4" t="str">
        <f t="shared" si="18"/>
        <v/>
      </c>
      <c r="D63" s="138" t="str">
        <f t="shared" si="19"/>
        <v/>
      </c>
      <c r="E63" s="226" t="str">
        <f t="shared" si="11"/>
        <v/>
      </c>
      <c r="F63" s="4" t="str">
        <f t="shared" si="20"/>
        <v/>
      </c>
      <c r="G63" s="138" t="str">
        <f t="shared" si="21"/>
        <v/>
      </c>
      <c r="H63" s="4" t="str">
        <f t="shared" si="13"/>
        <v/>
      </c>
      <c r="I63" s="226" t="str">
        <f t="shared" si="14"/>
        <v/>
      </c>
      <c r="J63" s="4" t="str">
        <f t="shared" si="15"/>
        <v/>
      </c>
      <c r="K63" s="138" t="str">
        <f t="shared" si="16"/>
        <v/>
      </c>
      <c r="L63" s="22" t="str">
        <f t="shared" si="17"/>
        <v/>
      </c>
      <c r="M63" s="124"/>
    </row>
    <row r="64" spans="1:13" x14ac:dyDescent="0.2">
      <c r="A64" s="139" t="str">
        <f>IF(CRes!A64="","",CRes!A64)</f>
        <v/>
      </c>
      <c r="B64" s="125" t="str">
        <f>CRes!L64</f>
        <v/>
      </c>
      <c r="C64" s="4" t="str">
        <f t="shared" si="18"/>
        <v/>
      </c>
      <c r="D64" s="138" t="str">
        <f t="shared" si="19"/>
        <v/>
      </c>
      <c r="E64" s="226" t="str">
        <f t="shared" si="11"/>
        <v/>
      </c>
      <c r="F64" s="4" t="str">
        <f t="shared" si="20"/>
        <v/>
      </c>
      <c r="G64" s="138" t="str">
        <f t="shared" si="21"/>
        <v/>
      </c>
      <c r="H64" s="4" t="str">
        <f t="shared" si="13"/>
        <v/>
      </c>
      <c r="I64" s="226" t="str">
        <f t="shared" si="14"/>
        <v/>
      </c>
      <c r="J64" s="4" t="str">
        <f t="shared" si="15"/>
        <v/>
      </c>
      <c r="K64" s="138" t="str">
        <f t="shared" si="16"/>
        <v/>
      </c>
      <c r="L64" s="22" t="str">
        <f t="shared" si="17"/>
        <v/>
      </c>
      <c r="M64" s="124"/>
    </row>
    <row r="65" spans="1:13" x14ac:dyDescent="0.2">
      <c r="A65" s="139" t="str">
        <f>IF(CRes!A65="","",CRes!A65)</f>
        <v/>
      </c>
      <c r="B65" s="125" t="str">
        <f>CRes!L65</f>
        <v/>
      </c>
      <c r="C65" s="4" t="str">
        <f t="shared" si="18"/>
        <v/>
      </c>
      <c r="D65" s="138" t="str">
        <f t="shared" si="19"/>
        <v/>
      </c>
      <c r="E65" s="226" t="str">
        <f t="shared" si="11"/>
        <v/>
      </c>
      <c r="F65" s="4" t="str">
        <f t="shared" si="20"/>
        <v/>
      </c>
      <c r="G65" s="138" t="str">
        <f t="shared" si="21"/>
        <v/>
      </c>
      <c r="H65" s="4" t="str">
        <f t="shared" si="13"/>
        <v/>
      </c>
      <c r="I65" s="226" t="str">
        <f t="shared" si="14"/>
        <v/>
      </c>
      <c r="J65" s="4" t="str">
        <f t="shared" si="15"/>
        <v/>
      </c>
      <c r="K65" s="138" t="str">
        <f t="shared" si="16"/>
        <v/>
      </c>
      <c r="L65" s="22" t="str">
        <f t="shared" si="17"/>
        <v/>
      </c>
      <c r="M65" s="124"/>
    </row>
    <row r="66" spans="1:13" x14ac:dyDescent="0.2">
      <c r="A66" s="139" t="str">
        <f>IF(CRes!A66="","",CRes!A66)</f>
        <v/>
      </c>
      <c r="B66" s="125" t="str">
        <f>CRes!L66</f>
        <v/>
      </c>
      <c r="C66" s="4" t="str">
        <f t="shared" si="18"/>
        <v/>
      </c>
      <c r="D66" s="138" t="str">
        <f t="shared" si="19"/>
        <v/>
      </c>
      <c r="E66" s="226" t="str">
        <f t="shared" si="11"/>
        <v/>
      </c>
      <c r="F66" s="4" t="str">
        <f t="shared" si="20"/>
        <v/>
      </c>
      <c r="G66" s="138" t="str">
        <f t="shared" si="21"/>
        <v/>
      </c>
      <c r="H66" s="4" t="str">
        <f t="shared" si="13"/>
        <v/>
      </c>
      <c r="I66" s="226" t="str">
        <f t="shared" si="14"/>
        <v/>
      </c>
      <c r="J66" s="4" t="str">
        <f t="shared" si="15"/>
        <v/>
      </c>
      <c r="K66" s="138" t="str">
        <f t="shared" si="16"/>
        <v/>
      </c>
      <c r="L66" s="22" t="str">
        <f t="shared" si="17"/>
        <v/>
      </c>
      <c r="M66" s="124"/>
    </row>
    <row r="67" spans="1:13" x14ac:dyDescent="0.2">
      <c r="A67" s="139" t="str">
        <f>IF(CRes!A67="","",CRes!A67)</f>
        <v/>
      </c>
      <c r="B67" s="125" t="str">
        <f>CRes!L67</f>
        <v/>
      </c>
      <c r="C67" s="4" t="str">
        <f t="shared" si="18"/>
        <v/>
      </c>
      <c r="D67" s="138" t="str">
        <f t="shared" si="19"/>
        <v/>
      </c>
      <c r="E67" s="226" t="str">
        <f t="shared" ref="E67:E98" si="22">IF(B67="","",100*(D67^(1/C67)-1))</f>
        <v/>
      </c>
      <c r="F67" s="4" t="str">
        <f t="shared" si="20"/>
        <v/>
      </c>
      <c r="G67" s="138" t="str">
        <f t="shared" si="21"/>
        <v/>
      </c>
      <c r="H67" s="4" t="str">
        <f t="shared" si="13"/>
        <v/>
      </c>
      <c r="I67" s="226" t="str">
        <f t="shared" si="14"/>
        <v/>
      </c>
      <c r="J67" s="4" t="str">
        <f t="shared" si="15"/>
        <v/>
      </c>
      <c r="K67" s="138" t="str">
        <f t="shared" si="16"/>
        <v/>
      </c>
      <c r="L67" s="22" t="str">
        <f t="shared" si="17"/>
        <v/>
      </c>
      <c r="M67" s="124"/>
    </row>
    <row r="68" spans="1:13" x14ac:dyDescent="0.2">
      <c r="A68" s="139" t="str">
        <f>IF(CRes!A68="","",CRes!A68)</f>
        <v/>
      </c>
      <c r="B68" s="125" t="str">
        <f>CRes!L68</f>
        <v/>
      </c>
      <c r="C68" s="4" t="str">
        <f t="shared" si="18"/>
        <v/>
      </c>
      <c r="D68" s="138" t="str">
        <f t="shared" si="19"/>
        <v/>
      </c>
      <c r="E68" s="226" t="str">
        <f t="shared" si="22"/>
        <v/>
      </c>
      <c r="F68" s="4" t="str">
        <f t="shared" si="20"/>
        <v/>
      </c>
      <c r="G68" s="138" t="str">
        <f t="shared" si="21"/>
        <v/>
      </c>
      <c r="H68" s="4" t="str">
        <f t="shared" si="13"/>
        <v/>
      </c>
      <c r="I68" s="226" t="str">
        <f t="shared" si="14"/>
        <v/>
      </c>
      <c r="J68" s="4" t="str">
        <f t="shared" si="15"/>
        <v/>
      </c>
      <c r="K68" s="138" t="str">
        <f t="shared" si="16"/>
        <v/>
      </c>
      <c r="L68" s="22" t="str">
        <f t="shared" si="17"/>
        <v/>
      </c>
      <c r="M68" s="124"/>
    </row>
    <row r="69" spans="1:13" x14ac:dyDescent="0.2">
      <c r="A69" s="139" t="str">
        <f>IF(CRes!A69="","",CRes!A69)</f>
        <v/>
      </c>
      <c r="B69" s="125" t="str">
        <f>CRes!L69</f>
        <v/>
      </c>
      <c r="C69" s="4" t="str">
        <f t="shared" si="18"/>
        <v/>
      </c>
      <c r="D69" s="138" t="str">
        <f t="shared" si="19"/>
        <v/>
      </c>
      <c r="E69" s="226" t="str">
        <f t="shared" si="22"/>
        <v/>
      </c>
      <c r="F69" s="4" t="str">
        <f t="shared" si="20"/>
        <v/>
      </c>
      <c r="G69" s="138" t="str">
        <f t="shared" si="21"/>
        <v/>
      </c>
      <c r="H69" s="4" t="str">
        <f t="shared" si="13"/>
        <v/>
      </c>
      <c r="I69" s="226" t="str">
        <f t="shared" si="14"/>
        <v/>
      </c>
      <c r="J69" s="4" t="str">
        <f t="shared" si="15"/>
        <v/>
      </c>
      <c r="K69" s="138" t="str">
        <f t="shared" si="16"/>
        <v/>
      </c>
      <c r="L69" s="22" t="str">
        <f t="shared" si="17"/>
        <v/>
      </c>
      <c r="M69" s="124"/>
    </row>
    <row r="70" spans="1:13" x14ac:dyDescent="0.2">
      <c r="A70" s="139" t="str">
        <f>IF(CRes!A70="","",CRes!A70)</f>
        <v/>
      </c>
      <c r="B70" s="125" t="str">
        <f>CRes!L70</f>
        <v/>
      </c>
      <c r="C70" s="4" t="str">
        <f t="shared" si="18"/>
        <v/>
      </c>
      <c r="D70" s="138" t="str">
        <f t="shared" si="19"/>
        <v/>
      </c>
      <c r="E70" s="226" t="str">
        <f t="shared" si="22"/>
        <v/>
      </c>
      <c r="F70" s="4" t="str">
        <f t="shared" si="20"/>
        <v/>
      </c>
      <c r="G70" s="138" t="str">
        <f t="shared" si="21"/>
        <v/>
      </c>
      <c r="H70" s="4" t="str">
        <f t="shared" si="13"/>
        <v/>
      </c>
      <c r="I70" s="226" t="str">
        <f t="shared" si="14"/>
        <v/>
      </c>
      <c r="J70" s="4" t="str">
        <f t="shared" si="15"/>
        <v/>
      </c>
      <c r="K70" s="138" t="str">
        <f t="shared" si="16"/>
        <v/>
      </c>
      <c r="L70" s="22" t="str">
        <f t="shared" si="17"/>
        <v/>
      </c>
      <c r="M70" s="124"/>
    </row>
    <row r="71" spans="1:13" x14ac:dyDescent="0.2">
      <c r="A71" s="139" t="str">
        <f>IF(CRes!A71="","",CRes!A71)</f>
        <v/>
      </c>
      <c r="B71" s="125" t="str">
        <f>CRes!L71</f>
        <v/>
      </c>
      <c r="C71" s="4" t="str">
        <f t="shared" si="18"/>
        <v/>
      </c>
      <c r="D71" s="138" t="str">
        <f t="shared" si="19"/>
        <v/>
      </c>
      <c r="E71" s="226" t="str">
        <f t="shared" si="22"/>
        <v/>
      </c>
      <c r="F71" s="4" t="str">
        <f t="shared" si="20"/>
        <v/>
      </c>
      <c r="G71" s="138" t="str">
        <f t="shared" si="21"/>
        <v/>
      </c>
      <c r="H71" s="4" t="str">
        <f t="shared" ref="H71:H102" si="23">IF(E71="","",H70+1)</f>
        <v/>
      </c>
      <c r="I71" s="226" t="str">
        <f t="shared" ref="I71:I102" si="24">IF(B71="","",100*(G71^(1/F71)-1))</f>
        <v/>
      </c>
      <c r="J71" s="4" t="str">
        <f t="shared" si="15"/>
        <v/>
      </c>
      <c r="K71" s="138" t="str">
        <f t="shared" si="16"/>
        <v/>
      </c>
      <c r="L71" s="22" t="str">
        <f t="shared" si="17"/>
        <v/>
      </c>
      <c r="M71" s="124"/>
    </row>
    <row r="72" spans="1:13" x14ac:dyDescent="0.2">
      <c r="A72" s="139" t="str">
        <f>IF(CRes!A72="","",CRes!A72)</f>
        <v/>
      </c>
      <c r="B72" s="125" t="str">
        <f>CRes!L72</f>
        <v/>
      </c>
      <c r="C72" s="4" t="str">
        <f t="shared" si="18"/>
        <v/>
      </c>
      <c r="D72" s="138" t="str">
        <f t="shared" si="19"/>
        <v/>
      </c>
      <c r="E72" s="226" t="str">
        <f t="shared" si="22"/>
        <v/>
      </c>
      <c r="F72" s="4" t="str">
        <f t="shared" si="20"/>
        <v/>
      </c>
      <c r="G72" s="138" t="str">
        <f t="shared" si="21"/>
        <v/>
      </c>
      <c r="H72" s="4" t="str">
        <f t="shared" si="23"/>
        <v/>
      </c>
      <c r="I72" s="226" t="str">
        <f t="shared" si="24"/>
        <v/>
      </c>
      <c r="J72" s="4" t="str">
        <f t="shared" si="15"/>
        <v/>
      </c>
      <c r="K72" s="138" t="str">
        <f t="shared" si="16"/>
        <v/>
      </c>
      <c r="L72" s="22" t="str">
        <f t="shared" si="17"/>
        <v/>
      </c>
      <c r="M72" s="124"/>
    </row>
    <row r="73" spans="1:13" x14ac:dyDescent="0.2">
      <c r="A73" s="139" t="str">
        <f>IF(CRes!A73="","",CRes!A73)</f>
        <v/>
      </c>
      <c r="B73" s="125" t="str">
        <f>CRes!L73</f>
        <v/>
      </c>
      <c r="C73" s="4" t="str">
        <f t="shared" si="18"/>
        <v/>
      </c>
      <c r="D73" s="138" t="str">
        <f t="shared" si="19"/>
        <v/>
      </c>
      <c r="E73" s="226" t="str">
        <f t="shared" si="22"/>
        <v/>
      </c>
      <c r="F73" s="4" t="str">
        <f t="shared" si="20"/>
        <v/>
      </c>
      <c r="G73" s="138" t="str">
        <f t="shared" si="21"/>
        <v/>
      </c>
      <c r="H73" s="4" t="str">
        <f t="shared" si="23"/>
        <v/>
      </c>
      <c r="I73" s="226" t="str">
        <f t="shared" si="24"/>
        <v/>
      </c>
      <c r="J73" s="4" t="str">
        <f t="shared" si="15"/>
        <v/>
      </c>
      <c r="K73" s="138" t="str">
        <f t="shared" si="16"/>
        <v/>
      </c>
      <c r="L73" s="22" t="str">
        <f t="shared" si="17"/>
        <v/>
      </c>
      <c r="M73" s="124"/>
    </row>
    <row r="74" spans="1:13" x14ac:dyDescent="0.2">
      <c r="A74" s="139" t="str">
        <f>IF(CRes!A74="","",CRes!A74)</f>
        <v/>
      </c>
      <c r="B74" s="125" t="str">
        <f>CRes!L74</f>
        <v/>
      </c>
      <c r="C74" s="4" t="str">
        <f t="shared" si="18"/>
        <v/>
      </c>
      <c r="D74" s="138" t="str">
        <f t="shared" si="19"/>
        <v/>
      </c>
      <c r="E74" s="226" t="str">
        <f t="shared" si="22"/>
        <v/>
      </c>
      <c r="F74" s="4" t="str">
        <f t="shared" si="20"/>
        <v/>
      </c>
      <c r="G74" s="138" t="str">
        <f t="shared" si="21"/>
        <v/>
      </c>
      <c r="H74" s="4" t="str">
        <f t="shared" si="23"/>
        <v/>
      </c>
      <c r="I74" s="226" t="str">
        <f t="shared" si="24"/>
        <v/>
      </c>
      <c r="J74" s="4" t="str">
        <f t="shared" si="15"/>
        <v/>
      </c>
      <c r="K74" s="138" t="str">
        <f t="shared" si="16"/>
        <v/>
      </c>
      <c r="L74" s="22" t="str">
        <f t="shared" si="17"/>
        <v/>
      </c>
      <c r="M74" s="124"/>
    </row>
    <row r="75" spans="1:13" x14ac:dyDescent="0.2">
      <c r="A75" s="139" t="str">
        <f>IF(CRes!A75="","",CRes!A75)</f>
        <v/>
      </c>
      <c r="B75" s="125" t="str">
        <f>CRes!L75</f>
        <v/>
      </c>
      <c r="C75" s="4" t="str">
        <f t="shared" si="18"/>
        <v/>
      </c>
      <c r="D75" s="138" t="str">
        <f t="shared" si="19"/>
        <v/>
      </c>
      <c r="E75" s="226" t="str">
        <f t="shared" si="22"/>
        <v/>
      </c>
      <c r="F75" s="4" t="str">
        <f t="shared" si="20"/>
        <v/>
      </c>
      <c r="G75" s="138" t="str">
        <f t="shared" si="21"/>
        <v/>
      </c>
      <c r="H75" s="4" t="str">
        <f t="shared" si="23"/>
        <v/>
      </c>
      <c r="I75" s="226" t="str">
        <f t="shared" si="24"/>
        <v/>
      </c>
      <c r="J75" s="4" t="str">
        <f t="shared" si="15"/>
        <v/>
      </c>
      <c r="K75" s="138" t="str">
        <f t="shared" si="16"/>
        <v/>
      </c>
      <c r="L75" s="22" t="str">
        <f t="shared" si="17"/>
        <v/>
      </c>
      <c r="M75" s="124"/>
    </row>
    <row r="76" spans="1:13" x14ac:dyDescent="0.2">
      <c r="A76" s="139" t="str">
        <f>IF(CRes!A76="","",CRes!A76)</f>
        <v/>
      </c>
      <c r="B76" s="125" t="str">
        <f>CRes!L76</f>
        <v/>
      </c>
      <c r="C76" s="4" t="str">
        <f t="shared" si="18"/>
        <v/>
      </c>
      <c r="D76" s="138" t="str">
        <f t="shared" si="19"/>
        <v/>
      </c>
      <c r="E76" s="226" t="str">
        <f t="shared" si="22"/>
        <v/>
      </c>
      <c r="F76" s="4" t="str">
        <f t="shared" si="20"/>
        <v/>
      </c>
      <c r="G76" s="138" t="str">
        <f t="shared" si="21"/>
        <v/>
      </c>
      <c r="H76" s="4" t="str">
        <f t="shared" si="23"/>
        <v/>
      </c>
      <c r="I76" s="226" t="str">
        <f t="shared" si="24"/>
        <v/>
      </c>
      <c r="J76" s="4" t="str">
        <f t="shared" si="15"/>
        <v/>
      </c>
      <c r="K76" s="138" t="str">
        <f t="shared" si="16"/>
        <v/>
      </c>
      <c r="L76" s="22" t="str">
        <f t="shared" si="17"/>
        <v/>
      </c>
      <c r="M76" s="124"/>
    </row>
    <row r="77" spans="1:13" x14ac:dyDescent="0.2">
      <c r="A77" s="139" t="str">
        <f>IF(CRes!A77="","",CRes!A77)</f>
        <v/>
      </c>
      <c r="B77" s="125" t="str">
        <f>CRes!L77</f>
        <v/>
      </c>
      <c r="C77" s="4" t="str">
        <f t="shared" si="18"/>
        <v/>
      </c>
      <c r="D77" s="138" t="str">
        <f t="shared" si="19"/>
        <v/>
      </c>
      <c r="E77" s="226" t="str">
        <f t="shared" si="22"/>
        <v/>
      </c>
      <c r="F77" s="4" t="str">
        <f t="shared" si="20"/>
        <v/>
      </c>
      <c r="G77" s="138" t="str">
        <f t="shared" si="21"/>
        <v/>
      </c>
      <c r="H77" s="4" t="str">
        <f t="shared" si="23"/>
        <v/>
      </c>
      <c r="I77" s="226" t="str">
        <f t="shared" si="24"/>
        <v/>
      </c>
      <c r="J77" s="4" t="str">
        <f t="shared" si="15"/>
        <v/>
      </c>
      <c r="K77" s="138" t="str">
        <f t="shared" si="16"/>
        <v/>
      </c>
      <c r="L77" s="22" t="str">
        <f t="shared" si="17"/>
        <v/>
      </c>
      <c r="M77" s="124"/>
    </row>
    <row r="78" spans="1:13" x14ac:dyDescent="0.2">
      <c r="A78" s="139" t="str">
        <f>IF(CRes!A78="","",CRes!A78)</f>
        <v/>
      </c>
      <c r="B78" s="125" t="str">
        <f>CRes!L78</f>
        <v/>
      </c>
      <c r="C78" s="4" t="str">
        <f t="shared" si="18"/>
        <v/>
      </c>
      <c r="D78" s="138" t="str">
        <f t="shared" si="19"/>
        <v/>
      </c>
      <c r="E78" s="226" t="str">
        <f t="shared" si="22"/>
        <v/>
      </c>
      <c r="F78" s="4" t="str">
        <f t="shared" si="20"/>
        <v/>
      </c>
      <c r="G78" s="138" t="str">
        <f t="shared" si="21"/>
        <v/>
      </c>
      <c r="H78" s="4" t="str">
        <f t="shared" si="23"/>
        <v/>
      </c>
      <c r="I78" s="226" t="str">
        <f t="shared" si="24"/>
        <v/>
      </c>
      <c r="J78" s="4" t="str">
        <f t="shared" si="15"/>
        <v/>
      </c>
      <c r="K78" s="138" t="str">
        <f t="shared" si="16"/>
        <v/>
      </c>
      <c r="L78" s="22" t="str">
        <f t="shared" si="17"/>
        <v/>
      </c>
      <c r="M78" s="124"/>
    </row>
    <row r="79" spans="1:13" x14ac:dyDescent="0.2">
      <c r="A79" s="139" t="str">
        <f>IF(CRes!A79="","",CRes!A79)</f>
        <v/>
      </c>
      <c r="B79" s="125" t="str">
        <f>CRes!L79</f>
        <v/>
      </c>
      <c r="C79" s="4" t="str">
        <f t="shared" si="18"/>
        <v/>
      </c>
      <c r="D79" s="138" t="str">
        <f t="shared" si="19"/>
        <v/>
      </c>
      <c r="E79" s="226" t="str">
        <f t="shared" si="22"/>
        <v/>
      </c>
      <c r="F79" s="4" t="str">
        <f t="shared" si="20"/>
        <v/>
      </c>
      <c r="G79" s="138" t="str">
        <f t="shared" si="21"/>
        <v/>
      </c>
      <c r="H79" s="4" t="str">
        <f t="shared" si="23"/>
        <v/>
      </c>
      <c r="I79" s="226" t="str">
        <f t="shared" si="24"/>
        <v/>
      </c>
      <c r="J79" s="4" t="str">
        <f t="shared" si="15"/>
        <v/>
      </c>
      <c r="K79" s="138" t="str">
        <f t="shared" si="16"/>
        <v/>
      </c>
      <c r="L79" s="22" t="str">
        <f t="shared" si="17"/>
        <v/>
      </c>
      <c r="M79" s="124"/>
    </row>
    <row r="80" spans="1:13" x14ac:dyDescent="0.2">
      <c r="A80" s="139" t="str">
        <f>IF(CRes!A80="","",CRes!A80)</f>
        <v/>
      </c>
      <c r="B80" s="125" t="str">
        <f>CRes!L80</f>
        <v/>
      </c>
      <c r="C80" s="4" t="str">
        <f t="shared" si="18"/>
        <v/>
      </c>
      <c r="D80" s="138" t="str">
        <f t="shared" si="19"/>
        <v/>
      </c>
      <c r="E80" s="226" t="str">
        <f t="shared" si="22"/>
        <v/>
      </c>
      <c r="F80" s="4" t="str">
        <f t="shared" si="20"/>
        <v/>
      </c>
      <c r="G80" s="138" t="str">
        <f t="shared" si="21"/>
        <v/>
      </c>
      <c r="H80" s="4" t="str">
        <f t="shared" si="23"/>
        <v/>
      </c>
      <c r="I80" s="226" t="str">
        <f t="shared" si="24"/>
        <v/>
      </c>
      <c r="J80" s="4" t="str">
        <f t="shared" si="15"/>
        <v/>
      </c>
      <c r="K80" s="138" t="str">
        <f t="shared" si="16"/>
        <v/>
      </c>
      <c r="L80" s="22" t="str">
        <f t="shared" si="17"/>
        <v/>
      </c>
      <c r="M80" s="124"/>
    </row>
    <row r="81" spans="1:13" x14ac:dyDescent="0.2">
      <c r="A81" s="139" t="str">
        <f>IF(CRes!A81="","",CRes!A81)</f>
        <v/>
      </c>
      <c r="B81" s="125" t="str">
        <f>CRes!L81</f>
        <v/>
      </c>
      <c r="C81" s="4" t="str">
        <f t="shared" si="18"/>
        <v/>
      </c>
      <c r="D81" s="138" t="str">
        <f t="shared" si="19"/>
        <v/>
      </c>
      <c r="E81" s="226" t="str">
        <f t="shared" si="22"/>
        <v/>
      </c>
      <c r="F81" s="4" t="str">
        <f t="shared" si="20"/>
        <v/>
      </c>
      <c r="G81" s="138" t="str">
        <f t="shared" si="21"/>
        <v/>
      </c>
      <c r="H81" s="4" t="str">
        <f t="shared" si="23"/>
        <v/>
      </c>
      <c r="I81" s="226" t="str">
        <f t="shared" si="24"/>
        <v/>
      </c>
      <c r="J81" s="4" t="str">
        <f t="shared" si="15"/>
        <v/>
      </c>
      <c r="K81" s="138" t="str">
        <f t="shared" si="16"/>
        <v/>
      </c>
      <c r="L81" s="22" t="str">
        <f t="shared" si="17"/>
        <v/>
      </c>
      <c r="M81" s="124"/>
    </row>
    <row r="82" spans="1:13" x14ac:dyDescent="0.2">
      <c r="A82" s="139" t="str">
        <f>IF(CRes!A82="","",CRes!A82)</f>
        <v/>
      </c>
      <c r="B82" s="125" t="str">
        <f>CRes!L82</f>
        <v/>
      </c>
      <c r="C82" s="4" t="str">
        <f t="shared" si="18"/>
        <v/>
      </c>
      <c r="D82" s="138" t="str">
        <f t="shared" si="19"/>
        <v/>
      </c>
      <c r="E82" s="226" t="str">
        <f t="shared" si="22"/>
        <v/>
      </c>
      <c r="F82" s="4" t="str">
        <f t="shared" si="20"/>
        <v/>
      </c>
      <c r="G82" s="138" t="str">
        <f t="shared" si="21"/>
        <v/>
      </c>
      <c r="H82" s="4" t="str">
        <f t="shared" si="23"/>
        <v/>
      </c>
      <c r="I82" s="226" t="str">
        <f t="shared" si="24"/>
        <v/>
      </c>
      <c r="J82" s="4" t="str">
        <f t="shared" ref="J82:J102" si="25">IF(G82="","",J81+1)</f>
        <v/>
      </c>
      <c r="K82" s="138" t="str">
        <f t="shared" ref="K82:K102" si="26">IF(B82="","",K81*(1+B82/100))</f>
        <v/>
      </c>
      <c r="L82" s="22" t="str">
        <f t="shared" ref="L82:L102" si="27">IF(B82="","",100*(K82^(1/J82)-1))</f>
        <v/>
      </c>
      <c r="M82" s="124"/>
    </row>
    <row r="83" spans="1:13" x14ac:dyDescent="0.2">
      <c r="A83" s="139" t="str">
        <f>IF(CRes!A83="","",CRes!A83)</f>
        <v/>
      </c>
      <c r="B83" s="125" t="str">
        <f>CRes!L83</f>
        <v/>
      </c>
      <c r="C83" s="4" t="str">
        <f t="shared" si="18"/>
        <v/>
      </c>
      <c r="D83" s="138" t="str">
        <f t="shared" si="19"/>
        <v/>
      </c>
      <c r="E83" s="226" t="str">
        <f t="shared" si="22"/>
        <v/>
      </c>
      <c r="F83" s="4" t="str">
        <f t="shared" si="20"/>
        <v/>
      </c>
      <c r="G83" s="138" t="str">
        <f t="shared" si="21"/>
        <v/>
      </c>
      <c r="H83" s="4" t="str">
        <f t="shared" si="23"/>
        <v/>
      </c>
      <c r="I83" s="226" t="str">
        <f t="shared" si="24"/>
        <v/>
      </c>
      <c r="J83" s="4" t="str">
        <f t="shared" si="25"/>
        <v/>
      </c>
      <c r="K83" s="138" t="str">
        <f t="shared" si="26"/>
        <v/>
      </c>
      <c r="L83" s="22" t="str">
        <f t="shared" si="27"/>
        <v/>
      </c>
      <c r="M83" s="124"/>
    </row>
    <row r="84" spans="1:13" x14ac:dyDescent="0.2">
      <c r="A84" s="139" t="str">
        <f>IF(CRes!A84="","",CRes!A84)</f>
        <v/>
      </c>
      <c r="B84" s="125" t="str">
        <f>CRes!L84</f>
        <v/>
      </c>
      <c r="C84" s="4" t="str">
        <f t="shared" si="18"/>
        <v/>
      </c>
      <c r="D84" s="138" t="str">
        <f t="shared" si="19"/>
        <v/>
      </c>
      <c r="E84" s="226" t="str">
        <f t="shared" si="22"/>
        <v/>
      </c>
      <c r="F84" s="4" t="str">
        <f t="shared" si="20"/>
        <v/>
      </c>
      <c r="G84" s="138" t="str">
        <f t="shared" si="21"/>
        <v/>
      </c>
      <c r="H84" s="4" t="str">
        <f t="shared" si="23"/>
        <v/>
      </c>
      <c r="I84" s="226" t="str">
        <f t="shared" si="24"/>
        <v/>
      </c>
      <c r="J84" s="4" t="str">
        <f t="shared" si="25"/>
        <v/>
      </c>
      <c r="K84" s="138" t="str">
        <f t="shared" si="26"/>
        <v/>
      </c>
      <c r="L84" s="22" t="str">
        <f t="shared" si="27"/>
        <v/>
      </c>
      <c r="M84" s="124"/>
    </row>
    <row r="85" spans="1:13" x14ac:dyDescent="0.2">
      <c r="A85" s="139" t="str">
        <f>IF(CRes!A85="","",CRes!A85)</f>
        <v/>
      </c>
      <c r="B85" s="125" t="str">
        <f>CRes!L85</f>
        <v/>
      </c>
      <c r="C85" s="4" t="str">
        <f t="shared" si="18"/>
        <v/>
      </c>
      <c r="D85" s="138" t="str">
        <f t="shared" si="19"/>
        <v/>
      </c>
      <c r="E85" s="226" t="str">
        <f t="shared" si="22"/>
        <v/>
      </c>
      <c r="F85" s="4" t="str">
        <f t="shared" si="20"/>
        <v/>
      </c>
      <c r="G85" s="138" t="str">
        <f t="shared" si="21"/>
        <v/>
      </c>
      <c r="H85" s="4" t="str">
        <f t="shared" si="23"/>
        <v/>
      </c>
      <c r="I85" s="226" t="str">
        <f t="shared" si="24"/>
        <v/>
      </c>
      <c r="J85" s="4" t="str">
        <f t="shared" si="25"/>
        <v/>
      </c>
      <c r="K85" s="138" t="str">
        <f t="shared" si="26"/>
        <v/>
      </c>
      <c r="L85" s="22" t="str">
        <f t="shared" si="27"/>
        <v/>
      </c>
      <c r="M85" s="124"/>
    </row>
    <row r="86" spans="1:13" x14ac:dyDescent="0.2">
      <c r="A86" s="139" t="str">
        <f>IF(CRes!A86="","",CRes!A86)</f>
        <v/>
      </c>
      <c r="B86" s="125" t="str">
        <f>CRes!L86</f>
        <v/>
      </c>
      <c r="C86" s="4" t="str">
        <f t="shared" si="18"/>
        <v/>
      </c>
      <c r="D86" s="138" t="str">
        <f t="shared" si="19"/>
        <v/>
      </c>
      <c r="E86" s="226" t="str">
        <f t="shared" si="22"/>
        <v/>
      </c>
      <c r="F86" s="4" t="str">
        <f t="shared" si="20"/>
        <v/>
      </c>
      <c r="G86" s="138" t="str">
        <f t="shared" si="21"/>
        <v/>
      </c>
      <c r="H86" s="4" t="str">
        <f t="shared" si="23"/>
        <v/>
      </c>
      <c r="I86" s="226" t="str">
        <f t="shared" si="24"/>
        <v/>
      </c>
      <c r="J86" s="4" t="str">
        <f t="shared" si="25"/>
        <v/>
      </c>
      <c r="K86" s="138" t="str">
        <f t="shared" si="26"/>
        <v/>
      </c>
      <c r="L86" s="22" t="str">
        <f t="shared" si="27"/>
        <v/>
      </c>
      <c r="M86" s="124"/>
    </row>
    <row r="87" spans="1:13" x14ac:dyDescent="0.2">
      <c r="A87" s="139" t="str">
        <f>IF(CRes!A87="","",CRes!A87)</f>
        <v/>
      </c>
      <c r="B87" s="125" t="str">
        <f>CRes!L87</f>
        <v/>
      </c>
      <c r="C87" s="4" t="str">
        <f t="shared" si="18"/>
        <v/>
      </c>
      <c r="D87" s="138" t="str">
        <f t="shared" si="19"/>
        <v/>
      </c>
      <c r="E87" s="226" t="str">
        <f t="shared" si="22"/>
        <v/>
      </c>
      <c r="F87" s="4" t="str">
        <f t="shared" si="20"/>
        <v/>
      </c>
      <c r="G87" s="138" t="str">
        <f t="shared" si="21"/>
        <v/>
      </c>
      <c r="H87" s="4" t="str">
        <f t="shared" si="23"/>
        <v/>
      </c>
      <c r="I87" s="226" t="str">
        <f t="shared" si="24"/>
        <v/>
      </c>
      <c r="J87" s="4" t="str">
        <f t="shared" si="25"/>
        <v/>
      </c>
      <c r="K87" s="138" t="str">
        <f t="shared" si="26"/>
        <v/>
      </c>
      <c r="L87" s="22" t="str">
        <f t="shared" si="27"/>
        <v/>
      </c>
      <c r="M87" s="124"/>
    </row>
    <row r="88" spans="1:13" x14ac:dyDescent="0.2">
      <c r="A88" s="139" t="str">
        <f>IF(CRes!A88="","",CRes!A88)</f>
        <v/>
      </c>
      <c r="B88" s="125" t="str">
        <f>CRes!L88</f>
        <v/>
      </c>
      <c r="C88" s="4" t="str">
        <f t="shared" si="18"/>
        <v/>
      </c>
      <c r="D88" s="138" t="str">
        <f t="shared" si="19"/>
        <v/>
      </c>
      <c r="E88" s="226" t="str">
        <f t="shared" si="22"/>
        <v/>
      </c>
      <c r="F88" s="4" t="str">
        <f t="shared" si="20"/>
        <v/>
      </c>
      <c r="G88" s="138" t="str">
        <f t="shared" si="21"/>
        <v/>
      </c>
      <c r="H88" s="4" t="str">
        <f t="shared" si="23"/>
        <v/>
      </c>
      <c r="I88" s="226" t="str">
        <f t="shared" si="24"/>
        <v/>
      </c>
      <c r="J88" s="4" t="str">
        <f t="shared" si="25"/>
        <v/>
      </c>
      <c r="K88" s="138" t="str">
        <f t="shared" si="26"/>
        <v/>
      </c>
      <c r="L88" s="22" t="str">
        <f t="shared" si="27"/>
        <v/>
      </c>
      <c r="M88" s="124"/>
    </row>
    <row r="89" spans="1:13" x14ac:dyDescent="0.2">
      <c r="A89" s="139" t="str">
        <f>IF(CRes!A89="","",CRes!A89)</f>
        <v/>
      </c>
      <c r="B89" s="125" t="str">
        <f>CRes!L89</f>
        <v/>
      </c>
      <c r="C89" s="4" t="str">
        <f t="shared" si="18"/>
        <v/>
      </c>
      <c r="D89" s="138" t="str">
        <f t="shared" si="19"/>
        <v/>
      </c>
      <c r="E89" s="226" t="str">
        <f t="shared" si="22"/>
        <v/>
      </c>
      <c r="F89" s="4" t="str">
        <f t="shared" si="20"/>
        <v/>
      </c>
      <c r="G89" s="138" t="str">
        <f t="shared" si="21"/>
        <v/>
      </c>
      <c r="H89" s="4" t="str">
        <f t="shared" si="23"/>
        <v/>
      </c>
      <c r="I89" s="226" t="str">
        <f t="shared" si="24"/>
        <v/>
      </c>
      <c r="J89" s="4" t="str">
        <f t="shared" si="25"/>
        <v/>
      </c>
      <c r="K89" s="138" t="str">
        <f t="shared" si="26"/>
        <v/>
      </c>
      <c r="L89" s="22" t="str">
        <f t="shared" si="27"/>
        <v/>
      </c>
      <c r="M89" s="124"/>
    </row>
    <row r="90" spans="1:13" x14ac:dyDescent="0.2">
      <c r="A90" s="139" t="str">
        <f>IF(CRes!A90="","",CRes!A90)</f>
        <v/>
      </c>
      <c r="B90" s="125" t="str">
        <f>CRes!L90</f>
        <v/>
      </c>
      <c r="C90" s="4" t="str">
        <f t="shared" si="18"/>
        <v/>
      </c>
      <c r="D90" s="138" t="str">
        <f t="shared" si="19"/>
        <v/>
      </c>
      <c r="E90" s="226" t="str">
        <f t="shared" si="22"/>
        <v/>
      </c>
      <c r="F90" s="4" t="str">
        <f t="shared" si="20"/>
        <v/>
      </c>
      <c r="G90" s="138" t="str">
        <f t="shared" si="21"/>
        <v/>
      </c>
      <c r="H90" s="4" t="str">
        <f t="shared" si="23"/>
        <v/>
      </c>
      <c r="I90" s="226" t="str">
        <f t="shared" si="24"/>
        <v/>
      </c>
      <c r="J90" s="4" t="str">
        <f t="shared" si="25"/>
        <v/>
      </c>
      <c r="K90" s="138" t="str">
        <f t="shared" si="26"/>
        <v/>
      </c>
      <c r="L90" s="22" t="str">
        <f t="shared" si="27"/>
        <v/>
      </c>
      <c r="M90" s="124"/>
    </row>
    <row r="91" spans="1:13" x14ac:dyDescent="0.2">
      <c r="A91" s="139" t="str">
        <f>IF(CRes!A91="","",CRes!A91)</f>
        <v/>
      </c>
      <c r="B91" s="125" t="str">
        <f>CRes!L91</f>
        <v/>
      </c>
      <c r="C91" s="4" t="str">
        <f t="shared" si="18"/>
        <v/>
      </c>
      <c r="D91" s="138" t="str">
        <f t="shared" si="19"/>
        <v/>
      </c>
      <c r="E91" s="226" t="str">
        <f t="shared" si="22"/>
        <v/>
      </c>
      <c r="F91" s="4" t="str">
        <f t="shared" si="20"/>
        <v/>
      </c>
      <c r="G91" s="138" t="str">
        <f t="shared" si="21"/>
        <v/>
      </c>
      <c r="H91" s="4" t="str">
        <f t="shared" si="23"/>
        <v/>
      </c>
      <c r="I91" s="226" t="str">
        <f t="shared" si="24"/>
        <v/>
      </c>
      <c r="J91" s="4" t="str">
        <f t="shared" si="25"/>
        <v/>
      </c>
      <c r="K91" s="138" t="str">
        <f t="shared" si="26"/>
        <v/>
      </c>
      <c r="L91" s="22" t="str">
        <f t="shared" si="27"/>
        <v/>
      </c>
      <c r="M91" s="124"/>
    </row>
    <row r="92" spans="1:13" x14ac:dyDescent="0.2">
      <c r="A92" s="139" t="str">
        <f>IF(CRes!A92="","",CRes!A92)</f>
        <v/>
      </c>
      <c r="B92" s="125" t="str">
        <f>CRes!L92</f>
        <v/>
      </c>
      <c r="C92" s="4" t="str">
        <f t="shared" si="18"/>
        <v/>
      </c>
      <c r="D92" s="138" t="str">
        <f t="shared" si="19"/>
        <v/>
      </c>
      <c r="E92" s="226" t="str">
        <f t="shared" si="22"/>
        <v/>
      </c>
      <c r="F92" s="4" t="str">
        <f t="shared" si="20"/>
        <v/>
      </c>
      <c r="G92" s="138" t="str">
        <f t="shared" si="21"/>
        <v/>
      </c>
      <c r="H92" s="4" t="str">
        <f t="shared" si="23"/>
        <v/>
      </c>
      <c r="I92" s="226" t="str">
        <f t="shared" si="24"/>
        <v/>
      </c>
      <c r="J92" s="4" t="str">
        <f t="shared" si="25"/>
        <v/>
      </c>
      <c r="K92" s="138" t="str">
        <f t="shared" si="26"/>
        <v/>
      </c>
      <c r="L92" s="22" t="str">
        <f t="shared" si="27"/>
        <v/>
      </c>
      <c r="M92" s="124"/>
    </row>
    <row r="93" spans="1:13" x14ac:dyDescent="0.2">
      <c r="A93" s="139" t="str">
        <f>IF(CRes!A93="","",CRes!A93)</f>
        <v/>
      </c>
      <c r="B93" s="125" t="str">
        <f>CRes!L93</f>
        <v/>
      </c>
      <c r="C93" s="4" t="str">
        <f t="shared" si="18"/>
        <v/>
      </c>
      <c r="D93" s="138" t="str">
        <f t="shared" si="19"/>
        <v/>
      </c>
      <c r="E93" s="226" t="str">
        <f t="shared" si="22"/>
        <v/>
      </c>
      <c r="F93" s="4" t="str">
        <f t="shared" si="20"/>
        <v/>
      </c>
      <c r="G93" s="138" t="str">
        <f t="shared" si="21"/>
        <v/>
      </c>
      <c r="H93" s="4" t="str">
        <f t="shared" si="23"/>
        <v/>
      </c>
      <c r="I93" s="226" t="str">
        <f t="shared" si="24"/>
        <v/>
      </c>
      <c r="J93" s="4" t="str">
        <f t="shared" si="25"/>
        <v/>
      </c>
      <c r="K93" s="138" t="str">
        <f t="shared" si="26"/>
        <v/>
      </c>
      <c r="L93" s="22" t="str">
        <f t="shared" si="27"/>
        <v/>
      </c>
      <c r="M93" s="124"/>
    </row>
    <row r="94" spans="1:13" x14ac:dyDescent="0.2">
      <c r="A94" s="139" t="str">
        <f>IF(CRes!A94="","",CRes!A94)</f>
        <v/>
      </c>
      <c r="B94" s="125" t="str">
        <f>CRes!L94</f>
        <v/>
      </c>
      <c r="C94" s="4" t="str">
        <f t="shared" si="18"/>
        <v/>
      </c>
      <c r="D94" s="138" t="str">
        <f t="shared" si="19"/>
        <v/>
      </c>
      <c r="E94" s="226" t="str">
        <f t="shared" si="22"/>
        <v/>
      </c>
      <c r="F94" s="4" t="str">
        <f t="shared" si="20"/>
        <v/>
      </c>
      <c r="G94" s="138" t="str">
        <f t="shared" si="21"/>
        <v/>
      </c>
      <c r="H94" s="4" t="str">
        <f t="shared" si="23"/>
        <v/>
      </c>
      <c r="I94" s="226" t="str">
        <f t="shared" si="24"/>
        <v/>
      </c>
      <c r="J94" s="4" t="str">
        <f t="shared" si="25"/>
        <v/>
      </c>
      <c r="K94" s="138" t="str">
        <f t="shared" si="26"/>
        <v/>
      </c>
      <c r="L94" s="22" t="str">
        <f t="shared" si="27"/>
        <v/>
      </c>
      <c r="M94" s="124"/>
    </row>
    <row r="95" spans="1:13" x14ac:dyDescent="0.2">
      <c r="A95" s="139" t="str">
        <f>IF(CRes!A95="","",CRes!A95)</f>
        <v/>
      </c>
      <c r="B95" s="125" t="str">
        <f>CRes!L95</f>
        <v/>
      </c>
      <c r="C95" s="4" t="str">
        <f t="shared" si="18"/>
        <v/>
      </c>
      <c r="D95" s="138" t="str">
        <f t="shared" si="19"/>
        <v/>
      </c>
      <c r="E95" s="226" t="str">
        <f t="shared" si="22"/>
        <v/>
      </c>
      <c r="F95" s="4" t="str">
        <f t="shared" si="20"/>
        <v/>
      </c>
      <c r="G95" s="138" t="str">
        <f t="shared" si="21"/>
        <v/>
      </c>
      <c r="H95" s="4" t="str">
        <f t="shared" si="23"/>
        <v/>
      </c>
      <c r="I95" s="226" t="str">
        <f t="shared" si="24"/>
        <v/>
      </c>
      <c r="J95" s="4" t="str">
        <f t="shared" si="25"/>
        <v/>
      </c>
      <c r="K95" s="138" t="str">
        <f t="shared" si="26"/>
        <v/>
      </c>
      <c r="L95" s="22" t="str">
        <f t="shared" si="27"/>
        <v/>
      </c>
      <c r="M95" s="124"/>
    </row>
    <row r="96" spans="1:13" x14ac:dyDescent="0.2">
      <c r="A96" s="139" t="str">
        <f>IF(CRes!A96="","",CRes!A96)</f>
        <v/>
      </c>
      <c r="B96" s="125" t="str">
        <f>CRes!L96</f>
        <v/>
      </c>
      <c r="C96" s="4" t="str">
        <f t="shared" si="18"/>
        <v/>
      </c>
      <c r="D96" s="138" t="str">
        <f t="shared" si="19"/>
        <v/>
      </c>
      <c r="E96" s="226" t="str">
        <f t="shared" si="22"/>
        <v/>
      </c>
      <c r="F96" s="4" t="str">
        <f t="shared" si="20"/>
        <v/>
      </c>
      <c r="G96" s="138" t="str">
        <f t="shared" si="21"/>
        <v/>
      </c>
      <c r="H96" s="4" t="str">
        <f t="shared" si="23"/>
        <v/>
      </c>
      <c r="I96" s="226" t="str">
        <f t="shared" si="24"/>
        <v/>
      </c>
      <c r="J96" s="4" t="str">
        <f t="shared" si="25"/>
        <v/>
      </c>
      <c r="K96" s="138" t="str">
        <f t="shared" si="26"/>
        <v/>
      </c>
      <c r="L96" s="22" t="str">
        <f t="shared" si="27"/>
        <v/>
      </c>
      <c r="M96" s="124"/>
    </row>
    <row r="97" spans="1:13" x14ac:dyDescent="0.2">
      <c r="A97" s="139" t="str">
        <f>IF(CRes!A97="","",CRes!A97)</f>
        <v/>
      </c>
      <c r="B97" s="125" t="str">
        <f>CRes!L97</f>
        <v/>
      </c>
      <c r="C97" s="4" t="str">
        <f t="shared" si="18"/>
        <v/>
      </c>
      <c r="D97" s="138" t="str">
        <f t="shared" si="19"/>
        <v/>
      </c>
      <c r="E97" s="226" t="str">
        <f t="shared" si="22"/>
        <v/>
      </c>
      <c r="F97" s="4" t="str">
        <f t="shared" si="20"/>
        <v/>
      </c>
      <c r="G97" s="138" t="str">
        <f t="shared" si="21"/>
        <v/>
      </c>
      <c r="H97" s="4" t="str">
        <f t="shared" si="23"/>
        <v/>
      </c>
      <c r="I97" s="226" t="str">
        <f t="shared" si="24"/>
        <v/>
      </c>
      <c r="J97" s="4" t="str">
        <f t="shared" si="25"/>
        <v/>
      </c>
      <c r="K97" s="138" t="str">
        <f t="shared" si="26"/>
        <v/>
      </c>
      <c r="L97" s="22" t="str">
        <f t="shared" si="27"/>
        <v/>
      </c>
      <c r="M97" s="124"/>
    </row>
    <row r="98" spans="1:13" x14ac:dyDescent="0.2">
      <c r="A98" s="139" t="str">
        <f>IF(CRes!A98="","",CRes!A98)</f>
        <v/>
      </c>
      <c r="B98" s="125" t="str">
        <f>CRes!L98</f>
        <v/>
      </c>
      <c r="C98" s="4" t="str">
        <f t="shared" si="18"/>
        <v/>
      </c>
      <c r="D98" s="138" t="str">
        <f t="shared" si="19"/>
        <v/>
      </c>
      <c r="E98" s="226" t="str">
        <f t="shared" si="22"/>
        <v/>
      </c>
      <c r="F98" s="4" t="str">
        <f t="shared" si="20"/>
        <v/>
      </c>
      <c r="G98" s="138" t="str">
        <f t="shared" si="21"/>
        <v/>
      </c>
      <c r="H98" s="4" t="str">
        <f t="shared" si="23"/>
        <v/>
      </c>
      <c r="I98" s="226" t="str">
        <f t="shared" si="24"/>
        <v/>
      </c>
      <c r="J98" s="4" t="str">
        <f t="shared" si="25"/>
        <v/>
      </c>
      <c r="K98" s="138" t="str">
        <f t="shared" si="26"/>
        <v/>
      </c>
      <c r="L98" s="22" t="str">
        <f t="shared" si="27"/>
        <v/>
      </c>
      <c r="M98" s="124"/>
    </row>
    <row r="99" spans="1:13" x14ac:dyDescent="0.2">
      <c r="A99" s="139" t="str">
        <f>IF(CRes!A99="","",CRes!A99)</f>
        <v/>
      </c>
      <c r="B99" s="125" t="str">
        <f>CRes!L99</f>
        <v/>
      </c>
      <c r="C99" s="4" t="str">
        <f t="shared" si="18"/>
        <v/>
      </c>
      <c r="D99" s="138" t="str">
        <f t="shared" si="19"/>
        <v/>
      </c>
      <c r="E99" s="226" t="str">
        <f t="shared" ref="E99:E102" si="28">IF(B99="","",100*(D99^(1/C99)-1))</f>
        <v/>
      </c>
      <c r="F99" s="4" t="str">
        <f t="shared" si="20"/>
        <v/>
      </c>
      <c r="G99" s="138" t="str">
        <f t="shared" si="21"/>
        <v/>
      </c>
      <c r="H99" s="4" t="str">
        <f t="shared" si="23"/>
        <v/>
      </c>
      <c r="I99" s="226" t="str">
        <f t="shared" si="24"/>
        <v/>
      </c>
      <c r="J99" s="4" t="str">
        <f t="shared" si="25"/>
        <v/>
      </c>
      <c r="K99" s="138" t="str">
        <f t="shared" si="26"/>
        <v/>
      </c>
      <c r="L99" s="22" t="str">
        <f t="shared" si="27"/>
        <v/>
      </c>
      <c r="M99" s="124"/>
    </row>
    <row r="100" spans="1:13" x14ac:dyDescent="0.2">
      <c r="A100" s="139" t="str">
        <f>IF(CRes!A100="","",CRes!A100)</f>
        <v/>
      </c>
      <c r="B100" s="125" t="str">
        <f>CRes!L100</f>
        <v/>
      </c>
      <c r="C100" s="4" t="str">
        <f t="shared" si="18"/>
        <v/>
      </c>
      <c r="D100" s="138" t="str">
        <f t="shared" si="19"/>
        <v/>
      </c>
      <c r="E100" s="226" t="str">
        <f t="shared" si="28"/>
        <v/>
      </c>
      <c r="F100" s="4" t="str">
        <f t="shared" si="20"/>
        <v/>
      </c>
      <c r="G100" s="138" t="str">
        <f t="shared" si="21"/>
        <v/>
      </c>
      <c r="H100" s="4" t="str">
        <f t="shared" si="23"/>
        <v/>
      </c>
      <c r="I100" s="226" t="str">
        <f t="shared" si="24"/>
        <v/>
      </c>
      <c r="J100" s="4" t="str">
        <f t="shared" si="25"/>
        <v/>
      </c>
      <c r="K100" s="138" t="str">
        <f t="shared" si="26"/>
        <v/>
      </c>
      <c r="L100" s="22" t="str">
        <f t="shared" si="27"/>
        <v/>
      </c>
      <c r="M100" s="124"/>
    </row>
    <row r="101" spans="1:13" x14ac:dyDescent="0.2">
      <c r="A101" s="139" t="str">
        <f>IF(CRes!A101="","",CRes!A101)</f>
        <v/>
      </c>
      <c r="B101" s="125" t="str">
        <f>CRes!L101</f>
        <v/>
      </c>
      <c r="C101" s="4" t="str">
        <f t="shared" si="18"/>
        <v/>
      </c>
      <c r="D101" s="138" t="str">
        <f t="shared" si="19"/>
        <v/>
      </c>
      <c r="E101" s="226" t="str">
        <f t="shared" si="28"/>
        <v/>
      </c>
      <c r="F101" s="4" t="str">
        <f t="shared" si="20"/>
        <v/>
      </c>
      <c r="G101" s="138" t="str">
        <f t="shared" si="21"/>
        <v/>
      </c>
      <c r="H101" s="4" t="str">
        <f t="shared" si="23"/>
        <v/>
      </c>
      <c r="I101" s="226" t="str">
        <f t="shared" si="24"/>
        <v/>
      </c>
      <c r="J101" s="4" t="str">
        <f t="shared" si="25"/>
        <v/>
      </c>
      <c r="K101" s="138" t="str">
        <f t="shared" si="26"/>
        <v/>
      </c>
      <c r="L101" s="22" t="str">
        <f t="shared" si="27"/>
        <v/>
      </c>
      <c r="M101" s="124"/>
    </row>
    <row r="102" spans="1:13" x14ac:dyDescent="0.2">
      <c r="A102" s="139" t="str">
        <f>IF(CRes!A102="","",CRes!A102)</f>
        <v/>
      </c>
      <c r="B102" s="125" t="str">
        <f>CRes!L102</f>
        <v/>
      </c>
      <c r="C102" s="4" t="str">
        <f t="shared" si="18"/>
        <v/>
      </c>
      <c r="D102" s="138" t="str">
        <f t="shared" si="19"/>
        <v/>
      </c>
      <c r="E102" s="226" t="str">
        <f t="shared" si="28"/>
        <v/>
      </c>
      <c r="F102" s="4" t="str">
        <f t="shared" si="20"/>
        <v/>
      </c>
      <c r="G102" s="138" t="str">
        <f t="shared" si="21"/>
        <v/>
      </c>
      <c r="H102" s="4" t="str">
        <f t="shared" si="23"/>
        <v/>
      </c>
      <c r="I102" s="226" t="str">
        <f t="shared" si="24"/>
        <v/>
      </c>
      <c r="J102" s="4" t="str">
        <f t="shared" si="25"/>
        <v/>
      </c>
      <c r="K102" s="138" t="str">
        <f t="shared" si="26"/>
        <v/>
      </c>
      <c r="L102" s="22" t="str">
        <f t="shared" si="27"/>
        <v/>
      </c>
      <c r="M102" s="124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W27" sqref="W27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19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505" t="s">
        <v>0</v>
      </c>
      <c r="C1" s="507" t="s">
        <v>23</v>
      </c>
      <c r="D1" s="421" t="s">
        <v>0</v>
      </c>
      <c r="E1" s="507" t="s">
        <v>15</v>
      </c>
      <c r="F1" s="507" t="s">
        <v>35</v>
      </c>
      <c r="G1" s="507" t="s">
        <v>63</v>
      </c>
      <c r="H1" s="507" t="s">
        <v>58</v>
      </c>
      <c r="I1" s="421" t="s">
        <v>1</v>
      </c>
      <c r="J1" s="421" t="s">
        <v>0</v>
      </c>
      <c r="K1" s="421" t="s">
        <v>5</v>
      </c>
      <c r="L1" s="421" t="s">
        <v>24</v>
      </c>
      <c r="M1" s="421" t="s">
        <v>0</v>
      </c>
      <c r="N1" s="421" t="s">
        <v>11</v>
      </c>
      <c r="O1" s="421" t="s">
        <v>2</v>
      </c>
      <c r="P1" s="421" t="s">
        <v>0</v>
      </c>
      <c r="Q1" s="421" t="s">
        <v>6</v>
      </c>
      <c r="R1" s="421" t="s">
        <v>0</v>
      </c>
      <c r="S1" s="421" t="s">
        <v>25</v>
      </c>
      <c r="T1" s="421" t="s">
        <v>0</v>
      </c>
      <c r="U1" s="511" t="s">
        <v>26</v>
      </c>
      <c r="Z1" s="508" t="s">
        <v>57</v>
      </c>
      <c r="AB1"/>
      <c r="AC1"/>
      <c r="AD1"/>
    </row>
    <row r="2" spans="2:30" ht="13.5" thickBot="1" x14ac:dyDescent="0.25">
      <c r="B2" s="506" t="s">
        <v>9</v>
      </c>
      <c r="C2" s="459"/>
      <c r="D2" s="422"/>
      <c r="E2" s="459" t="s">
        <v>5</v>
      </c>
      <c r="F2" s="459" t="s">
        <v>5</v>
      </c>
      <c r="G2" s="459" t="s">
        <v>5</v>
      </c>
      <c r="H2" s="459" t="s">
        <v>5</v>
      </c>
      <c r="I2" s="459" t="s">
        <v>1</v>
      </c>
      <c r="J2" s="422"/>
      <c r="K2" s="459" t="s">
        <v>5</v>
      </c>
      <c r="L2" s="459"/>
      <c r="M2" s="459" t="s">
        <v>0</v>
      </c>
      <c r="N2" s="459" t="s">
        <v>10</v>
      </c>
      <c r="O2" s="459" t="s">
        <v>1</v>
      </c>
      <c r="P2" s="459" t="s">
        <v>0</v>
      </c>
      <c r="Q2" s="459" t="s">
        <v>6</v>
      </c>
      <c r="R2" s="459" t="s">
        <v>0</v>
      </c>
      <c r="S2" s="459" t="s">
        <v>3</v>
      </c>
      <c r="T2" s="459" t="s">
        <v>0</v>
      </c>
      <c r="U2" s="512" t="s">
        <v>4</v>
      </c>
      <c r="Z2" s="509"/>
      <c r="AB2"/>
      <c r="AC2"/>
      <c r="AD2"/>
    </row>
    <row r="3" spans="2:30" ht="13.5" thickBot="1" x14ac:dyDescent="0.25">
      <c r="B3" s="194">
        <v>0</v>
      </c>
      <c r="C3" s="195"/>
      <c r="D3" s="81">
        <v>0</v>
      </c>
      <c r="E3" s="196">
        <v>0</v>
      </c>
      <c r="F3" s="74">
        <f t="shared" ref="F3:F34" si="0">IF(E3="","",X$4+E3)</f>
        <v>33112.58</v>
      </c>
      <c r="G3" s="197"/>
      <c r="H3" s="198">
        <f t="shared" ref="H3:H34" si="1">IF(F3="","",(F3+X$8)/X$9)</f>
        <v>112.58000000000175</v>
      </c>
      <c r="I3" s="196">
        <v>0</v>
      </c>
      <c r="J3" s="197"/>
      <c r="K3" s="141">
        <v>0</v>
      </c>
      <c r="L3" s="197"/>
      <c r="M3" s="197"/>
      <c r="N3" s="197"/>
      <c r="O3" s="196">
        <v>0</v>
      </c>
      <c r="P3" s="197"/>
      <c r="Q3" s="141">
        <v>0</v>
      </c>
      <c r="R3" s="197"/>
      <c r="S3" s="197"/>
      <c r="T3" s="197"/>
      <c r="U3" s="199"/>
      <c r="W3" s="513" t="s">
        <v>22</v>
      </c>
      <c r="X3" s="484"/>
      <c r="Z3" s="231"/>
      <c r="AB3"/>
      <c r="AC3"/>
      <c r="AD3"/>
    </row>
    <row r="4" spans="2:30" x14ac:dyDescent="0.2">
      <c r="B4" s="70">
        <f t="shared" ref="B4:B35" si="2">B3+1</f>
        <v>1</v>
      </c>
      <c r="C4" s="209">
        <f>CRes!J3</f>
        <v>-23.430000000000291</v>
      </c>
      <c r="D4" s="4">
        <f t="shared" ref="D4:D35" si="3">IF(C4="","",D3+1)</f>
        <v>1</v>
      </c>
      <c r="E4" s="5">
        <f t="shared" ref="E4:E35" si="4">IF(C4="","",E3+C4)</f>
        <v>-23.430000000000291</v>
      </c>
      <c r="F4" s="5">
        <f t="shared" si="0"/>
        <v>33089.15</v>
      </c>
      <c r="G4" s="5">
        <f>IF(F4="","",SLOPE(F$3:F4,B$3:B4))</f>
        <v>-23.430000000000291</v>
      </c>
      <c r="H4" s="7">
        <f t="shared" si="1"/>
        <v>89.150000000001455</v>
      </c>
      <c r="I4" s="5">
        <f t="shared" ref="I4:I35" si="5">IF(C4="","",IF(C4&gt;0,I3+C4,I3))</f>
        <v>0</v>
      </c>
      <c r="J4" s="4">
        <f t="shared" ref="J4:J35" si="6">D4</f>
        <v>1</v>
      </c>
      <c r="K4" s="15">
        <f t="shared" ref="K4:K35" si="7">IF(C4="","",IF(C4&gt;0,K3+1,K3))</f>
        <v>0</v>
      </c>
      <c r="L4" s="5" t="str">
        <f t="shared" ref="L4:L35" si="8">IF(C4="","",IF(K4=0,"",I4/K4))</f>
        <v/>
      </c>
      <c r="M4" s="4">
        <f t="shared" ref="M4:M35" si="9">D4</f>
        <v>1</v>
      </c>
      <c r="N4" s="5" t="str">
        <f t="shared" ref="N4:N35" si="10">IF(C4="","",IF(K4=0,"",100*K4/B4))</f>
        <v/>
      </c>
      <c r="O4" s="5">
        <f t="shared" ref="O4:O35" si="11">IF(C4="","",IF(C4&lt;0,O3+C4,O3))</f>
        <v>-23.430000000000291</v>
      </c>
      <c r="P4" s="4">
        <f t="shared" ref="P4:P35" si="12">D4</f>
        <v>1</v>
      </c>
      <c r="Q4" s="15">
        <f t="shared" ref="Q4:Q35" si="13">IF(C4="","",IF(C4&lt;0,Q3+1,Q3))</f>
        <v>1</v>
      </c>
      <c r="R4" s="4">
        <f t="shared" ref="R4:R35" si="14">D4</f>
        <v>1</v>
      </c>
      <c r="S4" s="5">
        <f t="shared" ref="S4:S35" si="15">IF(C4="","",IF(Q4=0,"",O4/Q4))</f>
        <v>-23.430000000000291</v>
      </c>
      <c r="T4" s="17">
        <f t="shared" ref="T4:T35" si="16">D4</f>
        <v>1</v>
      </c>
      <c r="U4" s="277" t="str">
        <f t="shared" ref="U4:U35" si="17">IF(L4="","",IF(S4="","",-L4/S4))</f>
        <v/>
      </c>
      <c r="W4" s="64" t="s">
        <v>30</v>
      </c>
      <c r="X4" s="67">
        <v>33112.58</v>
      </c>
      <c r="Z4" s="232"/>
      <c r="AB4"/>
      <c r="AC4"/>
      <c r="AD4"/>
    </row>
    <row r="5" spans="2:30" x14ac:dyDescent="0.2">
      <c r="B5" s="70">
        <f t="shared" si="2"/>
        <v>2</v>
      </c>
      <c r="C5" s="209">
        <f>CRes!J4</f>
        <v>14.189999999995052</v>
      </c>
      <c r="D5" s="4">
        <f t="shared" si="3"/>
        <v>2</v>
      </c>
      <c r="E5" s="5">
        <f t="shared" si="4"/>
        <v>-9.2400000000052387</v>
      </c>
      <c r="F5" s="5">
        <f t="shared" si="0"/>
        <v>33103.339999999997</v>
      </c>
      <c r="G5" s="5">
        <f>IF(F5="","",SLOPE(F$3:F5,B$3:B5))</f>
        <v>-4.6200000000026193</v>
      </c>
      <c r="H5" s="7">
        <f t="shared" si="1"/>
        <v>103.33999999999651</v>
      </c>
      <c r="I5" s="5">
        <f t="shared" si="5"/>
        <v>14.189999999995052</v>
      </c>
      <c r="J5" s="4">
        <f t="shared" si="6"/>
        <v>2</v>
      </c>
      <c r="K5" s="15">
        <f t="shared" si="7"/>
        <v>1</v>
      </c>
      <c r="L5" s="5">
        <f t="shared" si="8"/>
        <v>14.189999999995052</v>
      </c>
      <c r="M5" s="4">
        <f t="shared" si="9"/>
        <v>2</v>
      </c>
      <c r="N5" s="5">
        <f t="shared" si="10"/>
        <v>50</v>
      </c>
      <c r="O5" s="5">
        <f t="shared" si="11"/>
        <v>-23.430000000000291</v>
      </c>
      <c r="P5" s="4">
        <f t="shared" si="12"/>
        <v>2</v>
      </c>
      <c r="Q5" s="15">
        <f t="shared" si="13"/>
        <v>1</v>
      </c>
      <c r="R5" s="4">
        <f t="shared" si="14"/>
        <v>2</v>
      </c>
      <c r="S5" s="5">
        <f t="shared" si="15"/>
        <v>-23.430000000000291</v>
      </c>
      <c r="T5" s="17">
        <f t="shared" si="16"/>
        <v>2</v>
      </c>
      <c r="U5" s="277">
        <f t="shared" si="17"/>
        <v>0.60563380281668266</v>
      </c>
      <c r="W5" s="12" t="s">
        <v>59</v>
      </c>
      <c r="X5" s="32">
        <f>IF(D4="","",VLOOKUP(MAX(D4:D103),D4:E103,2,FALSE))</f>
        <v>929.97000000000116</v>
      </c>
      <c r="Z5" s="233"/>
      <c r="AB5"/>
      <c r="AC5"/>
      <c r="AD5"/>
    </row>
    <row r="6" spans="2:30" ht="13.5" thickBot="1" x14ac:dyDescent="0.25">
      <c r="B6" s="70">
        <f t="shared" si="2"/>
        <v>3</v>
      </c>
      <c r="C6" s="209">
        <f>CRes!J5</f>
        <v>27.390000000006694</v>
      </c>
      <c r="D6" s="4">
        <f t="shared" si="3"/>
        <v>3</v>
      </c>
      <c r="E6" s="5">
        <f t="shared" si="4"/>
        <v>18.150000000001455</v>
      </c>
      <c r="F6" s="5">
        <f t="shared" si="0"/>
        <v>33130.730000000003</v>
      </c>
      <c r="G6" s="5">
        <f>IF(F6="","",SLOPE(F$3:F6,B$3:B6))</f>
        <v>6.8639999999999421</v>
      </c>
      <c r="H6" s="7">
        <f t="shared" si="1"/>
        <v>130.7300000000032</v>
      </c>
      <c r="I6" s="5">
        <f t="shared" si="5"/>
        <v>41.580000000001746</v>
      </c>
      <c r="J6" s="4">
        <f t="shared" si="6"/>
        <v>3</v>
      </c>
      <c r="K6" s="15">
        <f t="shared" si="7"/>
        <v>2</v>
      </c>
      <c r="L6" s="5">
        <f t="shared" si="8"/>
        <v>20.790000000000873</v>
      </c>
      <c r="M6" s="4">
        <f t="shared" si="9"/>
        <v>3</v>
      </c>
      <c r="N6" s="5">
        <f t="shared" si="10"/>
        <v>66.666666666666671</v>
      </c>
      <c r="O6" s="5">
        <f t="shared" si="11"/>
        <v>-23.430000000000291</v>
      </c>
      <c r="P6" s="4">
        <f t="shared" si="12"/>
        <v>3</v>
      </c>
      <c r="Q6" s="15">
        <f t="shared" si="13"/>
        <v>1</v>
      </c>
      <c r="R6" s="4">
        <f t="shared" si="14"/>
        <v>3</v>
      </c>
      <c r="S6" s="5">
        <f t="shared" si="15"/>
        <v>-23.430000000000291</v>
      </c>
      <c r="T6" s="17">
        <f t="shared" si="16"/>
        <v>3</v>
      </c>
      <c r="U6" s="277">
        <f t="shared" si="17"/>
        <v>0.88732394366199807</v>
      </c>
      <c r="W6" s="65" t="s">
        <v>31</v>
      </c>
      <c r="X6" s="61">
        <f>IF(X4="","",IF(X5="","",X4+X5))</f>
        <v>34042.550000000003</v>
      </c>
      <c r="Z6" s="232"/>
      <c r="AB6"/>
      <c r="AC6"/>
      <c r="AD6"/>
    </row>
    <row r="7" spans="2:30" ht="13.5" thickBot="1" x14ac:dyDescent="0.25">
      <c r="B7" s="70">
        <f t="shared" si="2"/>
        <v>4</v>
      </c>
      <c r="C7" s="209">
        <f>CRes!J6</f>
        <v>-45.870000000002619</v>
      </c>
      <c r="D7" s="4">
        <f t="shared" si="3"/>
        <v>4</v>
      </c>
      <c r="E7" s="5">
        <f t="shared" si="4"/>
        <v>-27.720000000001164</v>
      </c>
      <c r="F7" s="5">
        <f t="shared" si="0"/>
        <v>33084.86</v>
      </c>
      <c r="G7" s="5">
        <f>IF(F7="","",SLOPE(F$3:F7,B$3:B7))</f>
        <v>-1.3860000000000583</v>
      </c>
      <c r="H7" s="7">
        <f t="shared" si="1"/>
        <v>84.860000000000582</v>
      </c>
      <c r="I7" s="5">
        <f t="shared" si="5"/>
        <v>41.580000000001746</v>
      </c>
      <c r="J7" s="4">
        <f t="shared" si="6"/>
        <v>4</v>
      </c>
      <c r="K7" s="15">
        <f t="shared" si="7"/>
        <v>2</v>
      </c>
      <c r="L7" s="5">
        <f t="shared" si="8"/>
        <v>20.790000000000873</v>
      </c>
      <c r="M7" s="4">
        <f t="shared" si="9"/>
        <v>4</v>
      </c>
      <c r="N7" s="5">
        <f t="shared" si="10"/>
        <v>50</v>
      </c>
      <c r="O7" s="5">
        <f t="shared" si="11"/>
        <v>-69.30000000000291</v>
      </c>
      <c r="P7" s="4">
        <f t="shared" si="12"/>
        <v>4</v>
      </c>
      <c r="Q7" s="15">
        <f t="shared" si="13"/>
        <v>2</v>
      </c>
      <c r="R7" s="4">
        <f t="shared" si="14"/>
        <v>4</v>
      </c>
      <c r="S7" s="5">
        <f t="shared" si="15"/>
        <v>-34.650000000001455</v>
      </c>
      <c r="T7" s="17">
        <f t="shared" si="16"/>
        <v>4</v>
      </c>
      <c r="U7" s="277">
        <f t="shared" si="17"/>
        <v>0.6</v>
      </c>
      <c r="W7" s="514" t="s">
        <v>58</v>
      </c>
      <c r="X7" s="515"/>
      <c r="Z7" s="233"/>
      <c r="AB7"/>
      <c r="AC7"/>
      <c r="AD7"/>
    </row>
    <row r="8" spans="2:30" x14ac:dyDescent="0.2">
      <c r="B8" s="70">
        <f t="shared" si="2"/>
        <v>5</v>
      </c>
      <c r="C8" s="209">
        <f>CRes!J7</f>
        <v>64.790000000000873</v>
      </c>
      <c r="D8" s="4">
        <f t="shared" si="3"/>
        <v>5</v>
      </c>
      <c r="E8" s="5">
        <f t="shared" si="4"/>
        <v>37.069999999999709</v>
      </c>
      <c r="F8" s="5">
        <f t="shared" si="0"/>
        <v>33149.65</v>
      </c>
      <c r="G8" s="5">
        <f>IF(F8="","",SLOPE(F$3:F8,B$3:B8))</f>
        <v>5.7105714285715035</v>
      </c>
      <c r="H8" s="7">
        <f t="shared" si="1"/>
        <v>149.65000000000146</v>
      </c>
      <c r="I8" s="5">
        <f t="shared" si="5"/>
        <v>106.37000000000262</v>
      </c>
      <c r="J8" s="4">
        <f t="shared" si="6"/>
        <v>5</v>
      </c>
      <c r="K8" s="15">
        <f t="shared" si="7"/>
        <v>3</v>
      </c>
      <c r="L8" s="5">
        <f t="shared" si="8"/>
        <v>35.456666666667537</v>
      </c>
      <c r="M8" s="4">
        <f t="shared" si="9"/>
        <v>5</v>
      </c>
      <c r="N8" s="5">
        <f t="shared" si="10"/>
        <v>60</v>
      </c>
      <c r="O8" s="5">
        <f t="shared" si="11"/>
        <v>-69.30000000000291</v>
      </c>
      <c r="P8" s="4">
        <f t="shared" si="12"/>
        <v>5</v>
      </c>
      <c r="Q8" s="15">
        <f t="shared" si="13"/>
        <v>2</v>
      </c>
      <c r="R8" s="4">
        <f t="shared" si="14"/>
        <v>5</v>
      </c>
      <c r="S8" s="5">
        <f t="shared" si="15"/>
        <v>-34.650000000001455</v>
      </c>
      <c r="T8" s="17">
        <f t="shared" si="16"/>
        <v>5</v>
      </c>
      <c r="U8" s="277">
        <f t="shared" si="17"/>
        <v>1.0232804232804054</v>
      </c>
      <c r="W8" s="48" t="s">
        <v>62</v>
      </c>
      <c r="X8" s="69">
        <v>-33000</v>
      </c>
      <c r="Z8" s="232"/>
      <c r="AB8"/>
      <c r="AC8"/>
      <c r="AD8"/>
    </row>
    <row r="9" spans="2:30" x14ac:dyDescent="0.2">
      <c r="B9" s="70">
        <f t="shared" si="2"/>
        <v>6</v>
      </c>
      <c r="C9" s="209">
        <f>CRes!J8</f>
        <v>54.979999999995925</v>
      </c>
      <c r="D9" s="4">
        <f t="shared" si="3"/>
        <v>6</v>
      </c>
      <c r="E9" s="5">
        <f t="shared" si="4"/>
        <v>92.049999999995634</v>
      </c>
      <c r="F9" s="5">
        <f t="shared" si="0"/>
        <v>33204.629999999997</v>
      </c>
      <c r="G9" s="5">
        <f>IF(F9="","",SLOPE(F$3:F9,B$3:B9))</f>
        <v>13.523928571428248</v>
      </c>
      <c r="H9" s="7">
        <f t="shared" si="1"/>
        <v>204.62999999999738</v>
      </c>
      <c r="I9" s="5">
        <f t="shared" si="5"/>
        <v>161.34999999999854</v>
      </c>
      <c r="J9" s="4">
        <f t="shared" si="6"/>
        <v>6</v>
      </c>
      <c r="K9" s="15">
        <f t="shared" si="7"/>
        <v>4</v>
      </c>
      <c r="L9" s="5">
        <f t="shared" si="8"/>
        <v>40.337499999999636</v>
      </c>
      <c r="M9" s="4">
        <f t="shared" si="9"/>
        <v>6</v>
      </c>
      <c r="N9" s="5">
        <f t="shared" si="10"/>
        <v>66.666666666666671</v>
      </c>
      <c r="O9" s="5">
        <f t="shared" si="11"/>
        <v>-69.30000000000291</v>
      </c>
      <c r="P9" s="4">
        <f t="shared" si="12"/>
        <v>6</v>
      </c>
      <c r="Q9" s="15">
        <f t="shared" si="13"/>
        <v>2</v>
      </c>
      <c r="R9" s="4">
        <f t="shared" si="14"/>
        <v>6</v>
      </c>
      <c r="S9" s="5">
        <f t="shared" si="15"/>
        <v>-34.650000000001455</v>
      </c>
      <c r="T9" s="17">
        <f t="shared" si="16"/>
        <v>6</v>
      </c>
      <c r="U9" s="277">
        <f t="shared" si="17"/>
        <v>1.1641414141413549</v>
      </c>
      <c r="W9" s="12" t="s">
        <v>61</v>
      </c>
      <c r="X9" s="47">
        <v>1</v>
      </c>
      <c r="Z9" s="233"/>
      <c r="AB9"/>
      <c r="AC9"/>
      <c r="AD9"/>
    </row>
    <row r="10" spans="2:30" ht="13.5" thickBot="1" x14ac:dyDescent="0.25">
      <c r="B10" s="70">
        <f t="shared" si="2"/>
        <v>7</v>
      </c>
      <c r="C10" s="209">
        <f>CRes!J9</f>
        <v>32.67000000000553</v>
      </c>
      <c r="D10" s="4">
        <f t="shared" si="3"/>
        <v>7</v>
      </c>
      <c r="E10" s="5">
        <f t="shared" si="4"/>
        <v>124.72000000000116</v>
      </c>
      <c r="F10" s="5">
        <f t="shared" si="0"/>
        <v>33237.300000000003</v>
      </c>
      <c r="G10" s="5">
        <f>IF(F10="","",SLOPE(F$3:F10,B$3:B10))</f>
        <v>18.375</v>
      </c>
      <c r="H10" s="7">
        <f t="shared" si="1"/>
        <v>237.30000000000291</v>
      </c>
      <c r="I10" s="5">
        <f t="shared" si="5"/>
        <v>194.02000000000407</v>
      </c>
      <c r="J10" s="4">
        <f t="shared" si="6"/>
        <v>7</v>
      </c>
      <c r="K10" s="15">
        <f t="shared" si="7"/>
        <v>5</v>
      </c>
      <c r="L10" s="5">
        <f t="shared" si="8"/>
        <v>38.804000000000812</v>
      </c>
      <c r="M10" s="4">
        <f t="shared" si="9"/>
        <v>7</v>
      </c>
      <c r="N10" s="5">
        <f t="shared" si="10"/>
        <v>71.428571428571431</v>
      </c>
      <c r="O10" s="5">
        <f t="shared" si="11"/>
        <v>-69.30000000000291</v>
      </c>
      <c r="P10" s="4">
        <f t="shared" si="12"/>
        <v>7</v>
      </c>
      <c r="Q10" s="15">
        <f t="shared" si="13"/>
        <v>2</v>
      </c>
      <c r="R10" s="4">
        <f t="shared" si="14"/>
        <v>7</v>
      </c>
      <c r="S10" s="5">
        <f t="shared" si="15"/>
        <v>-34.650000000001455</v>
      </c>
      <c r="T10" s="17">
        <f t="shared" si="16"/>
        <v>7</v>
      </c>
      <c r="U10" s="277">
        <f t="shared" si="17"/>
        <v>1.1198845598845364</v>
      </c>
      <c r="W10" s="66" t="s">
        <v>60</v>
      </c>
      <c r="X10" s="68">
        <f>IF(X9="","",IF(X8="","",(X6+X8)/X9))</f>
        <v>1042.5500000000029</v>
      </c>
      <c r="Z10" s="233"/>
      <c r="AB10"/>
      <c r="AC10"/>
      <c r="AD10"/>
    </row>
    <row r="11" spans="2:30" ht="13.5" thickBot="1" x14ac:dyDescent="0.25">
      <c r="B11" s="70">
        <f t="shared" si="2"/>
        <v>8</v>
      </c>
      <c r="C11" s="209">
        <f>CRes!J10</f>
        <v>9.3600000000005821</v>
      </c>
      <c r="D11" s="4">
        <f t="shared" si="3"/>
        <v>8</v>
      </c>
      <c r="E11" s="5">
        <f t="shared" si="4"/>
        <v>134.08000000000175</v>
      </c>
      <c r="F11" s="5">
        <f t="shared" si="0"/>
        <v>33246.660000000003</v>
      </c>
      <c r="G11" s="5">
        <f>IF(F11="","",SLOPE(F$3:F11,B$3:B11))</f>
        <v>20.037833333333523</v>
      </c>
      <c r="H11" s="7">
        <f t="shared" si="1"/>
        <v>246.66000000000349</v>
      </c>
      <c r="I11" s="5">
        <f t="shared" si="5"/>
        <v>203.38000000000466</v>
      </c>
      <c r="J11" s="4">
        <f t="shared" si="6"/>
        <v>8</v>
      </c>
      <c r="K11" s="15">
        <f t="shared" si="7"/>
        <v>6</v>
      </c>
      <c r="L11" s="5">
        <f t="shared" si="8"/>
        <v>33.896666666667443</v>
      </c>
      <c r="M11" s="4">
        <f t="shared" si="9"/>
        <v>8</v>
      </c>
      <c r="N11" s="5">
        <f t="shared" si="10"/>
        <v>75</v>
      </c>
      <c r="O11" s="5">
        <f t="shared" si="11"/>
        <v>-69.30000000000291</v>
      </c>
      <c r="P11" s="4">
        <f t="shared" si="12"/>
        <v>8</v>
      </c>
      <c r="Q11" s="15">
        <f t="shared" si="13"/>
        <v>2</v>
      </c>
      <c r="R11" s="4">
        <f t="shared" si="14"/>
        <v>8</v>
      </c>
      <c r="S11" s="5">
        <f t="shared" si="15"/>
        <v>-34.650000000001455</v>
      </c>
      <c r="T11" s="17">
        <f t="shared" si="16"/>
        <v>8</v>
      </c>
      <c r="U11" s="277">
        <f t="shared" si="17"/>
        <v>0.97825877825875962</v>
      </c>
      <c r="Z11" s="233"/>
      <c r="AB11"/>
      <c r="AC11"/>
      <c r="AD11"/>
    </row>
    <row r="12" spans="2:30" ht="13.5" thickBot="1" x14ac:dyDescent="0.25">
      <c r="B12" s="70">
        <f t="shared" si="2"/>
        <v>9</v>
      </c>
      <c r="C12" s="209">
        <f>CRes!J11</f>
        <v>26.219999999993888</v>
      </c>
      <c r="D12" s="4">
        <f t="shared" si="3"/>
        <v>9</v>
      </c>
      <c r="E12" s="73">
        <f t="shared" si="4"/>
        <v>160.29999999999563</v>
      </c>
      <c r="F12" s="5">
        <f t="shared" si="0"/>
        <v>33272.879999999997</v>
      </c>
      <c r="G12" s="73">
        <f>IF(F12="","",SLOPE(F$3:F12,B$3:B12))</f>
        <v>21.2215757575757</v>
      </c>
      <c r="H12" s="7">
        <f t="shared" si="1"/>
        <v>272.87999999999738</v>
      </c>
      <c r="I12" s="5">
        <f t="shared" si="5"/>
        <v>229.59999999999854</v>
      </c>
      <c r="J12" s="4">
        <f t="shared" si="6"/>
        <v>9</v>
      </c>
      <c r="K12" s="15">
        <f t="shared" si="7"/>
        <v>7</v>
      </c>
      <c r="L12" s="5">
        <f t="shared" si="8"/>
        <v>32.799999999999791</v>
      </c>
      <c r="M12" s="4">
        <f t="shared" si="9"/>
        <v>9</v>
      </c>
      <c r="N12" s="5">
        <f t="shared" si="10"/>
        <v>77.777777777777771</v>
      </c>
      <c r="O12" s="5">
        <f t="shared" si="11"/>
        <v>-69.30000000000291</v>
      </c>
      <c r="P12" s="4">
        <f t="shared" si="12"/>
        <v>9</v>
      </c>
      <c r="Q12" s="15">
        <f t="shared" si="13"/>
        <v>2</v>
      </c>
      <c r="R12" s="4">
        <f t="shared" si="14"/>
        <v>9</v>
      </c>
      <c r="S12" s="5">
        <f t="shared" si="15"/>
        <v>-34.650000000001455</v>
      </c>
      <c r="T12" s="17">
        <f t="shared" si="16"/>
        <v>9</v>
      </c>
      <c r="U12" s="277">
        <f t="shared" si="17"/>
        <v>0.94660894660890083</v>
      </c>
      <c r="W12" s="482" t="s">
        <v>45</v>
      </c>
      <c r="X12" s="510"/>
      <c r="Z12" s="233"/>
      <c r="AB12"/>
      <c r="AC12"/>
      <c r="AD12"/>
    </row>
    <row r="13" spans="2:30" x14ac:dyDescent="0.2">
      <c r="B13" s="70">
        <f t="shared" si="2"/>
        <v>10</v>
      </c>
      <c r="C13" s="209">
        <f>CRes!J12</f>
        <v>21.060000000004948</v>
      </c>
      <c r="D13" s="72">
        <f t="shared" si="3"/>
        <v>10</v>
      </c>
      <c r="E13" s="75">
        <f t="shared" si="4"/>
        <v>181.36000000000058</v>
      </c>
      <c r="F13" s="78">
        <f t="shared" si="0"/>
        <v>33293.94</v>
      </c>
      <c r="G13" s="75">
        <f>IF(F13="","",SLOPE(F$3:F13,B$3:B13))</f>
        <v>21.859909090909124</v>
      </c>
      <c r="H13" s="79">
        <f t="shared" si="1"/>
        <v>293.94000000000233</v>
      </c>
      <c r="I13" s="5">
        <f t="shared" si="5"/>
        <v>250.66000000000349</v>
      </c>
      <c r="J13" s="4">
        <f t="shared" si="6"/>
        <v>10</v>
      </c>
      <c r="K13" s="15">
        <f t="shared" si="7"/>
        <v>8</v>
      </c>
      <c r="L13" s="5">
        <f t="shared" si="8"/>
        <v>31.332500000000437</v>
      </c>
      <c r="M13" s="4">
        <f t="shared" si="9"/>
        <v>10</v>
      </c>
      <c r="N13" s="5">
        <f t="shared" si="10"/>
        <v>80</v>
      </c>
      <c r="O13" s="5">
        <f t="shared" si="11"/>
        <v>-69.30000000000291</v>
      </c>
      <c r="P13" s="4">
        <f t="shared" si="12"/>
        <v>10</v>
      </c>
      <c r="Q13" s="15">
        <f t="shared" si="13"/>
        <v>2</v>
      </c>
      <c r="R13" s="4">
        <f t="shared" si="14"/>
        <v>10</v>
      </c>
      <c r="S13" s="5">
        <f t="shared" si="15"/>
        <v>-34.650000000001455</v>
      </c>
      <c r="T13" s="17">
        <f t="shared" si="16"/>
        <v>10</v>
      </c>
      <c r="U13" s="277">
        <f t="shared" si="17"/>
        <v>0.90425685425682889</v>
      </c>
      <c r="W13" s="9" t="s">
        <v>27</v>
      </c>
      <c r="X13" s="30">
        <f>IF(E4="","",VLOOKUP(MAX(J4:J103),J4:K103,2,FALSE))</f>
        <v>17</v>
      </c>
      <c r="Z13" s="233"/>
      <c r="AB13"/>
      <c r="AC13"/>
      <c r="AD13"/>
    </row>
    <row r="14" spans="2:30" x14ac:dyDescent="0.2">
      <c r="B14" s="70">
        <f t="shared" si="2"/>
        <v>11</v>
      </c>
      <c r="C14" s="209">
        <f>CRes!J13</f>
        <v>-20.279999999998836</v>
      </c>
      <c r="D14" s="72">
        <f t="shared" si="3"/>
        <v>11</v>
      </c>
      <c r="E14" s="76">
        <f t="shared" si="4"/>
        <v>161.08000000000175</v>
      </c>
      <c r="F14" s="78">
        <f t="shared" si="0"/>
        <v>33273.660000000003</v>
      </c>
      <c r="G14" s="76">
        <f>IF(F14="","",SLOPE(F$3:F14,B$3:B14))</f>
        <v>20.607412587412718</v>
      </c>
      <c r="H14" s="79">
        <f t="shared" si="1"/>
        <v>273.66000000000349</v>
      </c>
      <c r="I14" s="5">
        <f t="shared" si="5"/>
        <v>250.66000000000349</v>
      </c>
      <c r="J14" s="4">
        <f t="shared" si="6"/>
        <v>11</v>
      </c>
      <c r="K14" s="15">
        <f t="shared" si="7"/>
        <v>8</v>
      </c>
      <c r="L14" s="5">
        <f t="shared" si="8"/>
        <v>31.332500000000437</v>
      </c>
      <c r="M14" s="4">
        <f t="shared" si="9"/>
        <v>11</v>
      </c>
      <c r="N14" s="5">
        <f t="shared" si="10"/>
        <v>72.727272727272734</v>
      </c>
      <c r="O14" s="5">
        <f t="shared" si="11"/>
        <v>-89.580000000001746</v>
      </c>
      <c r="P14" s="4">
        <f t="shared" si="12"/>
        <v>11</v>
      </c>
      <c r="Q14" s="15">
        <f t="shared" si="13"/>
        <v>3</v>
      </c>
      <c r="R14" s="4">
        <f t="shared" si="14"/>
        <v>11</v>
      </c>
      <c r="S14" s="5">
        <f t="shared" si="15"/>
        <v>-29.860000000000582</v>
      </c>
      <c r="T14" s="17">
        <f t="shared" si="16"/>
        <v>11</v>
      </c>
      <c r="U14" s="277">
        <f t="shared" si="17"/>
        <v>1.0493134628265179</v>
      </c>
      <c r="W14" s="10" t="s">
        <v>28</v>
      </c>
      <c r="X14" s="31">
        <f>IF(E4="","",VLOOKUP(MAX(P4:P103),P4:Q103,2,FALSE))</f>
        <v>4</v>
      </c>
      <c r="Z14" s="233"/>
      <c r="AB14"/>
      <c r="AC14"/>
      <c r="AD14"/>
    </row>
    <row r="15" spans="2:30" ht="13.5" thickBot="1" x14ac:dyDescent="0.25">
      <c r="B15" s="70">
        <f t="shared" si="2"/>
        <v>12</v>
      </c>
      <c r="C15" s="209">
        <f>CRes!J14</f>
        <v>11.599999999998545</v>
      </c>
      <c r="D15" s="72">
        <f t="shared" si="3"/>
        <v>12</v>
      </c>
      <c r="E15" s="76">
        <f t="shared" si="4"/>
        <v>172.68000000000029</v>
      </c>
      <c r="F15" s="78">
        <f t="shared" si="0"/>
        <v>33285.26</v>
      </c>
      <c r="G15" s="76">
        <f>IF(F15="","",SLOPE(F$3:F15,B$3:B15))</f>
        <v>19.553461538461676</v>
      </c>
      <c r="H15" s="79">
        <f t="shared" si="1"/>
        <v>285.26000000000204</v>
      </c>
      <c r="I15" s="5">
        <f t="shared" si="5"/>
        <v>262.26000000000204</v>
      </c>
      <c r="J15" s="4">
        <f t="shared" si="6"/>
        <v>12</v>
      </c>
      <c r="K15" s="15">
        <f t="shared" si="7"/>
        <v>9</v>
      </c>
      <c r="L15" s="5">
        <f t="shared" si="8"/>
        <v>29.140000000000228</v>
      </c>
      <c r="M15" s="4">
        <f t="shared" si="9"/>
        <v>12</v>
      </c>
      <c r="N15" s="5">
        <f t="shared" si="10"/>
        <v>75</v>
      </c>
      <c r="O15" s="5">
        <f t="shared" si="11"/>
        <v>-89.580000000001746</v>
      </c>
      <c r="P15" s="4">
        <f t="shared" si="12"/>
        <v>12</v>
      </c>
      <c r="Q15" s="15">
        <f t="shared" si="13"/>
        <v>3</v>
      </c>
      <c r="R15" s="4">
        <f t="shared" si="14"/>
        <v>12</v>
      </c>
      <c r="S15" s="5">
        <f t="shared" si="15"/>
        <v>-29.860000000000582</v>
      </c>
      <c r="T15" s="17">
        <f t="shared" si="16"/>
        <v>12</v>
      </c>
      <c r="U15" s="277">
        <f t="shared" si="17"/>
        <v>0.97588747488277494</v>
      </c>
      <c r="W15" s="11" t="s">
        <v>29</v>
      </c>
      <c r="X15" s="37">
        <f>IF(X13="","",IF(X14="","",X13+X14))</f>
        <v>21</v>
      </c>
      <c r="Z15" s="233"/>
    </row>
    <row r="16" spans="2:30" x14ac:dyDescent="0.2">
      <c r="B16" s="70">
        <f t="shared" si="2"/>
        <v>13</v>
      </c>
      <c r="C16" s="209">
        <f>CRes!J15</f>
        <v>30.119999999995343</v>
      </c>
      <c r="D16" s="72">
        <f t="shared" si="3"/>
        <v>13</v>
      </c>
      <c r="E16" s="76">
        <f t="shared" si="4"/>
        <v>202.79999999999563</v>
      </c>
      <c r="F16" s="78">
        <f t="shared" si="0"/>
        <v>33315.379999999997</v>
      </c>
      <c r="G16" s="76">
        <f>IF(F16="","",SLOPE(F$3:F16,B$3:B16))</f>
        <v>19.192879120879127</v>
      </c>
      <c r="H16" s="79">
        <f t="shared" si="1"/>
        <v>315.37999999999738</v>
      </c>
      <c r="I16" s="5">
        <f t="shared" si="5"/>
        <v>292.37999999999738</v>
      </c>
      <c r="J16" s="4">
        <f t="shared" si="6"/>
        <v>13</v>
      </c>
      <c r="K16" s="15">
        <f t="shared" si="7"/>
        <v>10</v>
      </c>
      <c r="L16" s="5">
        <f t="shared" si="8"/>
        <v>29.237999999999737</v>
      </c>
      <c r="M16" s="4">
        <f t="shared" si="9"/>
        <v>13</v>
      </c>
      <c r="N16" s="5">
        <f t="shared" si="10"/>
        <v>76.92307692307692</v>
      </c>
      <c r="O16" s="5">
        <f t="shared" si="11"/>
        <v>-89.580000000001746</v>
      </c>
      <c r="P16" s="4">
        <f t="shared" si="12"/>
        <v>13</v>
      </c>
      <c r="Q16" s="15">
        <f t="shared" si="13"/>
        <v>3</v>
      </c>
      <c r="R16" s="4">
        <f t="shared" si="14"/>
        <v>13</v>
      </c>
      <c r="S16" s="5">
        <f t="shared" si="15"/>
        <v>-29.860000000000582</v>
      </c>
      <c r="T16" s="17">
        <f t="shared" si="16"/>
        <v>13</v>
      </c>
      <c r="U16" s="277">
        <f t="shared" si="17"/>
        <v>0.97916945746815698</v>
      </c>
      <c r="W16" s="35" t="s">
        <v>10</v>
      </c>
      <c r="X16" s="36">
        <f>IF(D4="","",IF(X13=0,"",VLOOKUP(MAX(M4:M103),M4:N103,2,FALSE)/100))</f>
        <v>0.80952380952380953</v>
      </c>
      <c r="Z16" s="232"/>
    </row>
    <row r="17" spans="2:30" x14ac:dyDescent="0.2">
      <c r="B17" s="70">
        <f t="shared" si="2"/>
        <v>14</v>
      </c>
      <c r="C17" s="209">
        <f>CRes!J16</f>
        <v>-16.5</v>
      </c>
      <c r="D17" s="72">
        <f t="shared" si="3"/>
        <v>14</v>
      </c>
      <c r="E17" s="76">
        <f t="shared" si="4"/>
        <v>186.29999999999563</v>
      </c>
      <c r="F17" s="78">
        <f t="shared" si="0"/>
        <v>33298.879999999997</v>
      </c>
      <c r="G17" s="76">
        <f>IF(F17="","",SLOPE(F$3:F17,B$3:B17))</f>
        <v>18.066178571428491</v>
      </c>
      <c r="H17" s="79">
        <f t="shared" si="1"/>
        <v>298.87999999999738</v>
      </c>
      <c r="I17" s="5">
        <f t="shared" si="5"/>
        <v>292.37999999999738</v>
      </c>
      <c r="J17" s="4">
        <f t="shared" si="6"/>
        <v>14</v>
      </c>
      <c r="K17" s="15">
        <f t="shared" si="7"/>
        <v>10</v>
      </c>
      <c r="L17" s="5">
        <f t="shared" si="8"/>
        <v>29.237999999999737</v>
      </c>
      <c r="M17" s="4">
        <f t="shared" si="9"/>
        <v>14</v>
      </c>
      <c r="N17" s="5">
        <f t="shared" si="10"/>
        <v>71.428571428571431</v>
      </c>
      <c r="O17" s="5">
        <f t="shared" si="11"/>
        <v>-106.08000000000175</v>
      </c>
      <c r="P17" s="4">
        <f t="shared" si="12"/>
        <v>14</v>
      </c>
      <c r="Q17" s="15">
        <f t="shared" si="13"/>
        <v>4</v>
      </c>
      <c r="R17" s="4">
        <f t="shared" si="14"/>
        <v>14</v>
      </c>
      <c r="S17" s="5">
        <f t="shared" si="15"/>
        <v>-26.520000000000437</v>
      </c>
      <c r="T17" s="17">
        <f t="shared" si="16"/>
        <v>14</v>
      </c>
      <c r="U17" s="277">
        <f t="shared" si="17"/>
        <v>1.1024886877827773</v>
      </c>
      <c r="W17" s="485" t="s">
        <v>12</v>
      </c>
      <c r="X17" s="20">
        <f>IF(D4="","",IF(X14=0,"",-VLOOKUP(MAX(R4:R103),R4:S103,2,FALSE)))</f>
        <v>26.520000000000437</v>
      </c>
      <c r="Z17" s="232"/>
      <c r="AA17" s="1"/>
      <c r="AB17" s="3"/>
      <c r="AD17"/>
    </row>
    <row r="18" spans="2:30" x14ac:dyDescent="0.2">
      <c r="B18" s="70">
        <f t="shared" si="2"/>
        <v>15</v>
      </c>
      <c r="C18" s="209">
        <f>CRes!J17</f>
        <v>49.139999999999418</v>
      </c>
      <c r="D18" s="72">
        <f t="shared" si="3"/>
        <v>15</v>
      </c>
      <c r="E18" s="76">
        <f t="shared" si="4"/>
        <v>235.43999999999505</v>
      </c>
      <c r="F18" s="78">
        <f t="shared" si="0"/>
        <v>33348.019999999997</v>
      </c>
      <c r="G18" s="76">
        <f>IF(F18="","",SLOPE(F$3:F18,B$3:B18))</f>
        <v>17.997735294117497</v>
      </c>
      <c r="H18" s="79">
        <f t="shared" si="1"/>
        <v>348.0199999999968</v>
      </c>
      <c r="I18" s="5">
        <f t="shared" si="5"/>
        <v>341.5199999999968</v>
      </c>
      <c r="J18" s="4">
        <f t="shared" si="6"/>
        <v>15</v>
      </c>
      <c r="K18" s="15">
        <f t="shared" si="7"/>
        <v>11</v>
      </c>
      <c r="L18" s="5">
        <f t="shared" si="8"/>
        <v>31.047272727272436</v>
      </c>
      <c r="M18" s="4">
        <f t="shared" si="9"/>
        <v>15</v>
      </c>
      <c r="N18" s="5">
        <f t="shared" si="10"/>
        <v>73.333333333333329</v>
      </c>
      <c r="O18" s="5">
        <f t="shared" si="11"/>
        <v>-106.08000000000175</v>
      </c>
      <c r="P18" s="4">
        <f t="shared" si="12"/>
        <v>15</v>
      </c>
      <c r="Q18" s="15">
        <f t="shared" si="13"/>
        <v>4</v>
      </c>
      <c r="R18" s="4">
        <f t="shared" si="14"/>
        <v>15</v>
      </c>
      <c r="S18" s="5">
        <f t="shared" si="15"/>
        <v>-26.520000000000437</v>
      </c>
      <c r="T18" s="17">
        <f t="shared" si="16"/>
        <v>15</v>
      </c>
      <c r="U18" s="277">
        <f t="shared" si="17"/>
        <v>1.1707116412998464</v>
      </c>
      <c r="W18" s="486"/>
      <c r="X18" s="19">
        <f>IF(X17="","",IF(X4="","",X17/X4))</f>
        <v>8.0090406727595484E-4</v>
      </c>
      <c r="Z18" s="232"/>
      <c r="AA18" s="1"/>
      <c r="AB18" s="3"/>
      <c r="AD18"/>
    </row>
    <row r="19" spans="2:30" ht="13.5" thickBot="1" x14ac:dyDescent="0.25">
      <c r="B19" s="70">
        <f t="shared" si="2"/>
        <v>16</v>
      </c>
      <c r="C19" s="209">
        <f>CRes!J18</f>
        <v>27.690000000002328</v>
      </c>
      <c r="D19" s="72">
        <f t="shared" si="3"/>
        <v>16</v>
      </c>
      <c r="E19" s="76">
        <f t="shared" si="4"/>
        <v>263.12999999999738</v>
      </c>
      <c r="F19" s="78">
        <f t="shared" si="0"/>
        <v>33375.71</v>
      </c>
      <c r="G19" s="76">
        <f>IF(F19="","",SLOPE(F$3:F19,B$3:B19))</f>
        <v>18.140808823529262</v>
      </c>
      <c r="H19" s="79">
        <f t="shared" si="1"/>
        <v>375.70999999999913</v>
      </c>
      <c r="I19" s="5">
        <f t="shared" si="5"/>
        <v>369.20999999999913</v>
      </c>
      <c r="J19" s="4">
        <f t="shared" si="6"/>
        <v>16</v>
      </c>
      <c r="K19" s="15">
        <f t="shared" si="7"/>
        <v>12</v>
      </c>
      <c r="L19" s="5">
        <f t="shared" si="8"/>
        <v>30.767499999999927</v>
      </c>
      <c r="M19" s="4">
        <f t="shared" si="9"/>
        <v>16</v>
      </c>
      <c r="N19" s="5">
        <f t="shared" si="10"/>
        <v>75</v>
      </c>
      <c r="O19" s="5">
        <f t="shared" si="11"/>
        <v>-106.08000000000175</v>
      </c>
      <c r="P19" s="4">
        <f t="shared" si="12"/>
        <v>16</v>
      </c>
      <c r="Q19" s="15">
        <f t="shared" si="13"/>
        <v>4</v>
      </c>
      <c r="R19" s="4">
        <f t="shared" si="14"/>
        <v>16</v>
      </c>
      <c r="S19" s="5">
        <f t="shared" si="15"/>
        <v>-26.520000000000437</v>
      </c>
      <c r="T19" s="17">
        <f t="shared" si="16"/>
        <v>16</v>
      </c>
      <c r="U19" s="277">
        <f t="shared" si="17"/>
        <v>1.160162141779767</v>
      </c>
      <c r="W19" s="11" t="s">
        <v>32</v>
      </c>
      <c r="X19" s="14">
        <f>IF(D4="","",VLOOKUP(MAX(T4:T103),T4:U103,2,FALSE))</f>
        <v>2.298043651849849</v>
      </c>
      <c r="Z19" s="232"/>
      <c r="AA19" s="1"/>
      <c r="AB19" s="3"/>
      <c r="AD19"/>
    </row>
    <row r="20" spans="2:30" x14ac:dyDescent="0.2">
      <c r="B20" s="70">
        <f t="shared" si="2"/>
        <v>17</v>
      </c>
      <c r="C20" s="209">
        <f>CRes!J19</f>
        <v>90.059999999997672</v>
      </c>
      <c r="D20" s="72">
        <f t="shared" si="3"/>
        <v>17</v>
      </c>
      <c r="E20" s="76">
        <f t="shared" si="4"/>
        <v>353.18999999999505</v>
      </c>
      <c r="F20" s="78">
        <f t="shared" si="0"/>
        <v>33465.769999999997</v>
      </c>
      <c r="G20" s="76">
        <f>IF(F20="","",SLOPE(F$3:F20,B$3:B20))</f>
        <v>19.502951496387841</v>
      </c>
      <c r="H20" s="79">
        <f t="shared" si="1"/>
        <v>465.7699999999968</v>
      </c>
      <c r="I20" s="5">
        <f t="shared" si="5"/>
        <v>459.2699999999968</v>
      </c>
      <c r="J20" s="4">
        <f t="shared" si="6"/>
        <v>17</v>
      </c>
      <c r="K20" s="15">
        <f t="shared" si="7"/>
        <v>13</v>
      </c>
      <c r="L20" s="5">
        <f t="shared" si="8"/>
        <v>35.328461538461291</v>
      </c>
      <c r="M20" s="4">
        <f t="shared" si="9"/>
        <v>17</v>
      </c>
      <c r="N20" s="5">
        <f t="shared" si="10"/>
        <v>76.470588235294116</v>
      </c>
      <c r="O20" s="5">
        <f t="shared" si="11"/>
        <v>-106.08000000000175</v>
      </c>
      <c r="P20" s="4">
        <f t="shared" si="12"/>
        <v>17</v>
      </c>
      <c r="Q20" s="15">
        <f t="shared" si="13"/>
        <v>4</v>
      </c>
      <c r="R20" s="4">
        <f t="shared" si="14"/>
        <v>17</v>
      </c>
      <c r="S20" s="5">
        <f t="shared" si="15"/>
        <v>-26.520000000000437</v>
      </c>
      <c r="T20" s="17">
        <f t="shared" si="16"/>
        <v>17</v>
      </c>
      <c r="U20" s="277">
        <f t="shared" si="17"/>
        <v>1.3321441002436165</v>
      </c>
      <c r="Z20" s="232"/>
    </row>
    <row r="21" spans="2:30" x14ac:dyDescent="0.2">
      <c r="B21" s="70">
        <f t="shared" si="2"/>
        <v>18</v>
      </c>
      <c r="C21" s="209">
        <f>CRes!J20</f>
        <v>107.88000000000466</v>
      </c>
      <c r="D21" s="72">
        <f t="shared" si="3"/>
        <v>18</v>
      </c>
      <c r="E21" s="76">
        <f t="shared" si="4"/>
        <v>461.06999999999971</v>
      </c>
      <c r="F21" s="78">
        <f t="shared" si="0"/>
        <v>33573.65</v>
      </c>
      <c r="G21" s="76">
        <f>IF(F21="","",SLOPE(F$3:F21,B$3:B21))</f>
        <v>21.873385964912142</v>
      </c>
      <c r="H21" s="79">
        <f t="shared" si="1"/>
        <v>573.65000000000146</v>
      </c>
      <c r="I21" s="5">
        <f t="shared" si="5"/>
        <v>567.15000000000146</v>
      </c>
      <c r="J21" s="4">
        <f t="shared" si="6"/>
        <v>18</v>
      </c>
      <c r="K21" s="15">
        <f t="shared" si="7"/>
        <v>14</v>
      </c>
      <c r="L21" s="5">
        <f t="shared" si="8"/>
        <v>40.510714285714393</v>
      </c>
      <c r="M21" s="4">
        <f t="shared" si="9"/>
        <v>18</v>
      </c>
      <c r="N21" s="5">
        <f t="shared" si="10"/>
        <v>77.777777777777771</v>
      </c>
      <c r="O21" s="5">
        <f t="shared" si="11"/>
        <v>-106.08000000000175</v>
      </c>
      <c r="P21" s="4">
        <f t="shared" si="12"/>
        <v>18</v>
      </c>
      <c r="Q21" s="15">
        <f t="shared" si="13"/>
        <v>4</v>
      </c>
      <c r="R21" s="4">
        <f t="shared" si="14"/>
        <v>18</v>
      </c>
      <c r="S21" s="5">
        <f t="shared" si="15"/>
        <v>-26.520000000000437</v>
      </c>
      <c r="T21" s="17">
        <f t="shared" si="16"/>
        <v>18</v>
      </c>
      <c r="U21" s="277">
        <f t="shared" si="17"/>
        <v>1.5275533290238961</v>
      </c>
      <c r="Z21" s="232"/>
    </row>
    <row r="22" spans="2:30" x14ac:dyDescent="0.2">
      <c r="B22" s="70">
        <f t="shared" si="2"/>
        <v>19</v>
      </c>
      <c r="C22" s="209">
        <f>CRes!J21</f>
        <v>141.29999999999563</v>
      </c>
      <c r="D22" s="72">
        <f t="shared" si="3"/>
        <v>19</v>
      </c>
      <c r="E22" s="76">
        <f t="shared" si="4"/>
        <v>602.36999999999534</v>
      </c>
      <c r="F22" s="78">
        <f t="shared" si="0"/>
        <v>33714.949999999997</v>
      </c>
      <c r="G22" s="76">
        <f>IF(F22="","",SLOPE(F$3:F22,B$3:B22))</f>
        <v>25.306511278195327</v>
      </c>
      <c r="H22" s="79">
        <f t="shared" si="1"/>
        <v>714.94999999999709</v>
      </c>
      <c r="I22" s="5">
        <f t="shared" si="5"/>
        <v>708.44999999999709</v>
      </c>
      <c r="J22" s="4">
        <f t="shared" si="6"/>
        <v>19</v>
      </c>
      <c r="K22" s="15">
        <f t="shared" si="7"/>
        <v>15</v>
      </c>
      <c r="L22" s="5">
        <f t="shared" si="8"/>
        <v>47.229999999999805</v>
      </c>
      <c r="M22" s="4">
        <f t="shared" si="9"/>
        <v>19</v>
      </c>
      <c r="N22" s="5">
        <f t="shared" si="10"/>
        <v>78.94736842105263</v>
      </c>
      <c r="O22" s="5">
        <f t="shared" si="11"/>
        <v>-106.08000000000175</v>
      </c>
      <c r="P22" s="4">
        <f t="shared" si="12"/>
        <v>19</v>
      </c>
      <c r="Q22" s="15">
        <f t="shared" si="13"/>
        <v>4</v>
      </c>
      <c r="R22" s="4">
        <f t="shared" si="14"/>
        <v>19</v>
      </c>
      <c r="S22" s="5">
        <f t="shared" si="15"/>
        <v>-26.520000000000437</v>
      </c>
      <c r="T22" s="17">
        <f t="shared" si="16"/>
        <v>19</v>
      </c>
      <c r="U22" s="277">
        <f t="shared" si="17"/>
        <v>1.7809200603317883</v>
      </c>
      <c r="Z22" s="232"/>
    </row>
    <row r="23" spans="2:30" x14ac:dyDescent="0.2">
      <c r="B23" s="70">
        <f t="shared" si="2"/>
        <v>20</v>
      </c>
      <c r="C23" s="209">
        <f>CRes!J22</f>
        <v>196.56000000000495</v>
      </c>
      <c r="D23" s="72">
        <f t="shared" si="3"/>
        <v>20</v>
      </c>
      <c r="E23" s="76">
        <f t="shared" si="4"/>
        <v>798.93000000000029</v>
      </c>
      <c r="F23" s="78">
        <f t="shared" si="0"/>
        <v>33911.51</v>
      </c>
      <c r="G23" s="76">
        <f>IF(F23="","",SLOPE(F$3:F23,B$3:B23))</f>
        <v>30.071987012986899</v>
      </c>
      <c r="H23" s="79">
        <f t="shared" si="1"/>
        <v>911.51000000000204</v>
      </c>
      <c r="I23" s="5">
        <f t="shared" si="5"/>
        <v>905.01000000000204</v>
      </c>
      <c r="J23" s="4">
        <f t="shared" si="6"/>
        <v>20</v>
      </c>
      <c r="K23" s="15">
        <f t="shared" si="7"/>
        <v>16</v>
      </c>
      <c r="L23" s="5">
        <f t="shared" si="8"/>
        <v>56.563125000000127</v>
      </c>
      <c r="M23" s="4">
        <f t="shared" si="9"/>
        <v>20</v>
      </c>
      <c r="N23" s="5">
        <f t="shared" si="10"/>
        <v>80</v>
      </c>
      <c r="O23" s="5">
        <f t="shared" si="11"/>
        <v>-106.08000000000175</v>
      </c>
      <c r="P23" s="4">
        <f t="shared" si="12"/>
        <v>20</v>
      </c>
      <c r="Q23" s="15">
        <f t="shared" si="13"/>
        <v>4</v>
      </c>
      <c r="R23" s="4">
        <f t="shared" si="14"/>
        <v>20</v>
      </c>
      <c r="S23" s="5">
        <f t="shared" si="15"/>
        <v>-26.520000000000437</v>
      </c>
      <c r="T23" s="17">
        <f t="shared" si="16"/>
        <v>20</v>
      </c>
      <c r="U23" s="277">
        <f t="shared" si="17"/>
        <v>2.1328478506787025</v>
      </c>
      <c r="Z23" s="232"/>
    </row>
    <row r="24" spans="2:30" x14ac:dyDescent="0.2">
      <c r="B24" s="70">
        <f t="shared" si="2"/>
        <v>21</v>
      </c>
      <c r="C24" s="209">
        <f>CRes!J23</f>
        <v>131.04000000000087</v>
      </c>
      <c r="D24" s="72">
        <f t="shared" si="3"/>
        <v>21</v>
      </c>
      <c r="E24" s="76">
        <f t="shared" si="4"/>
        <v>929.97000000000116</v>
      </c>
      <c r="F24" s="78">
        <f t="shared" si="0"/>
        <v>34042.550000000003</v>
      </c>
      <c r="G24" s="76">
        <f>IF(F24="","",SLOPE(F$3:F24,B$3:B24))</f>
        <v>34.848051948051882</v>
      </c>
      <c r="H24" s="79">
        <f t="shared" si="1"/>
        <v>1042.5500000000029</v>
      </c>
      <c r="I24" s="5">
        <f t="shared" si="5"/>
        <v>1036.0500000000029</v>
      </c>
      <c r="J24" s="4">
        <f t="shared" si="6"/>
        <v>21</v>
      </c>
      <c r="K24" s="15">
        <f t="shared" si="7"/>
        <v>17</v>
      </c>
      <c r="L24" s="5">
        <f t="shared" si="8"/>
        <v>60.944117647058995</v>
      </c>
      <c r="M24" s="4">
        <f t="shared" si="9"/>
        <v>21</v>
      </c>
      <c r="N24" s="5">
        <f t="shared" si="10"/>
        <v>80.952380952380949</v>
      </c>
      <c r="O24" s="5">
        <f t="shared" si="11"/>
        <v>-106.08000000000175</v>
      </c>
      <c r="P24" s="4">
        <f t="shared" si="12"/>
        <v>21</v>
      </c>
      <c r="Q24" s="15">
        <f t="shared" si="13"/>
        <v>4</v>
      </c>
      <c r="R24" s="4">
        <f t="shared" si="14"/>
        <v>21</v>
      </c>
      <c r="S24" s="5">
        <f t="shared" si="15"/>
        <v>-26.520000000000437</v>
      </c>
      <c r="T24" s="17">
        <f t="shared" si="16"/>
        <v>21</v>
      </c>
      <c r="U24" s="277">
        <f t="shared" si="17"/>
        <v>2.298043651849849</v>
      </c>
      <c r="Z24" s="232"/>
    </row>
    <row r="25" spans="2:30" x14ac:dyDescent="0.2">
      <c r="B25" s="70">
        <f t="shared" si="2"/>
        <v>22</v>
      </c>
      <c r="C25" s="209" t="str">
        <f>CRes!J24</f>
        <v/>
      </c>
      <c r="D25" s="72" t="str">
        <f t="shared" si="3"/>
        <v/>
      </c>
      <c r="E25" s="76" t="str">
        <f t="shared" si="4"/>
        <v/>
      </c>
      <c r="F25" s="78" t="str">
        <f t="shared" si="0"/>
        <v/>
      </c>
      <c r="G25" s="76" t="str">
        <f>IF(F25="","",SLOPE(F$3:F25,B$3:B25))</f>
        <v/>
      </c>
      <c r="H25" s="79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277" t="str">
        <f t="shared" si="17"/>
        <v/>
      </c>
      <c r="Z25" s="232"/>
    </row>
    <row r="26" spans="2:30" x14ac:dyDescent="0.2">
      <c r="B26" s="70">
        <f t="shared" si="2"/>
        <v>23</v>
      </c>
      <c r="C26" s="209" t="str">
        <f>CRes!J25</f>
        <v/>
      </c>
      <c r="D26" s="72" t="str">
        <f t="shared" si="3"/>
        <v/>
      </c>
      <c r="E26" s="76" t="str">
        <f t="shared" si="4"/>
        <v/>
      </c>
      <c r="F26" s="78" t="str">
        <f t="shared" si="0"/>
        <v/>
      </c>
      <c r="G26" s="76" t="str">
        <f>IF(F26="","",SLOPE(F$3:F26,B$3:B26))</f>
        <v/>
      </c>
      <c r="H26" s="79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277" t="str">
        <f t="shared" si="17"/>
        <v/>
      </c>
      <c r="Z26" s="232"/>
    </row>
    <row r="27" spans="2:30" x14ac:dyDescent="0.2">
      <c r="B27" s="70">
        <f t="shared" si="2"/>
        <v>24</v>
      </c>
      <c r="C27" s="209" t="str">
        <f>CRes!J26</f>
        <v/>
      </c>
      <c r="D27" s="72" t="str">
        <f t="shared" si="3"/>
        <v/>
      </c>
      <c r="E27" s="76" t="str">
        <f t="shared" si="4"/>
        <v/>
      </c>
      <c r="F27" s="78" t="str">
        <f t="shared" si="0"/>
        <v/>
      </c>
      <c r="G27" s="76" t="str">
        <f>IF(F27="","",SLOPE(F$3:F27,B$3:B27))</f>
        <v/>
      </c>
      <c r="H27" s="79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277" t="str">
        <f t="shared" si="17"/>
        <v/>
      </c>
      <c r="Z27" s="232"/>
    </row>
    <row r="28" spans="2:30" x14ac:dyDescent="0.2">
      <c r="B28" s="70">
        <f t="shared" si="2"/>
        <v>25</v>
      </c>
      <c r="C28" s="209" t="str">
        <f>CRes!J27</f>
        <v/>
      </c>
      <c r="D28" s="72" t="str">
        <f t="shared" si="3"/>
        <v/>
      </c>
      <c r="E28" s="76" t="str">
        <f t="shared" si="4"/>
        <v/>
      </c>
      <c r="F28" s="78" t="str">
        <f t="shared" si="0"/>
        <v/>
      </c>
      <c r="G28" s="76" t="str">
        <f>IF(F28="","",SLOPE(F$3:F28,B$3:B28))</f>
        <v/>
      </c>
      <c r="H28" s="79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277" t="str">
        <f t="shared" si="17"/>
        <v/>
      </c>
      <c r="Z28" s="232"/>
    </row>
    <row r="29" spans="2:30" x14ac:dyDescent="0.2">
      <c r="B29" s="70">
        <f t="shared" si="2"/>
        <v>26</v>
      </c>
      <c r="C29" s="209" t="str">
        <f>CRes!J28</f>
        <v/>
      </c>
      <c r="D29" s="72" t="str">
        <f t="shared" si="3"/>
        <v/>
      </c>
      <c r="E29" s="76" t="str">
        <f t="shared" si="4"/>
        <v/>
      </c>
      <c r="F29" s="78" t="str">
        <f t="shared" si="0"/>
        <v/>
      </c>
      <c r="G29" s="76" t="str">
        <f>IF(F29="","",SLOPE(F$3:F29,B$3:B29))</f>
        <v/>
      </c>
      <c r="H29" s="79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277" t="str">
        <f t="shared" si="17"/>
        <v/>
      </c>
      <c r="Z29" s="232"/>
    </row>
    <row r="30" spans="2:30" x14ac:dyDescent="0.2">
      <c r="B30" s="70">
        <f t="shared" si="2"/>
        <v>27</v>
      </c>
      <c r="C30" s="209" t="str">
        <f>CRes!J29</f>
        <v/>
      </c>
      <c r="D30" s="72" t="str">
        <f t="shared" si="3"/>
        <v/>
      </c>
      <c r="E30" s="76" t="str">
        <f t="shared" si="4"/>
        <v/>
      </c>
      <c r="F30" s="78" t="str">
        <f t="shared" si="0"/>
        <v/>
      </c>
      <c r="G30" s="76" t="str">
        <f>IF(F30="","",SLOPE(F$3:F30,B$3:B30))</f>
        <v/>
      </c>
      <c r="H30" s="79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277" t="str">
        <f t="shared" si="17"/>
        <v/>
      </c>
      <c r="Z30" s="232"/>
    </row>
    <row r="31" spans="2:30" x14ac:dyDescent="0.2">
      <c r="B31" s="70">
        <f t="shared" si="2"/>
        <v>28</v>
      </c>
      <c r="C31" s="209" t="str">
        <f>CRes!J30</f>
        <v/>
      </c>
      <c r="D31" s="72" t="str">
        <f t="shared" si="3"/>
        <v/>
      </c>
      <c r="E31" s="76" t="str">
        <f t="shared" si="4"/>
        <v/>
      </c>
      <c r="F31" s="78" t="str">
        <f t="shared" si="0"/>
        <v/>
      </c>
      <c r="G31" s="76" t="str">
        <f>IF(F31="","",SLOPE(F$3:F31,B$3:B31))</f>
        <v/>
      </c>
      <c r="H31" s="79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277" t="str">
        <f t="shared" si="17"/>
        <v/>
      </c>
      <c r="Z31" s="232"/>
    </row>
    <row r="32" spans="2:30" x14ac:dyDescent="0.2">
      <c r="B32" s="70">
        <f t="shared" si="2"/>
        <v>29</v>
      </c>
      <c r="C32" s="209" t="str">
        <f>CRes!J31</f>
        <v/>
      </c>
      <c r="D32" s="72" t="str">
        <f t="shared" si="3"/>
        <v/>
      </c>
      <c r="E32" s="76" t="str">
        <f t="shared" si="4"/>
        <v/>
      </c>
      <c r="F32" s="78" t="str">
        <f t="shared" si="0"/>
        <v/>
      </c>
      <c r="G32" s="76" t="str">
        <f>IF(F32="","",SLOPE(F$3:F32,B$3:B32))</f>
        <v/>
      </c>
      <c r="H32" s="79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277" t="str">
        <f t="shared" si="17"/>
        <v/>
      </c>
      <c r="Z32" s="232"/>
    </row>
    <row r="33" spans="2:30" ht="13.5" thickBot="1" x14ac:dyDescent="0.25">
      <c r="B33" s="70">
        <f t="shared" si="2"/>
        <v>30</v>
      </c>
      <c r="C33" s="209" t="str">
        <f>CRes!J32</f>
        <v/>
      </c>
      <c r="D33" s="72" t="str">
        <f t="shared" si="3"/>
        <v/>
      </c>
      <c r="E33" s="77" t="str">
        <f t="shared" si="4"/>
        <v/>
      </c>
      <c r="F33" s="78" t="str">
        <f t="shared" si="0"/>
        <v/>
      </c>
      <c r="G33" s="77" t="str">
        <f>IF(F33="","",SLOPE(F$3:F33,B$3:B33))</f>
        <v/>
      </c>
      <c r="H33" s="79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277" t="str">
        <f t="shared" si="17"/>
        <v/>
      </c>
      <c r="Z33" s="232"/>
    </row>
    <row r="34" spans="2:30" x14ac:dyDescent="0.2">
      <c r="B34" s="70">
        <f t="shared" si="2"/>
        <v>31</v>
      </c>
      <c r="C34" s="209" t="str">
        <f>CRes!J33</f>
        <v/>
      </c>
      <c r="D34" s="4" t="str">
        <f t="shared" si="3"/>
        <v/>
      </c>
      <c r="E34" s="74" t="str">
        <f t="shared" si="4"/>
        <v/>
      </c>
      <c r="F34" s="5" t="str">
        <f t="shared" si="0"/>
        <v/>
      </c>
      <c r="G34" s="74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277" t="str">
        <f t="shared" si="17"/>
        <v/>
      </c>
      <c r="Z34" s="232"/>
    </row>
    <row r="35" spans="2:30" x14ac:dyDescent="0.2">
      <c r="B35" s="70">
        <f t="shared" si="2"/>
        <v>32</v>
      </c>
      <c r="C35" s="209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277" t="str">
        <f t="shared" si="17"/>
        <v/>
      </c>
      <c r="Z35" s="232"/>
      <c r="AA35" s="1"/>
      <c r="AB35" s="3"/>
      <c r="AD35"/>
    </row>
    <row r="36" spans="2:30" x14ac:dyDescent="0.2">
      <c r="B36" s="70">
        <f t="shared" ref="B36:B67" si="20">B35+1</f>
        <v>33</v>
      </c>
      <c r="C36" s="209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277" t="str">
        <f t="shared" ref="U36:U67" si="35">IF(L36="","",IF(S36="","",-L36/S36))</f>
        <v/>
      </c>
      <c r="Z36" s="232"/>
      <c r="AA36" s="1"/>
      <c r="AB36" s="3"/>
      <c r="AD36"/>
    </row>
    <row r="37" spans="2:30" x14ac:dyDescent="0.2">
      <c r="B37" s="70">
        <f t="shared" si="20"/>
        <v>34</v>
      </c>
      <c r="C37" s="209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277" t="str">
        <f t="shared" si="35"/>
        <v/>
      </c>
      <c r="Z37" s="232"/>
      <c r="AA37" s="1"/>
      <c r="AB37" s="3"/>
      <c r="AD37"/>
    </row>
    <row r="38" spans="2:30" x14ac:dyDescent="0.2">
      <c r="B38" s="70">
        <f t="shared" si="20"/>
        <v>35</v>
      </c>
      <c r="C38" s="209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277" t="str">
        <f t="shared" si="35"/>
        <v/>
      </c>
      <c r="Z38" s="232"/>
      <c r="AA38" s="1"/>
      <c r="AB38" s="3"/>
      <c r="AD38"/>
    </row>
    <row r="39" spans="2:30" x14ac:dyDescent="0.2">
      <c r="B39" s="70">
        <f t="shared" si="20"/>
        <v>36</v>
      </c>
      <c r="C39" s="209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277" t="str">
        <f t="shared" si="35"/>
        <v/>
      </c>
      <c r="Z39" s="232"/>
      <c r="AA39" s="1"/>
      <c r="AB39" s="3"/>
      <c r="AD39"/>
    </row>
    <row r="40" spans="2:30" x14ac:dyDescent="0.2">
      <c r="B40" s="70">
        <f t="shared" si="20"/>
        <v>37</v>
      </c>
      <c r="C40" s="209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277" t="str">
        <f t="shared" si="35"/>
        <v/>
      </c>
      <c r="Z40" s="232"/>
    </row>
    <row r="41" spans="2:30" x14ac:dyDescent="0.2">
      <c r="B41" s="70">
        <f t="shared" si="20"/>
        <v>38</v>
      </c>
      <c r="C41" s="209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277" t="str">
        <f t="shared" si="35"/>
        <v/>
      </c>
      <c r="Z41" s="232"/>
      <c r="AA41" s="1"/>
      <c r="AB41" s="3"/>
      <c r="AD41"/>
    </row>
    <row r="42" spans="2:30" x14ac:dyDescent="0.2">
      <c r="B42" s="70">
        <f t="shared" si="20"/>
        <v>39</v>
      </c>
      <c r="C42" s="209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277" t="str">
        <f t="shared" si="35"/>
        <v/>
      </c>
      <c r="Z42" s="232"/>
      <c r="AA42" s="1"/>
      <c r="AB42" s="3"/>
      <c r="AD42"/>
    </row>
    <row r="43" spans="2:30" x14ac:dyDescent="0.2">
      <c r="B43" s="70">
        <f t="shared" si="20"/>
        <v>40</v>
      </c>
      <c r="C43" s="209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277" t="str">
        <f t="shared" si="35"/>
        <v/>
      </c>
      <c r="Z43" s="232"/>
      <c r="AA43" s="1"/>
      <c r="AB43" s="3"/>
      <c r="AD43"/>
    </row>
    <row r="44" spans="2:30" x14ac:dyDescent="0.2">
      <c r="B44" s="70">
        <f t="shared" si="20"/>
        <v>41</v>
      </c>
      <c r="C44" s="209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277" t="str">
        <f t="shared" si="35"/>
        <v/>
      </c>
      <c r="Z44" s="232"/>
      <c r="AA44" s="1"/>
      <c r="AB44" s="3"/>
      <c r="AD44"/>
    </row>
    <row r="45" spans="2:30" x14ac:dyDescent="0.2">
      <c r="B45" s="70">
        <f t="shared" si="20"/>
        <v>42</v>
      </c>
      <c r="C45" s="209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277" t="str">
        <f t="shared" si="35"/>
        <v/>
      </c>
      <c r="Z45" s="232"/>
      <c r="AA45" s="1"/>
      <c r="AB45" s="3"/>
      <c r="AD45"/>
    </row>
    <row r="46" spans="2:30" x14ac:dyDescent="0.2">
      <c r="B46" s="70">
        <f t="shared" si="20"/>
        <v>43</v>
      </c>
      <c r="C46" s="209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277" t="str">
        <f t="shared" si="35"/>
        <v/>
      </c>
      <c r="Z46" s="232"/>
    </row>
    <row r="47" spans="2:30" x14ac:dyDescent="0.2">
      <c r="B47" s="70">
        <f t="shared" si="20"/>
        <v>44</v>
      </c>
      <c r="C47" s="209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277" t="str">
        <f t="shared" si="35"/>
        <v/>
      </c>
      <c r="Z47" s="232"/>
    </row>
    <row r="48" spans="2:30" x14ac:dyDescent="0.2">
      <c r="B48" s="70">
        <f t="shared" si="20"/>
        <v>45</v>
      </c>
      <c r="C48" s="209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277" t="str">
        <f t="shared" si="35"/>
        <v/>
      </c>
      <c r="Z48" s="232"/>
    </row>
    <row r="49" spans="2:26" x14ac:dyDescent="0.2">
      <c r="B49" s="70">
        <f t="shared" si="20"/>
        <v>46</v>
      </c>
      <c r="C49" s="209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277" t="str">
        <f t="shared" si="35"/>
        <v/>
      </c>
      <c r="Z49" s="232"/>
    </row>
    <row r="50" spans="2:26" x14ac:dyDescent="0.2">
      <c r="B50" s="70">
        <f t="shared" si="20"/>
        <v>47</v>
      </c>
      <c r="C50" s="209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277" t="str">
        <f t="shared" si="35"/>
        <v/>
      </c>
      <c r="Z50" s="232"/>
    </row>
    <row r="51" spans="2:26" x14ac:dyDescent="0.2">
      <c r="B51" s="70">
        <f t="shared" si="20"/>
        <v>48</v>
      </c>
      <c r="C51" s="209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277" t="str">
        <f t="shared" si="35"/>
        <v/>
      </c>
      <c r="Z51" s="232"/>
    </row>
    <row r="52" spans="2:26" x14ac:dyDescent="0.2">
      <c r="B52" s="70">
        <f t="shared" si="20"/>
        <v>49</v>
      </c>
      <c r="C52" s="209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277" t="str">
        <f t="shared" si="35"/>
        <v/>
      </c>
      <c r="Z52" s="232"/>
    </row>
    <row r="53" spans="2:26" x14ac:dyDescent="0.2">
      <c r="B53" s="70">
        <f t="shared" si="20"/>
        <v>50</v>
      </c>
      <c r="C53" s="209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277" t="str">
        <f t="shared" si="35"/>
        <v/>
      </c>
      <c r="Z53" s="233"/>
    </row>
    <row r="54" spans="2:26" x14ac:dyDescent="0.2">
      <c r="B54" s="70">
        <f t="shared" si="20"/>
        <v>51</v>
      </c>
      <c r="C54" s="209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277" t="str">
        <f t="shared" si="35"/>
        <v/>
      </c>
      <c r="Z54" s="233"/>
    </row>
    <row r="55" spans="2:26" x14ac:dyDescent="0.2">
      <c r="B55" s="70">
        <f t="shared" si="20"/>
        <v>52</v>
      </c>
      <c r="C55" s="209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277" t="str">
        <f t="shared" si="35"/>
        <v/>
      </c>
      <c r="Z55" s="233"/>
    </row>
    <row r="56" spans="2:26" x14ac:dyDescent="0.2">
      <c r="B56" s="70">
        <f t="shared" si="20"/>
        <v>53</v>
      </c>
      <c r="C56" s="209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277" t="str">
        <f t="shared" si="35"/>
        <v/>
      </c>
      <c r="Z56" s="233"/>
    </row>
    <row r="57" spans="2:26" x14ac:dyDescent="0.2">
      <c r="B57" s="70">
        <f t="shared" si="20"/>
        <v>54</v>
      </c>
      <c r="C57" s="209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277" t="str">
        <f t="shared" si="35"/>
        <v/>
      </c>
      <c r="Z57" s="233"/>
    </row>
    <row r="58" spans="2:26" x14ac:dyDescent="0.2">
      <c r="B58" s="70">
        <f t="shared" si="20"/>
        <v>55</v>
      </c>
      <c r="C58" s="209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277" t="str">
        <f t="shared" si="35"/>
        <v/>
      </c>
      <c r="Z58" s="232"/>
    </row>
    <row r="59" spans="2:26" x14ac:dyDescent="0.2">
      <c r="B59" s="70">
        <f t="shared" si="20"/>
        <v>56</v>
      </c>
      <c r="C59" s="209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277" t="str">
        <f t="shared" si="35"/>
        <v/>
      </c>
      <c r="Z59" s="232"/>
    </row>
    <row r="60" spans="2:26" x14ac:dyDescent="0.2">
      <c r="B60" s="70">
        <f t="shared" si="20"/>
        <v>57</v>
      </c>
      <c r="C60" s="209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277" t="str">
        <f t="shared" si="35"/>
        <v/>
      </c>
      <c r="Z60" s="232"/>
    </row>
    <row r="61" spans="2:26" x14ac:dyDescent="0.2">
      <c r="B61" s="70">
        <f t="shared" si="20"/>
        <v>58</v>
      </c>
      <c r="C61" s="209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277" t="str">
        <f t="shared" si="35"/>
        <v/>
      </c>
      <c r="Z61" s="232"/>
    </row>
    <row r="62" spans="2:26" x14ac:dyDescent="0.2">
      <c r="B62" s="70">
        <f t="shared" si="20"/>
        <v>59</v>
      </c>
      <c r="C62" s="209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277" t="str">
        <f t="shared" si="35"/>
        <v/>
      </c>
      <c r="Z62" s="233"/>
    </row>
    <row r="63" spans="2:26" x14ac:dyDescent="0.2">
      <c r="B63" s="70">
        <f t="shared" si="20"/>
        <v>60</v>
      </c>
      <c r="C63" s="209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277" t="str">
        <f t="shared" si="35"/>
        <v/>
      </c>
      <c r="Z63" s="233"/>
    </row>
    <row r="64" spans="2:26" x14ac:dyDescent="0.2">
      <c r="B64" s="70">
        <f t="shared" si="20"/>
        <v>61</v>
      </c>
      <c r="C64" s="209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277" t="str">
        <f t="shared" si="35"/>
        <v/>
      </c>
      <c r="Z64" s="233"/>
    </row>
    <row r="65" spans="2:26" x14ac:dyDescent="0.2">
      <c r="B65" s="70">
        <f t="shared" si="20"/>
        <v>62</v>
      </c>
      <c r="C65" s="209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277" t="str">
        <f t="shared" si="35"/>
        <v/>
      </c>
      <c r="Z65" s="233"/>
    </row>
    <row r="66" spans="2:26" x14ac:dyDescent="0.2">
      <c r="B66" s="70">
        <f t="shared" si="20"/>
        <v>63</v>
      </c>
      <c r="C66" s="209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277" t="str">
        <f t="shared" si="35"/>
        <v/>
      </c>
      <c r="Z66" s="233"/>
    </row>
    <row r="67" spans="2:26" x14ac:dyDescent="0.2">
      <c r="B67" s="70">
        <f t="shared" si="20"/>
        <v>64</v>
      </c>
      <c r="C67" s="209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277" t="str">
        <f t="shared" si="35"/>
        <v/>
      </c>
      <c r="Z67" s="233"/>
    </row>
    <row r="68" spans="2:26" x14ac:dyDescent="0.2">
      <c r="B68" s="70">
        <f t="shared" ref="B68:B103" si="38">B67+1</f>
        <v>65</v>
      </c>
      <c r="C68" s="209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277" t="str">
        <f t="shared" ref="U68:U103" si="53">IF(L68="","",IF(S68="","",-L68/S68))</f>
        <v/>
      </c>
      <c r="Z68" s="233"/>
    </row>
    <row r="69" spans="2:26" x14ac:dyDescent="0.2">
      <c r="B69" s="70">
        <f t="shared" si="38"/>
        <v>66</v>
      </c>
      <c r="C69" s="209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277" t="str">
        <f t="shared" si="53"/>
        <v/>
      </c>
      <c r="Z69" s="233"/>
    </row>
    <row r="70" spans="2:26" x14ac:dyDescent="0.2">
      <c r="B70" s="70">
        <f t="shared" si="38"/>
        <v>67</v>
      </c>
      <c r="C70" s="209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277" t="str">
        <f t="shared" si="53"/>
        <v/>
      </c>
      <c r="Z70" s="233"/>
    </row>
    <row r="71" spans="2:26" x14ac:dyDescent="0.2">
      <c r="B71" s="70">
        <f t="shared" si="38"/>
        <v>68</v>
      </c>
      <c r="C71" s="209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277" t="str">
        <f t="shared" si="53"/>
        <v/>
      </c>
      <c r="Z71" s="233"/>
    </row>
    <row r="72" spans="2:26" x14ac:dyDescent="0.2">
      <c r="B72" s="70">
        <f t="shared" si="38"/>
        <v>69</v>
      </c>
      <c r="C72" s="209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277" t="str">
        <f t="shared" si="53"/>
        <v/>
      </c>
      <c r="Z72" s="233"/>
    </row>
    <row r="73" spans="2:26" x14ac:dyDescent="0.2">
      <c r="B73" s="70">
        <f t="shared" si="38"/>
        <v>70</v>
      </c>
      <c r="C73" s="209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277" t="str">
        <f t="shared" si="53"/>
        <v/>
      </c>
      <c r="Z73" s="233"/>
    </row>
    <row r="74" spans="2:26" x14ac:dyDescent="0.2">
      <c r="B74" s="70">
        <f t="shared" si="38"/>
        <v>71</v>
      </c>
      <c r="C74" s="209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277" t="str">
        <f t="shared" si="53"/>
        <v/>
      </c>
      <c r="Z74" s="233"/>
    </row>
    <row r="75" spans="2:26" x14ac:dyDescent="0.2">
      <c r="B75" s="70">
        <f t="shared" si="38"/>
        <v>72</v>
      </c>
      <c r="C75" s="209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277" t="str">
        <f t="shared" si="53"/>
        <v/>
      </c>
      <c r="Z75" s="233"/>
    </row>
    <row r="76" spans="2:26" x14ac:dyDescent="0.2">
      <c r="B76" s="70">
        <f t="shared" si="38"/>
        <v>73</v>
      </c>
      <c r="C76" s="209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277" t="str">
        <f t="shared" si="53"/>
        <v/>
      </c>
      <c r="Z76" s="233"/>
    </row>
    <row r="77" spans="2:26" x14ac:dyDescent="0.2">
      <c r="B77" s="70">
        <f t="shared" si="38"/>
        <v>74</v>
      </c>
      <c r="C77" s="209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277" t="str">
        <f t="shared" si="53"/>
        <v/>
      </c>
      <c r="Z77" s="233"/>
    </row>
    <row r="78" spans="2:26" x14ac:dyDescent="0.2">
      <c r="B78" s="70">
        <f t="shared" si="38"/>
        <v>75</v>
      </c>
      <c r="C78" s="209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277" t="str">
        <f t="shared" si="53"/>
        <v/>
      </c>
      <c r="Z78" s="233"/>
    </row>
    <row r="79" spans="2:26" x14ac:dyDescent="0.2">
      <c r="B79" s="70">
        <f t="shared" si="38"/>
        <v>76</v>
      </c>
      <c r="C79" s="209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277" t="str">
        <f t="shared" si="53"/>
        <v/>
      </c>
      <c r="Z79" s="233"/>
    </row>
    <row r="80" spans="2:26" x14ac:dyDescent="0.2">
      <c r="B80" s="70">
        <f t="shared" si="38"/>
        <v>77</v>
      </c>
      <c r="C80" s="209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277" t="str">
        <f t="shared" si="53"/>
        <v/>
      </c>
      <c r="Z80" s="233"/>
    </row>
    <row r="81" spans="2:26" x14ac:dyDescent="0.2">
      <c r="B81" s="70">
        <f t="shared" si="38"/>
        <v>78</v>
      </c>
      <c r="C81" s="209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277" t="str">
        <f t="shared" si="53"/>
        <v/>
      </c>
      <c r="Z81" s="233"/>
    </row>
    <row r="82" spans="2:26" x14ac:dyDescent="0.2">
      <c r="B82" s="70">
        <f t="shared" si="38"/>
        <v>79</v>
      </c>
      <c r="C82" s="209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277" t="str">
        <f t="shared" si="53"/>
        <v/>
      </c>
      <c r="Z82" s="233"/>
    </row>
    <row r="83" spans="2:26" x14ac:dyDescent="0.2">
      <c r="B83" s="70">
        <f t="shared" si="38"/>
        <v>80</v>
      </c>
      <c r="C83" s="209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277" t="str">
        <f t="shared" si="53"/>
        <v/>
      </c>
      <c r="Z83" s="233"/>
    </row>
    <row r="84" spans="2:26" x14ac:dyDescent="0.2">
      <c r="B84" s="70">
        <f t="shared" si="38"/>
        <v>81</v>
      </c>
      <c r="C84" s="209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277" t="str">
        <f t="shared" si="53"/>
        <v/>
      </c>
      <c r="Z84" s="233"/>
    </row>
    <row r="85" spans="2:26" x14ac:dyDescent="0.2">
      <c r="B85" s="70">
        <f t="shared" si="38"/>
        <v>82</v>
      </c>
      <c r="C85" s="209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277" t="str">
        <f t="shared" si="53"/>
        <v/>
      </c>
      <c r="Z85" s="233"/>
    </row>
    <row r="86" spans="2:26" x14ac:dyDescent="0.2">
      <c r="B86" s="70">
        <f t="shared" si="38"/>
        <v>83</v>
      </c>
      <c r="C86" s="209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277" t="str">
        <f t="shared" si="53"/>
        <v/>
      </c>
      <c r="Z86" s="233"/>
    </row>
    <row r="87" spans="2:26" x14ac:dyDescent="0.2">
      <c r="B87" s="70">
        <f t="shared" si="38"/>
        <v>84</v>
      </c>
      <c r="C87" s="209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277" t="str">
        <f t="shared" si="53"/>
        <v/>
      </c>
      <c r="Z87" s="233"/>
    </row>
    <row r="88" spans="2:26" x14ac:dyDescent="0.2">
      <c r="B88" s="70">
        <f t="shared" si="38"/>
        <v>85</v>
      </c>
      <c r="C88" s="209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277" t="str">
        <f t="shared" si="53"/>
        <v/>
      </c>
      <c r="Z88" s="233"/>
    </row>
    <row r="89" spans="2:26" x14ac:dyDescent="0.2">
      <c r="B89" s="70">
        <f t="shared" si="38"/>
        <v>86</v>
      </c>
      <c r="C89" s="209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277" t="str">
        <f t="shared" si="53"/>
        <v/>
      </c>
      <c r="Z89" s="233"/>
    </row>
    <row r="90" spans="2:26" x14ac:dyDescent="0.2">
      <c r="B90" s="70">
        <f t="shared" si="38"/>
        <v>87</v>
      </c>
      <c r="C90" s="209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277" t="str">
        <f t="shared" si="53"/>
        <v/>
      </c>
      <c r="Z90" s="233"/>
    </row>
    <row r="91" spans="2:26" x14ac:dyDescent="0.2">
      <c r="B91" s="70">
        <f t="shared" si="38"/>
        <v>88</v>
      </c>
      <c r="C91" s="209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277" t="str">
        <f t="shared" si="53"/>
        <v/>
      </c>
      <c r="Z91" s="233"/>
    </row>
    <row r="92" spans="2:26" x14ac:dyDescent="0.2">
      <c r="B92" s="70">
        <f t="shared" si="38"/>
        <v>89</v>
      </c>
      <c r="C92" s="209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277" t="str">
        <f t="shared" si="53"/>
        <v/>
      </c>
      <c r="Z92" s="233"/>
    </row>
    <row r="93" spans="2:26" x14ac:dyDescent="0.2">
      <c r="B93" s="70">
        <f t="shared" si="38"/>
        <v>90</v>
      </c>
      <c r="C93" s="209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277" t="str">
        <f t="shared" si="53"/>
        <v/>
      </c>
      <c r="Z93" s="233"/>
    </row>
    <row r="94" spans="2:26" x14ac:dyDescent="0.2">
      <c r="B94" s="70">
        <f t="shared" si="38"/>
        <v>91</v>
      </c>
      <c r="C94" s="209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277" t="str">
        <f t="shared" si="53"/>
        <v/>
      </c>
      <c r="Z94" s="233"/>
    </row>
    <row r="95" spans="2:26" x14ac:dyDescent="0.2">
      <c r="B95" s="70">
        <f t="shared" si="38"/>
        <v>92</v>
      </c>
      <c r="C95" s="209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277" t="str">
        <f t="shared" si="53"/>
        <v/>
      </c>
      <c r="Z95" s="233"/>
    </row>
    <row r="96" spans="2:26" x14ac:dyDescent="0.2">
      <c r="B96" s="70">
        <f t="shared" si="38"/>
        <v>93</v>
      </c>
      <c r="C96" s="209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277" t="str">
        <f t="shared" si="53"/>
        <v/>
      </c>
      <c r="Z96" s="233"/>
    </row>
    <row r="97" spans="2:26" x14ac:dyDescent="0.2">
      <c r="B97" s="70">
        <f t="shared" si="38"/>
        <v>94</v>
      </c>
      <c r="C97" s="209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277" t="str">
        <f t="shared" si="53"/>
        <v/>
      </c>
      <c r="Z97" s="233"/>
    </row>
    <row r="98" spans="2:26" x14ac:dyDescent="0.2">
      <c r="B98" s="70">
        <f t="shared" si="38"/>
        <v>95</v>
      </c>
      <c r="C98" s="209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277" t="str">
        <f t="shared" si="53"/>
        <v/>
      </c>
      <c r="Z98" s="233"/>
    </row>
    <row r="99" spans="2:26" x14ac:dyDescent="0.2">
      <c r="B99" s="70">
        <f t="shared" si="38"/>
        <v>96</v>
      </c>
      <c r="C99" s="209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277" t="str">
        <f t="shared" si="53"/>
        <v/>
      </c>
      <c r="Z99" s="233"/>
    </row>
    <row r="100" spans="2:26" x14ac:dyDescent="0.2">
      <c r="B100" s="70">
        <f t="shared" si="38"/>
        <v>97</v>
      </c>
      <c r="C100" s="209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277" t="str">
        <f t="shared" si="53"/>
        <v/>
      </c>
      <c r="Z100" s="233"/>
    </row>
    <row r="101" spans="2:26" x14ac:dyDescent="0.2">
      <c r="B101" s="70">
        <f t="shared" si="38"/>
        <v>98</v>
      </c>
      <c r="C101" s="209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277" t="str">
        <f t="shared" si="53"/>
        <v/>
      </c>
      <c r="Z101" s="233"/>
    </row>
    <row r="102" spans="2:26" x14ac:dyDescent="0.2">
      <c r="B102" s="70">
        <f t="shared" si="38"/>
        <v>99</v>
      </c>
      <c r="C102" s="209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277" t="str">
        <f t="shared" si="53"/>
        <v/>
      </c>
      <c r="Z102" s="233"/>
    </row>
    <row r="103" spans="2:26" ht="13.5" thickBot="1" x14ac:dyDescent="0.25">
      <c r="B103" s="71">
        <f t="shared" si="38"/>
        <v>100</v>
      </c>
      <c r="C103" s="210" t="str">
        <f>CRes!J102</f>
        <v/>
      </c>
      <c r="D103" s="8" t="str">
        <f>IF(C103="","",D102+1)</f>
        <v/>
      </c>
      <c r="E103" s="34" t="str">
        <f t="shared" si="40"/>
        <v/>
      </c>
      <c r="F103" s="34" t="str">
        <f>IF(E103="","",X$4+E103)</f>
        <v/>
      </c>
      <c r="G103" s="34" t="str">
        <f>IF(F103="","",SLOPE(F$3:F103,B$3:B103))</f>
        <v/>
      </c>
      <c r="H103" s="62" t="str">
        <f t="shared" si="37"/>
        <v/>
      </c>
      <c r="I103" s="34" t="str">
        <f t="shared" si="41"/>
        <v/>
      </c>
      <c r="J103" s="8" t="str">
        <f t="shared" si="42"/>
        <v/>
      </c>
      <c r="K103" s="63" t="str">
        <f t="shared" si="43"/>
        <v/>
      </c>
      <c r="L103" s="34" t="str">
        <f>IF(C103="","",IF(K103=0,"",I103/K103))</f>
        <v/>
      </c>
      <c r="M103" s="8" t="str">
        <f t="shared" si="45"/>
        <v/>
      </c>
      <c r="N103" s="34" t="str">
        <f t="shared" si="46"/>
        <v/>
      </c>
      <c r="O103" s="34" t="str">
        <f t="shared" si="47"/>
        <v/>
      </c>
      <c r="P103" s="8" t="str">
        <f t="shared" si="48"/>
        <v/>
      </c>
      <c r="Q103" s="63" t="str">
        <f t="shared" si="49"/>
        <v/>
      </c>
      <c r="R103" s="8" t="str">
        <f t="shared" si="50"/>
        <v/>
      </c>
      <c r="S103" s="34" t="str">
        <f t="shared" si="51"/>
        <v/>
      </c>
      <c r="T103" s="18" t="str">
        <f t="shared" si="52"/>
        <v/>
      </c>
      <c r="U103" s="278" t="str">
        <f t="shared" si="53"/>
        <v/>
      </c>
      <c r="Z103" s="234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  <mergeCell ref="B1:B2"/>
    <mergeCell ref="I1:I2"/>
    <mergeCell ref="C1:C2"/>
    <mergeCell ref="D1:D2"/>
    <mergeCell ref="E1:E2"/>
    <mergeCell ref="F1:F2"/>
    <mergeCell ref="H1:H2"/>
    <mergeCell ref="G1:G2"/>
    <mergeCell ref="M1:M2"/>
    <mergeCell ref="N1:N2"/>
    <mergeCell ref="J1:J2"/>
    <mergeCell ref="K1:K2"/>
    <mergeCell ref="O1:O2"/>
    <mergeCell ref="L1:L2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N10" sqref="N10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79"/>
    </row>
    <row r="25" spans="1:1" x14ac:dyDescent="0.2">
      <c r="A25" s="279"/>
    </row>
    <row r="26" spans="1:1" x14ac:dyDescent="0.2">
      <c r="A26" s="280"/>
    </row>
    <row r="27" spans="1:1" x14ac:dyDescent="0.2">
      <c r="A27" s="281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A7" sqref="A7"/>
    </sheetView>
  </sheetViews>
  <sheetFormatPr defaultRowHeight="12.75" x14ac:dyDescent="0.2"/>
  <cols>
    <col min="15" max="15" width="9.140625" style="119"/>
  </cols>
  <sheetData>
    <row r="1" spans="1:1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>
        <v>42741</v>
      </c>
      <c r="B3" s="130">
        <v>0</v>
      </c>
      <c r="C3" s="22">
        <f t="shared" ref="C3:C66" si="0">IF(B3="","",C2+B3)</f>
        <v>33112.58</v>
      </c>
      <c r="D3" s="130">
        <v>33149.65</v>
      </c>
      <c r="E3" s="22">
        <f t="shared" ref="E3:E66" si="1">IF(B3="","",IF(D3="","",D3-D2-B3))</f>
        <v>37.069999999999709</v>
      </c>
      <c r="F3" s="22">
        <f t="shared" ref="F3:F66" si="2">IF(E3="","",F2+E3)</f>
        <v>37.069999999999709</v>
      </c>
      <c r="G3" s="125">
        <f>IF(E3="","",100*E3/C3)</f>
        <v>0.1119514094039175</v>
      </c>
      <c r="H3" s="22">
        <f t="shared" ref="H3:H66" si="3">IF(F3="","",100*(F3/C3))</f>
        <v>0.11195140940391751</v>
      </c>
      <c r="I3" s="130">
        <v>33149.65</v>
      </c>
      <c r="J3" s="22">
        <f t="shared" ref="J3:J66" si="4">IF(B3="","",IF(I3="","",I3-I2-B3))</f>
        <v>37.069999999999709</v>
      </c>
      <c r="K3" s="22">
        <f t="shared" ref="K3:K66" si="5">IF(J3="","",K2+J3)</f>
        <v>37.069999999999709</v>
      </c>
      <c r="L3" s="125">
        <f t="shared" ref="L3:L67" si="6">IF(J3="","",100*J3/(I2+0.5*B3))</f>
        <v>0.1119514094039175</v>
      </c>
      <c r="M3" s="22">
        <f t="shared" ref="M3:M66" si="7">IF(K3="","",100*K3/C3)</f>
        <v>0.1119514094039175</v>
      </c>
      <c r="N3" s="22">
        <f t="shared" ref="N3:N66" si="8">IF(D3="","",IF(I3="","",I3-D3))</f>
        <v>0</v>
      </c>
      <c r="O3" s="127"/>
    </row>
    <row r="4" spans="1:15" x14ac:dyDescent="0.2">
      <c r="A4" s="21">
        <v>42748</v>
      </c>
      <c r="B4" s="126">
        <v>0</v>
      </c>
      <c r="C4" s="22">
        <f t="shared" si="0"/>
        <v>33112.58</v>
      </c>
      <c r="D4" s="126">
        <v>33273.660000000003</v>
      </c>
      <c r="E4" s="22">
        <f t="shared" si="1"/>
        <v>124.01000000000204</v>
      </c>
      <c r="F4" s="22">
        <f t="shared" si="2"/>
        <v>161.08000000000175</v>
      </c>
      <c r="G4" s="125">
        <f t="shared" ref="G4:G67" si="9">IF(E4="","",100*E4/(D3+0.5*B4))</f>
        <v>0.37409143082959256</v>
      </c>
      <c r="H4" s="22">
        <f t="shared" si="3"/>
        <v>0.4864616408627831</v>
      </c>
      <c r="I4" s="126">
        <v>33273.660000000003</v>
      </c>
      <c r="J4" s="22">
        <f t="shared" si="4"/>
        <v>124.01000000000204</v>
      </c>
      <c r="K4" s="22">
        <f t="shared" si="5"/>
        <v>161.08000000000175</v>
      </c>
      <c r="L4" s="125">
        <f t="shared" si="6"/>
        <v>0.37409143082959256</v>
      </c>
      <c r="M4" s="22">
        <f t="shared" si="7"/>
        <v>0.4864616408627831</v>
      </c>
      <c r="N4" s="22">
        <f t="shared" si="8"/>
        <v>0</v>
      </c>
      <c r="O4" s="127"/>
    </row>
    <row r="5" spans="1:15" x14ac:dyDescent="0.2">
      <c r="A5" s="21">
        <v>42755</v>
      </c>
      <c r="B5" s="126">
        <v>0</v>
      </c>
      <c r="C5" s="22">
        <f t="shared" si="0"/>
        <v>33112.58</v>
      </c>
      <c r="D5" s="126">
        <v>33348.019999999997</v>
      </c>
      <c r="E5" s="22">
        <f t="shared" si="1"/>
        <v>74.359999999993306</v>
      </c>
      <c r="F5" s="22">
        <f t="shared" si="2"/>
        <v>235.43999999999505</v>
      </c>
      <c r="G5" s="125">
        <f t="shared" si="9"/>
        <v>0.22348007402850573</v>
      </c>
      <c r="H5" s="22">
        <f t="shared" si="3"/>
        <v>0.71102885972640928</v>
      </c>
      <c r="I5" s="126">
        <v>33348.019999999997</v>
      </c>
      <c r="J5" s="22">
        <f t="shared" si="4"/>
        <v>74.359999999993306</v>
      </c>
      <c r="K5" s="22">
        <f t="shared" si="5"/>
        <v>235.43999999999505</v>
      </c>
      <c r="L5" s="125">
        <f t="shared" si="6"/>
        <v>0.22348007402850573</v>
      </c>
      <c r="M5" s="22">
        <f t="shared" si="7"/>
        <v>0.71102885972640928</v>
      </c>
      <c r="N5" s="22">
        <f t="shared" si="8"/>
        <v>0</v>
      </c>
      <c r="O5" s="127"/>
    </row>
    <row r="6" spans="1:15" x14ac:dyDescent="0.2">
      <c r="A6" s="21">
        <v>42762</v>
      </c>
      <c r="B6" s="126">
        <v>0</v>
      </c>
      <c r="C6" s="22">
        <f t="shared" si="0"/>
        <v>33112.58</v>
      </c>
      <c r="D6" s="126">
        <v>33911.51</v>
      </c>
      <c r="E6" s="22">
        <f t="shared" si="1"/>
        <v>563.49000000000524</v>
      </c>
      <c r="F6" s="22">
        <f t="shared" si="2"/>
        <v>798.93000000000029</v>
      </c>
      <c r="G6" s="125">
        <f t="shared" si="9"/>
        <v>1.6897255069416575</v>
      </c>
      <c r="H6" s="22">
        <f t="shared" si="3"/>
        <v>2.4127688026725802</v>
      </c>
      <c r="I6" s="126">
        <v>33911.51</v>
      </c>
      <c r="J6" s="22">
        <f t="shared" si="4"/>
        <v>563.49000000000524</v>
      </c>
      <c r="K6" s="22">
        <f t="shared" si="5"/>
        <v>798.93000000000029</v>
      </c>
      <c r="L6" s="125">
        <f t="shared" si="6"/>
        <v>1.6897255069416575</v>
      </c>
      <c r="M6" s="22">
        <f t="shared" si="7"/>
        <v>2.4127688026725802</v>
      </c>
      <c r="N6" s="22">
        <f t="shared" si="8"/>
        <v>0</v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9"/>
        <v/>
      </c>
      <c r="H7" s="22" t="str">
        <f t="shared" si="3"/>
        <v/>
      </c>
      <c r="I7" s="126"/>
      <c r="J7" s="22" t="str">
        <f t="shared" si="4"/>
        <v/>
      </c>
      <c r="K7" s="22" t="str">
        <f t="shared" si="5"/>
        <v/>
      </c>
      <c r="L7" s="125" t="str">
        <f t="shared" si="6"/>
        <v/>
      </c>
      <c r="M7" s="22" t="str">
        <f t="shared" si="7"/>
        <v/>
      </c>
      <c r="N7" s="22" t="str">
        <f t="shared" si="8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9"/>
        <v/>
      </c>
      <c r="H8" s="22" t="str">
        <f t="shared" si="3"/>
        <v/>
      </c>
      <c r="I8" s="126"/>
      <c r="J8" s="22" t="str">
        <f t="shared" si="4"/>
        <v/>
      </c>
      <c r="K8" s="22" t="str">
        <f t="shared" si="5"/>
        <v/>
      </c>
      <c r="L8" s="125" t="str">
        <f t="shared" si="6"/>
        <v/>
      </c>
      <c r="M8" s="22" t="str">
        <f t="shared" si="7"/>
        <v/>
      </c>
      <c r="N8" s="22" t="str">
        <f t="shared" si="8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9"/>
        <v/>
      </c>
      <c r="H9" s="22" t="str">
        <f t="shared" si="3"/>
        <v/>
      </c>
      <c r="I9" s="126"/>
      <c r="J9" s="22" t="str">
        <f t="shared" si="4"/>
        <v/>
      </c>
      <c r="K9" s="22" t="str">
        <f t="shared" si="5"/>
        <v/>
      </c>
      <c r="L9" s="125" t="str">
        <f t="shared" si="6"/>
        <v/>
      </c>
      <c r="M9" s="22" t="str">
        <f t="shared" si="7"/>
        <v/>
      </c>
      <c r="N9" s="22" t="str">
        <f t="shared" si="8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9"/>
        <v/>
      </c>
      <c r="H10" s="22" t="str">
        <f t="shared" si="3"/>
        <v/>
      </c>
      <c r="I10" s="126"/>
      <c r="J10" s="22" t="str">
        <f t="shared" si="4"/>
        <v/>
      </c>
      <c r="K10" s="22" t="str">
        <f t="shared" si="5"/>
        <v/>
      </c>
      <c r="L10" s="125" t="str">
        <f t="shared" si="6"/>
        <v/>
      </c>
      <c r="M10" s="22" t="str">
        <f t="shared" si="7"/>
        <v/>
      </c>
      <c r="N10" s="22" t="str">
        <f t="shared" si="8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9"/>
        <v/>
      </c>
      <c r="H11" s="22" t="str">
        <f t="shared" si="3"/>
        <v/>
      </c>
      <c r="I11" s="126"/>
      <c r="J11" s="22" t="str">
        <f t="shared" si="4"/>
        <v/>
      </c>
      <c r="K11" s="22" t="str">
        <f t="shared" si="5"/>
        <v/>
      </c>
      <c r="L11" s="125" t="str">
        <f t="shared" si="6"/>
        <v/>
      </c>
      <c r="M11" s="22" t="str">
        <f t="shared" si="7"/>
        <v/>
      </c>
      <c r="N11" s="22" t="str">
        <f t="shared" si="8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9"/>
        <v/>
      </c>
      <c r="H12" s="22" t="str">
        <f t="shared" si="3"/>
        <v/>
      </c>
      <c r="I12" s="126"/>
      <c r="J12" s="22" t="str">
        <f t="shared" si="4"/>
        <v/>
      </c>
      <c r="K12" s="22" t="str">
        <f t="shared" si="5"/>
        <v/>
      </c>
      <c r="L12" s="125" t="str">
        <f t="shared" si="6"/>
        <v/>
      </c>
      <c r="M12" s="22" t="str">
        <f t="shared" si="7"/>
        <v/>
      </c>
      <c r="N12" s="22" t="str">
        <f t="shared" si="8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9"/>
        <v/>
      </c>
      <c r="H13" s="128" t="str">
        <f t="shared" si="3"/>
        <v/>
      </c>
      <c r="I13" s="126"/>
      <c r="J13" s="128" t="str">
        <f t="shared" si="4"/>
        <v/>
      </c>
      <c r="K13" s="128" t="str">
        <f t="shared" si="5"/>
        <v/>
      </c>
      <c r="L13" s="129" t="str">
        <f t="shared" si="6"/>
        <v/>
      </c>
      <c r="M13" s="128" t="str">
        <f t="shared" si="7"/>
        <v/>
      </c>
      <c r="N13" s="128" t="str">
        <f t="shared" si="8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9"/>
        <v/>
      </c>
      <c r="H14" s="22" t="str">
        <f t="shared" si="3"/>
        <v/>
      </c>
      <c r="I14" s="126"/>
      <c r="J14" s="22" t="str">
        <f t="shared" si="4"/>
        <v/>
      </c>
      <c r="K14" s="22" t="str">
        <f t="shared" si="5"/>
        <v/>
      </c>
      <c r="L14" s="125" t="str">
        <f t="shared" si="6"/>
        <v/>
      </c>
      <c r="M14" s="22" t="str">
        <f t="shared" si="7"/>
        <v/>
      </c>
      <c r="N14" s="22" t="str">
        <f t="shared" si="8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9"/>
        <v/>
      </c>
      <c r="H15" s="22" t="str">
        <f t="shared" si="3"/>
        <v/>
      </c>
      <c r="I15" s="126"/>
      <c r="J15" s="22" t="str">
        <f t="shared" si="4"/>
        <v/>
      </c>
      <c r="K15" s="22" t="str">
        <f t="shared" si="5"/>
        <v/>
      </c>
      <c r="L15" s="125" t="str">
        <f t="shared" si="6"/>
        <v/>
      </c>
      <c r="M15" s="22" t="str">
        <f t="shared" si="7"/>
        <v/>
      </c>
      <c r="N15" s="22" t="str">
        <f t="shared" si="8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9"/>
        <v/>
      </c>
      <c r="H16" s="22" t="str">
        <f t="shared" si="3"/>
        <v/>
      </c>
      <c r="I16" s="126"/>
      <c r="J16" s="22" t="str">
        <f t="shared" si="4"/>
        <v/>
      </c>
      <c r="K16" s="22" t="str">
        <f t="shared" si="5"/>
        <v/>
      </c>
      <c r="L16" s="125" t="str">
        <f t="shared" si="6"/>
        <v/>
      </c>
      <c r="M16" s="22" t="str">
        <f t="shared" si="7"/>
        <v/>
      </c>
      <c r="N16" s="22" t="str">
        <f t="shared" si="8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9"/>
        <v/>
      </c>
      <c r="H17" s="22" t="str">
        <f t="shared" si="3"/>
        <v/>
      </c>
      <c r="I17" s="126"/>
      <c r="J17" s="22" t="str">
        <f t="shared" si="4"/>
        <v/>
      </c>
      <c r="K17" s="22" t="str">
        <f t="shared" si="5"/>
        <v/>
      </c>
      <c r="L17" s="125" t="str">
        <f t="shared" si="6"/>
        <v/>
      </c>
      <c r="M17" s="22" t="str">
        <f t="shared" si="7"/>
        <v/>
      </c>
      <c r="N17" s="22" t="str">
        <f t="shared" si="8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9"/>
        <v/>
      </c>
      <c r="H18" s="22" t="str">
        <f t="shared" si="3"/>
        <v/>
      </c>
      <c r="I18" s="126"/>
      <c r="J18" s="22" t="str">
        <f t="shared" si="4"/>
        <v/>
      </c>
      <c r="K18" s="22" t="str">
        <f t="shared" si="5"/>
        <v/>
      </c>
      <c r="L18" s="125" t="str">
        <f t="shared" si="6"/>
        <v/>
      </c>
      <c r="M18" s="22" t="str">
        <f t="shared" si="7"/>
        <v/>
      </c>
      <c r="N18" s="22" t="str">
        <f t="shared" si="8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9"/>
        <v/>
      </c>
      <c r="H19" s="22" t="str">
        <f t="shared" si="3"/>
        <v/>
      </c>
      <c r="I19" s="126"/>
      <c r="J19" s="22" t="str">
        <f t="shared" si="4"/>
        <v/>
      </c>
      <c r="K19" s="22" t="str">
        <f t="shared" si="5"/>
        <v/>
      </c>
      <c r="L19" s="125" t="str">
        <f t="shared" si="6"/>
        <v/>
      </c>
      <c r="M19" s="22" t="str">
        <f t="shared" si="7"/>
        <v/>
      </c>
      <c r="N19" s="22" t="str">
        <f t="shared" si="8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9"/>
        <v/>
      </c>
      <c r="H20" s="22" t="str">
        <f t="shared" si="3"/>
        <v/>
      </c>
      <c r="I20" s="126"/>
      <c r="J20" s="22" t="str">
        <f t="shared" si="4"/>
        <v/>
      </c>
      <c r="K20" s="22" t="str">
        <f t="shared" si="5"/>
        <v/>
      </c>
      <c r="L20" s="125" t="str">
        <f t="shared" si="6"/>
        <v/>
      </c>
      <c r="M20" s="22" t="str">
        <f t="shared" si="7"/>
        <v/>
      </c>
      <c r="N20" s="22" t="str">
        <f t="shared" si="8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9"/>
        <v/>
      </c>
      <c r="H21" s="22" t="str">
        <f t="shared" si="3"/>
        <v/>
      </c>
      <c r="I21" s="126"/>
      <c r="J21" s="22" t="str">
        <f t="shared" si="4"/>
        <v/>
      </c>
      <c r="K21" s="22" t="str">
        <f t="shared" si="5"/>
        <v/>
      </c>
      <c r="L21" s="125" t="str">
        <f t="shared" si="6"/>
        <v/>
      </c>
      <c r="M21" s="22" t="str">
        <f t="shared" si="7"/>
        <v/>
      </c>
      <c r="N21" s="22" t="str">
        <f t="shared" si="8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9"/>
        <v/>
      </c>
      <c r="H22" s="22" t="str">
        <f t="shared" si="3"/>
        <v/>
      </c>
      <c r="I22" s="126"/>
      <c r="J22" s="22" t="str">
        <f t="shared" si="4"/>
        <v/>
      </c>
      <c r="K22" s="22" t="str">
        <f t="shared" si="5"/>
        <v/>
      </c>
      <c r="L22" s="125" t="str">
        <f t="shared" si="6"/>
        <v/>
      </c>
      <c r="M22" s="22" t="str">
        <f t="shared" si="7"/>
        <v/>
      </c>
      <c r="N22" s="22" t="str">
        <f t="shared" si="8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9"/>
        <v/>
      </c>
      <c r="H23" s="128" t="str">
        <f t="shared" si="3"/>
        <v/>
      </c>
      <c r="I23" s="126"/>
      <c r="J23" s="128" t="str">
        <f t="shared" si="4"/>
        <v/>
      </c>
      <c r="K23" s="128" t="str">
        <f t="shared" si="5"/>
        <v/>
      </c>
      <c r="L23" s="129" t="str">
        <f t="shared" si="6"/>
        <v/>
      </c>
      <c r="M23" s="128" t="str">
        <f t="shared" si="7"/>
        <v/>
      </c>
      <c r="N23" s="128" t="str">
        <f t="shared" si="8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9"/>
        <v/>
      </c>
      <c r="H24" s="22" t="str">
        <f t="shared" si="3"/>
        <v/>
      </c>
      <c r="I24" s="126"/>
      <c r="J24" s="22" t="str">
        <f t="shared" si="4"/>
        <v/>
      </c>
      <c r="K24" s="22" t="str">
        <f t="shared" si="5"/>
        <v/>
      </c>
      <c r="L24" s="125" t="str">
        <f t="shared" si="6"/>
        <v/>
      </c>
      <c r="M24" s="22" t="str">
        <f t="shared" si="7"/>
        <v/>
      </c>
      <c r="N24" s="22" t="str">
        <f t="shared" si="8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9"/>
        <v/>
      </c>
      <c r="H25" s="22" t="str">
        <f t="shared" si="3"/>
        <v/>
      </c>
      <c r="I25" s="126"/>
      <c r="J25" s="22" t="str">
        <f t="shared" si="4"/>
        <v/>
      </c>
      <c r="K25" s="22" t="str">
        <f t="shared" si="5"/>
        <v/>
      </c>
      <c r="L25" s="125" t="str">
        <f t="shared" si="6"/>
        <v/>
      </c>
      <c r="M25" s="22" t="str">
        <f t="shared" si="7"/>
        <v/>
      </c>
      <c r="N25" s="22" t="str">
        <f t="shared" si="8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9"/>
        <v/>
      </c>
      <c r="H26" s="22" t="str">
        <f t="shared" si="3"/>
        <v/>
      </c>
      <c r="I26" s="126"/>
      <c r="J26" s="22" t="str">
        <f t="shared" si="4"/>
        <v/>
      </c>
      <c r="K26" s="22" t="str">
        <f t="shared" si="5"/>
        <v/>
      </c>
      <c r="L26" s="125" t="str">
        <f t="shared" si="6"/>
        <v/>
      </c>
      <c r="M26" s="22" t="str">
        <f t="shared" si="7"/>
        <v/>
      </c>
      <c r="N26" s="22" t="str">
        <f t="shared" si="8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9"/>
        <v/>
      </c>
      <c r="H27" s="22" t="str">
        <f t="shared" si="3"/>
        <v/>
      </c>
      <c r="I27" s="126"/>
      <c r="J27" s="22" t="str">
        <f t="shared" si="4"/>
        <v/>
      </c>
      <c r="K27" s="22" t="str">
        <f t="shared" si="5"/>
        <v/>
      </c>
      <c r="L27" s="125" t="str">
        <f t="shared" si="6"/>
        <v/>
      </c>
      <c r="M27" s="22" t="str">
        <f t="shared" si="7"/>
        <v/>
      </c>
      <c r="N27" s="22" t="str">
        <f t="shared" si="8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9"/>
        <v/>
      </c>
      <c r="H28" s="22" t="str">
        <f t="shared" si="3"/>
        <v/>
      </c>
      <c r="I28" s="126"/>
      <c r="J28" s="22" t="str">
        <f t="shared" si="4"/>
        <v/>
      </c>
      <c r="K28" s="22" t="str">
        <f t="shared" si="5"/>
        <v/>
      </c>
      <c r="L28" s="125" t="str">
        <f t="shared" si="6"/>
        <v/>
      </c>
      <c r="M28" s="22" t="str">
        <f t="shared" si="7"/>
        <v/>
      </c>
      <c r="N28" s="22" t="str">
        <f t="shared" si="8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9"/>
        <v/>
      </c>
      <c r="H29" s="22" t="str">
        <f t="shared" si="3"/>
        <v/>
      </c>
      <c r="I29" s="126"/>
      <c r="J29" s="22" t="str">
        <f t="shared" si="4"/>
        <v/>
      </c>
      <c r="K29" s="22" t="str">
        <f t="shared" si="5"/>
        <v/>
      </c>
      <c r="L29" s="125" t="str">
        <f t="shared" si="6"/>
        <v/>
      </c>
      <c r="M29" s="22" t="str">
        <f t="shared" si="7"/>
        <v/>
      </c>
      <c r="N29" s="22" t="str">
        <f t="shared" si="8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9"/>
        <v/>
      </c>
      <c r="H30" s="22" t="str">
        <f t="shared" si="3"/>
        <v/>
      </c>
      <c r="I30" s="126"/>
      <c r="J30" s="22" t="str">
        <f t="shared" si="4"/>
        <v/>
      </c>
      <c r="K30" s="22" t="str">
        <f t="shared" si="5"/>
        <v/>
      </c>
      <c r="L30" s="125" t="str">
        <f t="shared" si="6"/>
        <v/>
      </c>
      <c r="M30" s="22" t="str">
        <f t="shared" si="7"/>
        <v/>
      </c>
      <c r="N30" s="22" t="str">
        <f t="shared" si="8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9"/>
        <v/>
      </c>
      <c r="H31" s="22" t="str">
        <f t="shared" si="3"/>
        <v/>
      </c>
      <c r="I31" s="126"/>
      <c r="J31" s="22" t="str">
        <f t="shared" si="4"/>
        <v/>
      </c>
      <c r="K31" s="22" t="str">
        <f t="shared" si="5"/>
        <v/>
      </c>
      <c r="L31" s="125" t="str">
        <f t="shared" si="6"/>
        <v/>
      </c>
      <c r="M31" s="22" t="str">
        <f t="shared" si="7"/>
        <v/>
      </c>
      <c r="N31" s="22" t="str">
        <f t="shared" si="8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9"/>
        <v/>
      </c>
      <c r="H32" s="22" t="str">
        <f t="shared" si="3"/>
        <v/>
      </c>
      <c r="I32" s="126"/>
      <c r="J32" s="22" t="str">
        <f t="shared" si="4"/>
        <v/>
      </c>
      <c r="K32" s="22" t="str">
        <f t="shared" si="5"/>
        <v/>
      </c>
      <c r="L32" s="125" t="str">
        <f t="shared" si="6"/>
        <v/>
      </c>
      <c r="M32" s="22" t="str">
        <f t="shared" si="7"/>
        <v/>
      </c>
      <c r="N32" s="22" t="str">
        <f t="shared" si="8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9"/>
        <v/>
      </c>
      <c r="H33" s="22" t="str">
        <f t="shared" si="3"/>
        <v/>
      </c>
      <c r="I33" s="126"/>
      <c r="J33" s="22" t="str">
        <f t="shared" si="4"/>
        <v/>
      </c>
      <c r="K33" s="22" t="str">
        <f t="shared" si="5"/>
        <v/>
      </c>
      <c r="L33" s="125" t="str">
        <f t="shared" si="6"/>
        <v/>
      </c>
      <c r="M33" s="22" t="str">
        <f t="shared" si="7"/>
        <v/>
      </c>
      <c r="N33" s="22" t="str">
        <f t="shared" si="8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9"/>
        <v/>
      </c>
      <c r="H34" s="22" t="str">
        <f t="shared" si="3"/>
        <v/>
      </c>
      <c r="I34" s="126"/>
      <c r="J34" s="22" t="str">
        <f t="shared" si="4"/>
        <v/>
      </c>
      <c r="K34" s="22" t="str">
        <f t="shared" si="5"/>
        <v/>
      </c>
      <c r="L34" s="125" t="str">
        <f t="shared" si="6"/>
        <v/>
      </c>
      <c r="M34" s="22" t="str">
        <f t="shared" si="7"/>
        <v/>
      </c>
      <c r="N34" s="22" t="str">
        <f t="shared" si="8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9"/>
        <v/>
      </c>
      <c r="H35" s="22" t="str">
        <f t="shared" si="3"/>
        <v/>
      </c>
      <c r="I35" s="126"/>
      <c r="J35" s="22" t="str">
        <f t="shared" si="4"/>
        <v/>
      </c>
      <c r="K35" s="22" t="str">
        <f t="shared" si="5"/>
        <v/>
      </c>
      <c r="L35" s="125" t="str">
        <f t="shared" si="6"/>
        <v/>
      </c>
      <c r="M35" s="22" t="str">
        <f t="shared" si="7"/>
        <v/>
      </c>
      <c r="N35" s="22" t="str">
        <f t="shared" si="8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9"/>
        <v/>
      </c>
      <c r="H36" s="22" t="str">
        <f t="shared" si="3"/>
        <v/>
      </c>
      <c r="I36" s="126"/>
      <c r="J36" s="22" t="str">
        <f t="shared" si="4"/>
        <v/>
      </c>
      <c r="K36" s="22" t="str">
        <f t="shared" si="5"/>
        <v/>
      </c>
      <c r="L36" s="125" t="str">
        <f t="shared" si="6"/>
        <v/>
      </c>
      <c r="M36" s="22" t="str">
        <f t="shared" si="7"/>
        <v/>
      </c>
      <c r="N36" s="22" t="str">
        <f t="shared" si="8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9"/>
        <v/>
      </c>
      <c r="H37" s="22" t="str">
        <f t="shared" si="3"/>
        <v/>
      </c>
      <c r="I37" s="126"/>
      <c r="J37" s="22" t="str">
        <f t="shared" si="4"/>
        <v/>
      </c>
      <c r="K37" s="22" t="str">
        <f t="shared" si="5"/>
        <v/>
      </c>
      <c r="L37" s="125" t="str">
        <f t="shared" si="6"/>
        <v/>
      </c>
      <c r="M37" s="22" t="str">
        <f t="shared" si="7"/>
        <v/>
      </c>
      <c r="N37" s="22" t="str">
        <f t="shared" si="8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9"/>
        <v/>
      </c>
      <c r="H38" s="22" t="str">
        <f t="shared" si="3"/>
        <v/>
      </c>
      <c r="I38" s="126"/>
      <c r="J38" s="22" t="str">
        <f t="shared" si="4"/>
        <v/>
      </c>
      <c r="K38" s="22" t="str">
        <f t="shared" si="5"/>
        <v/>
      </c>
      <c r="L38" s="125" t="str">
        <f t="shared" si="6"/>
        <v/>
      </c>
      <c r="M38" s="22" t="str">
        <f t="shared" si="7"/>
        <v/>
      </c>
      <c r="N38" s="22" t="str">
        <f t="shared" si="8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9"/>
        <v/>
      </c>
      <c r="H39" s="22" t="str">
        <f t="shared" si="3"/>
        <v/>
      </c>
      <c r="I39" s="126"/>
      <c r="J39" s="22" t="str">
        <f t="shared" si="4"/>
        <v/>
      </c>
      <c r="K39" s="22" t="str">
        <f t="shared" si="5"/>
        <v/>
      </c>
      <c r="L39" s="125" t="str">
        <f t="shared" si="6"/>
        <v/>
      </c>
      <c r="M39" s="22" t="str">
        <f t="shared" si="7"/>
        <v/>
      </c>
      <c r="N39" s="22" t="str">
        <f t="shared" si="8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9"/>
        <v/>
      </c>
      <c r="H40" s="22" t="str">
        <f t="shared" si="3"/>
        <v/>
      </c>
      <c r="I40" s="126"/>
      <c r="J40" s="22" t="str">
        <f t="shared" si="4"/>
        <v/>
      </c>
      <c r="K40" s="22" t="str">
        <f t="shared" si="5"/>
        <v/>
      </c>
      <c r="L40" s="125" t="str">
        <f t="shared" si="6"/>
        <v/>
      </c>
      <c r="M40" s="22" t="str">
        <f t="shared" si="7"/>
        <v/>
      </c>
      <c r="N40" s="22" t="str">
        <f t="shared" si="8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9"/>
        <v/>
      </c>
      <c r="H41" s="22" t="str">
        <f t="shared" si="3"/>
        <v/>
      </c>
      <c r="I41" s="126"/>
      <c r="J41" s="22" t="str">
        <f t="shared" si="4"/>
        <v/>
      </c>
      <c r="K41" s="22" t="str">
        <f t="shared" si="5"/>
        <v/>
      </c>
      <c r="L41" s="125" t="str">
        <f t="shared" si="6"/>
        <v/>
      </c>
      <c r="M41" s="22" t="str">
        <f t="shared" si="7"/>
        <v/>
      </c>
      <c r="N41" s="22" t="str">
        <f t="shared" si="8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9"/>
        <v/>
      </c>
      <c r="H42" s="22" t="str">
        <f t="shared" si="3"/>
        <v/>
      </c>
      <c r="I42" s="126"/>
      <c r="J42" s="22" t="str">
        <f t="shared" si="4"/>
        <v/>
      </c>
      <c r="K42" s="22" t="str">
        <f t="shared" si="5"/>
        <v/>
      </c>
      <c r="L42" s="125" t="str">
        <f t="shared" si="6"/>
        <v/>
      </c>
      <c r="M42" s="22" t="str">
        <f t="shared" si="7"/>
        <v/>
      </c>
      <c r="N42" s="22" t="str">
        <f t="shared" si="8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9"/>
        <v/>
      </c>
      <c r="H43" s="22" t="str">
        <f t="shared" si="3"/>
        <v/>
      </c>
      <c r="I43" s="126"/>
      <c r="J43" s="22" t="str">
        <f t="shared" si="4"/>
        <v/>
      </c>
      <c r="K43" s="22" t="str">
        <f t="shared" si="5"/>
        <v/>
      </c>
      <c r="L43" s="125" t="str">
        <f t="shared" si="6"/>
        <v/>
      </c>
      <c r="M43" s="22" t="str">
        <f t="shared" si="7"/>
        <v/>
      </c>
      <c r="N43" s="22" t="str">
        <f t="shared" si="8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9"/>
        <v/>
      </c>
      <c r="H44" s="22" t="str">
        <f t="shared" si="3"/>
        <v/>
      </c>
      <c r="I44" s="126"/>
      <c r="J44" s="22" t="str">
        <f t="shared" si="4"/>
        <v/>
      </c>
      <c r="K44" s="22" t="str">
        <f t="shared" si="5"/>
        <v/>
      </c>
      <c r="L44" s="125" t="str">
        <f t="shared" si="6"/>
        <v/>
      </c>
      <c r="M44" s="22" t="str">
        <f t="shared" si="7"/>
        <v/>
      </c>
      <c r="N44" s="22" t="str">
        <f t="shared" si="8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9"/>
        <v/>
      </c>
      <c r="H45" s="131" t="str">
        <f t="shared" si="3"/>
        <v/>
      </c>
      <c r="I45" s="133"/>
      <c r="J45" s="131" t="str">
        <f t="shared" si="4"/>
        <v/>
      </c>
      <c r="K45" s="131" t="str">
        <f t="shared" si="5"/>
        <v/>
      </c>
      <c r="L45" s="132" t="str">
        <f t="shared" si="6"/>
        <v/>
      </c>
      <c r="M45" s="131" t="str">
        <f t="shared" si="7"/>
        <v/>
      </c>
      <c r="N45" s="131" t="str">
        <f t="shared" si="8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9"/>
        <v/>
      </c>
      <c r="H46" s="22" t="str">
        <f t="shared" si="3"/>
        <v/>
      </c>
      <c r="I46" s="126"/>
      <c r="J46" s="22" t="str">
        <f t="shared" si="4"/>
        <v/>
      </c>
      <c r="K46" s="22" t="str">
        <f t="shared" si="5"/>
        <v/>
      </c>
      <c r="L46" s="125" t="str">
        <f t="shared" si="6"/>
        <v/>
      </c>
      <c r="M46" s="22" t="str">
        <f t="shared" si="7"/>
        <v/>
      </c>
      <c r="N46" s="22" t="str">
        <f t="shared" si="8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9"/>
        <v/>
      </c>
      <c r="H47" s="22" t="str">
        <f t="shared" si="3"/>
        <v/>
      </c>
      <c r="I47" s="126"/>
      <c r="J47" s="22" t="str">
        <f t="shared" si="4"/>
        <v/>
      </c>
      <c r="K47" s="22" t="str">
        <f t="shared" si="5"/>
        <v/>
      </c>
      <c r="L47" s="125" t="str">
        <f t="shared" si="6"/>
        <v/>
      </c>
      <c r="M47" s="22" t="str">
        <f t="shared" si="7"/>
        <v/>
      </c>
      <c r="N47" s="22" t="str">
        <f t="shared" si="8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9"/>
        <v/>
      </c>
      <c r="H48" s="128" t="str">
        <f t="shared" si="3"/>
        <v/>
      </c>
      <c r="I48" s="130"/>
      <c r="J48" s="128" t="str">
        <f t="shared" si="4"/>
        <v/>
      </c>
      <c r="K48" s="128" t="str">
        <f t="shared" si="5"/>
        <v/>
      </c>
      <c r="L48" s="129" t="str">
        <f t="shared" si="6"/>
        <v/>
      </c>
      <c r="M48" s="128" t="str">
        <f t="shared" si="7"/>
        <v/>
      </c>
      <c r="N48" s="128" t="str">
        <f t="shared" si="8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9"/>
        <v/>
      </c>
      <c r="H49" s="22" t="str">
        <f t="shared" si="3"/>
        <v/>
      </c>
      <c r="I49" s="126"/>
      <c r="J49" s="22" t="str">
        <f t="shared" si="4"/>
        <v/>
      </c>
      <c r="K49" s="22" t="str">
        <f t="shared" si="5"/>
        <v/>
      </c>
      <c r="L49" s="125" t="str">
        <f t="shared" si="6"/>
        <v/>
      </c>
      <c r="M49" s="22" t="str">
        <f t="shared" si="7"/>
        <v/>
      </c>
      <c r="N49" s="22" t="str">
        <f t="shared" si="8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9"/>
        <v/>
      </c>
      <c r="H50" s="22" t="str">
        <f t="shared" si="3"/>
        <v/>
      </c>
      <c r="I50" s="126"/>
      <c r="J50" s="22" t="str">
        <f t="shared" si="4"/>
        <v/>
      </c>
      <c r="K50" s="22" t="str">
        <f t="shared" si="5"/>
        <v/>
      </c>
      <c r="L50" s="125" t="str">
        <f t="shared" si="6"/>
        <v/>
      </c>
      <c r="M50" s="22" t="str">
        <f t="shared" si="7"/>
        <v/>
      </c>
      <c r="N50" s="22" t="str">
        <f t="shared" si="8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9"/>
        <v/>
      </c>
      <c r="H51" s="22" t="str">
        <f t="shared" si="3"/>
        <v/>
      </c>
      <c r="I51" s="126"/>
      <c r="J51" s="22" t="str">
        <f t="shared" si="4"/>
        <v/>
      </c>
      <c r="K51" s="22" t="str">
        <f t="shared" si="5"/>
        <v/>
      </c>
      <c r="L51" s="125" t="str">
        <f t="shared" si="6"/>
        <v/>
      </c>
      <c r="M51" s="22" t="str">
        <f t="shared" si="7"/>
        <v/>
      </c>
      <c r="N51" s="22" t="str">
        <f t="shared" si="8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9"/>
        <v/>
      </c>
      <c r="H52" s="22" t="str">
        <f t="shared" si="3"/>
        <v/>
      </c>
      <c r="I52" s="126"/>
      <c r="J52" s="22" t="str">
        <f t="shared" si="4"/>
        <v/>
      </c>
      <c r="K52" s="22" t="str">
        <f t="shared" si="5"/>
        <v/>
      </c>
      <c r="L52" s="125" t="str">
        <f t="shared" si="6"/>
        <v/>
      </c>
      <c r="M52" s="22" t="str">
        <f t="shared" si="7"/>
        <v/>
      </c>
      <c r="N52" s="22" t="str">
        <f t="shared" si="8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9"/>
        <v/>
      </c>
      <c r="H53" s="22" t="str">
        <f t="shared" si="3"/>
        <v/>
      </c>
      <c r="I53" s="126"/>
      <c r="J53" s="22" t="str">
        <f t="shared" si="4"/>
        <v/>
      </c>
      <c r="K53" s="22" t="str">
        <f t="shared" si="5"/>
        <v/>
      </c>
      <c r="L53" s="125" t="str">
        <f t="shared" si="6"/>
        <v/>
      </c>
      <c r="M53" s="22" t="str">
        <f t="shared" si="7"/>
        <v/>
      </c>
      <c r="N53" s="22" t="str">
        <f t="shared" si="8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9"/>
        <v/>
      </c>
      <c r="H54" s="22" t="str">
        <f t="shared" si="3"/>
        <v/>
      </c>
      <c r="I54" s="126"/>
      <c r="J54" s="22" t="str">
        <f t="shared" si="4"/>
        <v/>
      </c>
      <c r="K54" s="22" t="str">
        <f t="shared" si="5"/>
        <v/>
      </c>
      <c r="L54" s="125" t="str">
        <f t="shared" si="6"/>
        <v/>
      </c>
      <c r="M54" s="22" t="str">
        <f t="shared" si="7"/>
        <v/>
      </c>
      <c r="N54" s="22" t="str">
        <f t="shared" si="8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9"/>
        <v/>
      </c>
      <c r="H55" s="22" t="str">
        <f t="shared" si="3"/>
        <v/>
      </c>
      <c r="I55" s="126"/>
      <c r="J55" s="22" t="str">
        <f t="shared" si="4"/>
        <v/>
      </c>
      <c r="K55" s="22" t="str">
        <f t="shared" si="5"/>
        <v/>
      </c>
      <c r="L55" s="125" t="str">
        <f t="shared" si="6"/>
        <v/>
      </c>
      <c r="M55" s="22" t="str">
        <f t="shared" si="7"/>
        <v/>
      </c>
      <c r="N55" s="22" t="str">
        <f t="shared" si="8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9"/>
        <v/>
      </c>
      <c r="H56" s="22" t="str">
        <f t="shared" si="3"/>
        <v/>
      </c>
      <c r="I56" s="126"/>
      <c r="J56" s="22" t="str">
        <f t="shared" si="4"/>
        <v/>
      </c>
      <c r="K56" s="22" t="str">
        <f t="shared" si="5"/>
        <v/>
      </c>
      <c r="L56" s="125" t="str">
        <f t="shared" si="6"/>
        <v/>
      </c>
      <c r="M56" s="22" t="str">
        <f t="shared" si="7"/>
        <v/>
      </c>
      <c r="N56" s="22" t="str">
        <f t="shared" si="8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9"/>
        <v/>
      </c>
      <c r="H57" s="22" t="str">
        <f t="shared" si="3"/>
        <v/>
      </c>
      <c r="I57" s="126"/>
      <c r="J57" s="22" t="str">
        <f t="shared" si="4"/>
        <v/>
      </c>
      <c r="K57" s="22" t="str">
        <f t="shared" si="5"/>
        <v/>
      </c>
      <c r="L57" s="125" t="str">
        <f t="shared" si="6"/>
        <v/>
      </c>
      <c r="M57" s="22" t="str">
        <f t="shared" si="7"/>
        <v/>
      </c>
      <c r="N57" s="22" t="str">
        <f t="shared" si="8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9"/>
        <v/>
      </c>
      <c r="H58" s="22" t="str">
        <f t="shared" si="3"/>
        <v/>
      </c>
      <c r="I58" s="126"/>
      <c r="J58" s="22" t="str">
        <f t="shared" si="4"/>
        <v/>
      </c>
      <c r="K58" s="22" t="str">
        <f t="shared" si="5"/>
        <v/>
      </c>
      <c r="L58" s="125" t="str">
        <f t="shared" si="6"/>
        <v/>
      </c>
      <c r="M58" s="22" t="str">
        <f t="shared" si="7"/>
        <v/>
      </c>
      <c r="N58" s="22" t="str">
        <f t="shared" si="8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9"/>
        <v/>
      </c>
      <c r="H59" s="22" t="str">
        <f t="shared" si="3"/>
        <v/>
      </c>
      <c r="I59" s="126"/>
      <c r="J59" s="22" t="str">
        <f t="shared" si="4"/>
        <v/>
      </c>
      <c r="K59" s="22" t="str">
        <f t="shared" si="5"/>
        <v/>
      </c>
      <c r="L59" s="125" t="str">
        <f t="shared" si="6"/>
        <v/>
      </c>
      <c r="M59" s="22" t="str">
        <f t="shared" si="7"/>
        <v/>
      </c>
      <c r="N59" s="22" t="str">
        <f t="shared" si="8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9"/>
        <v/>
      </c>
      <c r="H60" s="22" t="str">
        <f t="shared" si="3"/>
        <v/>
      </c>
      <c r="I60" s="126"/>
      <c r="J60" s="22" t="str">
        <f t="shared" si="4"/>
        <v/>
      </c>
      <c r="K60" s="22" t="str">
        <f t="shared" si="5"/>
        <v/>
      </c>
      <c r="L60" s="125" t="str">
        <f t="shared" si="6"/>
        <v/>
      </c>
      <c r="M60" s="22" t="str">
        <f t="shared" si="7"/>
        <v/>
      </c>
      <c r="N60" s="22" t="str">
        <f t="shared" si="8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9"/>
        <v/>
      </c>
      <c r="H61" s="22" t="str">
        <f t="shared" si="3"/>
        <v/>
      </c>
      <c r="I61" s="126"/>
      <c r="J61" s="22" t="str">
        <f t="shared" si="4"/>
        <v/>
      </c>
      <c r="K61" s="22" t="str">
        <f t="shared" si="5"/>
        <v/>
      </c>
      <c r="L61" s="125" t="str">
        <f t="shared" si="6"/>
        <v/>
      </c>
      <c r="M61" s="22" t="str">
        <f t="shared" si="7"/>
        <v/>
      </c>
      <c r="N61" s="22" t="str">
        <f t="shared" si="8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9"/>
        <v/>
      </c>
      <c r="H62" s="22" t="str">
        <f t="shared" si="3"/>
        <v/>
      </c>
      <c r="I62" s="126"/>
      <c r="J62" s="22" t="str">
        <f t="shared" si="4"/>
        <v/>
      </c>
      <c r="K62" s="22" t="str">
        <f t="shared" si="5"/>
        <v/>
      </c>
      <c r="L62" s="125" t="str">
        <f t="shared" si="6"/>
        <v/>
      </c>
      <c r="M62" s="22" t="str">
        <f t="shared" si="7"/>
        <v/>
      </c>
      <c r="N62" s="22" t="str">
        <f t="shared" si="8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9"/>
        <v/>
      </c>
      <c r="H63" s="22" t="str">
        <f t="shared" si="3"/>
        <v/>
      </c>
      <c r="I63" s="126"/>
      <c r="J63" s="22" t="str">
        <f t="shared" si="4"/>
        <v/>
      </c>
      <c r="K63" s="22" t="str">
        <f t="shared" si="5"/>
        <v/>
      </c>
      <c r="L63" s="125" t="str">
        <f t="shared" si="6"/>
        <v/>
      </c>
      <c r="M63" s="22" t="str">
        <f t="shared" si="7"/>
        <v/>
      </c>
      <c r="N63" s="22" t="str">
        <f t="shared" si="8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9"/>
        <v/>
      </c>
      <c r="H64" s="22" t="str">
        <f t="shared" si="3"/>
        <v/>
      </c>
      <c r="I64" s="126"/>
      <c r="J64" s="22" t="str">
        <f t="shared" si="4"/>
        <v/>
      </c>
      <c r="K64" s="22" t="str">
        <f t="shared" si="5"/>
        <v/>
      </c>
      <c r="L64" s="125" t="str">
        <f t="shared" si="6"/>
        <v/>
      </c>
      <c r="M64" s="22" t="str">
        <f t="shared" si="7"/>
        <v/>
      </c>
      <c r="N64" s="22" t="str">
        <f t="shared" si="8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9"/>
        <v/>
      </c>
      <c r="H65" s="22" t="str">
        <f t="shared" si="3"/>
        <v/>
      </c>
      <c r="I65" s="126"/>
      <c r="J65" s="22" t="str">
        <f t="shared" si="4"/>
        <v/>
      </c>
      <c r="K65" s="22" t="str">
        <f t="shared" si="5"/>
        <v/>
      </c>
      <c r="L65" s="125" t="str">
        <f t="shared" si="6"/>
        <v/>
      </c>
      <c r="M65" s="22" t="str">
        <f t="shared" si="7"/>
        <v/>
      </c>
      <c r="N65" s="22" t="str">
        <f t="shared" si="8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9"/>
        <v/>
      </c>
      <c r="H66" s="22" t="str">
        <f t="shared" si="3"/>
        <v/>
      </c>
      <c r="I66" s="126"/>
      <c r="J66" s="22" t="str">
        <f t="shared" si="4"/>
        <v/>
      </c>
      <c r="K66" s="22" t="str">
        <f t="shared" si="5"/>
        <v/>
      </c>
      <c r="L66" s="125" t="str">
        <f t="shared" si="6"/>
        <v/>
      </c>
      <c r="M66" s="22" t="str">
        <f t="shared" si="7"/>
        <v/>
      </c>
      <c r="N66" s="22" t="str">
        <f t="shared" si="8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9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6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1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2"/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P12" sqref="P12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9.140625" style="352"/>
    <col min="7" max="7" width="4.42578125" hidden="1" customWidth="1"/>
    <col min="8" max="8" width="11" hidden="1" customWidth="1"/>
    <col min="9" max="9" width="9.140625" style="352"/>
    <col min="10" max="10" width="4.42578125" hidden="1" customWidth="1"/>
    <col min="11" max="11" width="11" hidden="1" customWidth="1"/>
    <col min="12" max="12" width="9.140625" style="352"/>
    <col min="17" max="17" width="11.140625" customWidth="1"/>
  </cols>
  <sheetData>
    <row r="1" spans="1:19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0" t="s">
        <v>0</v>
      </c>
      <c r="F1" s="350" t="s">
        <v>106</v>
      </c>
      <c r="G1" s="270" t="s">
        <v>0</v>
      </c>
      <c r="H1" s="270" t="s">
        <v>107</v>
      </c>
      <c r="I1" s="350" t="s">
        <v>174</v>
      </c>
      <c r="J1" s="270" t="s">
        <v>0</v>
      </c>
      <c r="K1" s="270" t="s">
        <v>107</v>
      </c>
      <c r="L1" s="350" t="s">
        <v>173</v>
      </c>
      <c r="M1" s="271" t="s">
        <v>93</v>
      </c>
    </row>
    <row r="2" spans="1:19" x14ac:dyDescent="0.2">
      <c r="A2" s="139">
        <f>IF(WRes!A2="","",WRes!A2)</f>
        <v>42737</v>
      </c>
      <c r="B2" s="144"/>
      <c r="C2" s="141">
        <v>0</v>
      </c>
      <c r="D2" s="141">
        <v>1</v>
      </c>
      <c r="E2" s="141">
        <v>0</v>
      </c>
      <c r="F2" s="351"/>
      <c r="G2" s="267"/>
      <c r="H2" s="267"/>
      <c r="I2" s="353"/>
      <c r="J2" s="267"/>
      <c r="K2" s="267"/>
      <c r="L2" s="353"/>
      <c r="M2" s="124"/>
    </row>
    <row r="3" spans="1:19" ht="13.5" thickBot="1" x14ac:dyDescent="0.25">
      <c r="A3" s="139">
        <f>IF(WRes!A3="","",WRes!A3)</f>
        <v>42741</v>
      </c>
      <c r="B3" s="125">
        <f>WRes!L3</f>
        <v>0.1119514094039175</v>
      </c>
      <c r="C3" s="4">
        <f t="shared" ref="C3:C34" si="0">IF(B3="","",C2+1)</f>
        <v>1</v>
      </c>
      <c r="D3" s="138">
        <f t="shared" ref="D3:D66" si="1">IF(B3="","",D2*(1+B3/100))</f>
        <v>1.0011195140940392</v>
      </c>
      <c r="E3" s="4">
        <f t="shared" ref="E3:E34" si="2">IF(D3="","",E2+1)</f>
        <v>1</v>
      </c>
      <c r="F3" s="226">
        <f t="shared" ref="F3:F34" si="3">IF(B3="","",100*(D3^(1/C3)-1))</f>
        <v>0.1119514094039209</v>
      </c>
      <c r="G3" s="142"/>
      <c r="H3" s="142"/>
      <c r="I3" s="354"/>
      <c r="J3" s="142"/>
      <c r="K3" s="142"/>
      <c r="L3" s="354"/>
      <c r="M3" s="124"/>
      <c r="N3" s="272" t="s">
        <v>106</v>
      </c>
    </row>
    <row r="4" spans="1:19" x14ac:dyDescent="0.2">
      <c r="A4" s="139">
        <f>IF(WRes!A4="","",WRes!A4)</f>
        <v>42748</v>
      </c>
      <c r="B4" s="125">
        <f>WRes!L4</f>
        <v>0.37409143082959256</v>
      </c>
      <c r="C4" s="4">
        <f t="shared" si="0"/>
        <v>2</v>
      </c>
      <c r="D4" s="138">
        <f t="shared" si="1"/>
        <v>1.0048646164086277</v>
      </c>
      <c r="E4" s="4">
        <f t="shared" si="2"/>
        <v>2</v>
      </c>
      <c r="F4" s="226">
        <f t="shared" si="3"/>
        <v>0.24293573158298276</v>
      </c>
      <c r="G4" s="142"/>
      <c r="H4" s="142"/>
      <c r="I4" s="354"/>
      <c r="J4" s="142"/>
      <c r="K4" s="142"/>
      <c r="L4" s="354"/>
      <c r="M4" s="127"/>
      <c r="N4" s="265">
        <f>IF(F3="","",VLOOKUP(MAX(E3:E102),E3:F102,2,FALSE))</f>
        <v>0.59781014975304192</v>
      </c>
      <c r="P4" s="463" t="s">
        <v>183</v>
      </c>
      <c r="Q4" s="464"/>
      <c r="R4" s="464"/>
      <c r="S4" s="465"/>
    </row>
    <row r="5" spans="1:19" ht="13.5" thickBot="1" x14ac:dyDescent="0.25">
      <c r="A5" s="139">
        <f>IF(WRes!A5="","",WRes!A5)</f>
        <v>42755</v>
      </c>
      <c r="B5" s="125">
        <f>WRes!L5</f>
        <v>0.22348007402850573</v>
      </c>
      <c r="C5" s="4">
        <f t="shared" si="0"/>
        <v>3</v>
      </c>
      <c r="D5" s="138">
        <f t="shared" si="1"/>
        <v>1.0071102885972638</v>
      </c>
      <c r="E5" s="4">
        <f t="shared" si="2"/>
        <v>3</v>
      </c>
      <c r="F5" s="226">
        <f t="shared" si="3"/>
        <v>0.23645009279149587</v>
      </c>
      <c r="G5" s="142"/>
      <c r="H5" s="142"/>
      <c r="I5" s="354"/>
      <c r="J5" s="142"/>
      <c r="K5" s="142"/>
      <c r="L5" s="354"/>
      <c r="M5" s="127"/>
      <c r="P5" s="466"/>
      <c r="Q5" s="467"/>
      <c r="R5" s="467"/>
      <c r="S5" s="468"/>
    </row>
    <row r="6" spans="1:19" ht="13.5" thickBot="1" x14ac:dyDescent="0.25">
      <c r="A6" s="139">
        <f>IF(WRes!A6="","",WRes!A6)</f>
        <v>42762</v>
      </c>
      <c r="B6" s="125">
        <f>WRes!L6</f>
        <v>1.6897255069416575</v>
      </c>
      <c r="C6" s="4">
        <f t="shared" si="0"/>
        <v>4</v>
      </c>
      <c r="D6" s="138">
        <f t="shared" si="1"/>
        <v>1.0241276880267256</v>
      </c>
      <c r="E6" s="4">
        <f t="shared" si="2"/>
        <v>4</v>
      </c>
      <c r="F6" s="226">
        <f t="shared" si="3"/>
        <v>0.59781014975304192</v>
      </c>
      <c r="G6" s="141">
        <v>0</v>
      </c>
      <c r="H6" s="141">
        <v>1</v>
      </c>
      <c r="I6" s="354"/>
      <c r="J6" s="142"/>
      <c r="K6" s="142"/>
      <c r="L6" s="354"/>
      <c r="M6" s="124"/>
      <c r="P6" s="469" t="s">
        <v>205</v>
      </c>
      <c r="Q6" s="470"/>
      <c r="R6" s="284">
        <f>_xlfn.T.TEST(WRes!I2:I3,WRes!I4:I5,2,3)</f>
        <v>8.3185227297416203E-2</v>
      </c>
      <c r="S6" s="285">
        <f>1-R6</f>
        <v>0.91681477270258382</v>
      </c>
    </row>
    <row r="7" spans="1:19" ht="13.5" thickBot="1" x14ac:dyDescent="0.25">
      <c r="A7" s="139" t="str">
        <f>IF(WRes!A7="","",WRes!A7)</f>
        <v/>
      </c>
      <c r="B7" s="125" t="str">
        <f>WRes!L7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6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226" t="str">
        <f t="shared" ref="I7:I38" si="5">IF(B7="","",100*(H7^(1/G7)-1))</f>
        <v/>
      </c>
      <c r="J7" s="141">
        <v>0</v>
      </c>
      <c r="K7" s="141">
        <v>1</v>
      </c>
      <c r="L7" s="354"/>
      <c r="M7" s="124"/>
    </row>
    <row r="8" spans="1:19" x14ac:dyDescent="0.2">
      <c r="A8" s="139" t="str">
        <f>IF(WRes!A8="","",WRes!A8)</f>
        <v/>
      </c>
      <c r="B8" s="125" t="str">
        <f>WRes!L8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6" t="str">
        <f t="shared" si="3"/>
        <v/>
      </c>
      <c r="G8" s="4" t="str">
        <f t="shared" si="4"/>
        <v/>
      </c>
      <c r="H8" s="138" t="str">
        <f>IF(B8="","",H7*(1+B8/100))</f>
        <v/>
      </c>
      <c r="I8" s="226" t="str">
        <f t="shared" si="5"/>
        <v/>
      </c>
      <c r="J8" s="4" t="str">
        <f t="shared" ref="J8:J39" si="6">IF(H8="","",J7+1)</f>
        <v/>
      </c>
      <c r="K8" s="138" t="str">
        <f t="shared" ref="K8:K71" si="7">IF(B8="","",K7*(1+B8/100))</f>
        <v/>
      </c>
      <c r="L8" s="226" t="str">
        <f t="shared" ref="L8:L71" si="8">IF(B8="","",100*(K8^(1/J8)-1))</f>
        <v/>
      </c>
      <c r="M8" s="124"/>
      <c r="P8" s="463" t="s">
        <v>182</v>
      </c>
      <c r="Q8" s="464"/>
      <c r="R8" s="464"/>
      <c r="S8" s="465"/>
    </row>
    <row r="9" spans="1:19" ht="13.5" thickBot="1" x14ac:dyDescent="0.25">
      <c r="A9" s="139" t="str">
        <f>IF(WRes!A9="","",WRes!A9)</f>
        <v/>
      </c>
      <c r="B9" s="125" t="str">
        <f>WRes!L9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6" t="str">
        <f t="shared" si="3"/>
        <v/>
      </c>
      <c r="G9" s="4" t="str">
        <f t="shared" si="4"/>
        <v/>
      </c>
      <c r="H9" s="138" t="str">
        <f t="shared" ref="H9:H72" si="9">IF(B9="","",H8*(1+B9/100))</f>
        <v/>
      </c>
      <c r="I9" s="226" t="str">
        <f t="shared" si="5"/>
        <v/>
      </c>
      <c r="J9" s="4" t="str">
        <f t="shared" si="6"/>
        <v/>
      </c>
      <c r="K9" s="138" t="str">
        <f t="shared" si="7"/>
        <v/>
      </c>
      <c r="L9" s="226" t="str">
        <f t="shared" si="8"/>
        <v/>
      </c>
      <c r="M9" s="124"/>
      <c r="P9" s="466"/>
      <c r="Q9" s="467"/>
      <c r="R9" s="467"/>
      <c r="S9" s="468"/>
    </row>
    <row r="10" spans="1:19" ht="13.5" thickBot="1" x14ac:dyDescent="0.25">
      <c r="A10" s="139" t="str">
        <f>IF(WRes!A10="","",WRes!A10)</f>
        <v/>
      </c>
      <c r="B10" s="125" t="str">
        <f>WRes!L10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6" t="str">
        <f t="shared" si="3"/>
        <v/>
      </c>
      <c r="G10" s="4" t="str">
        <f t="shared" si="4"/>
        <v/>
      </c>
      <c r="H10" s="138" t="str">
        <f t="shared" si="9"/>
        <v/>
      </c>
      <c r="I10" s="226" t="str">
        <f t="shared" si="5"/>
        <v/>
      </c>
      <c r="J10" s="4" t="str">
        <f t="shared" si="6"/>
        <v/>
      </c>
      <c r="K10" s="138" t="str">
        <f t="shared" si="7"/>
        <v/>
      </c>
      <c r="L10" s="226" t="str">
        <f t="shared" si="8"/>
        <v/>
      </c>
      <c r="M10" s="124"/>
      <c r="P10" s="469" t="s">
        <v>206</v>
      </c>
      <c r="Q10" s="470"/>
      <c r="R10" s="284">
        <f>_xlfn.T.TEST(B3:B4,B5:B6,2,3)</f>
        <v>0.50580176271190436</v>
      </c>
      <c r="S10" s="285">
        <f>1-R10</f>
        <v>0.49419823728809564</v>
      </c>
    </row>
    <row r="11" spans="1:19" x14ac:dyDescent="0.2">
      <c r="A11" s="139" t="str">
        <f>IF(WRes!A11="","",WRes!A11)</f>
        <v/>
      </c>
      <c r="B11" s="125" t="str">
        <f>WRes!L11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6" t="str">
        <f t="shared" si="3"/>
        <v/>
      </c>
      <c r="G11" s="4" t="str">
        <f t="shared" si="4"/>
        <v/>
      </c>
      <c r="H11" s="138" t="str">
        <f t="shared" si="9"/>
        <v/>
      </c>
      <c r="I11" s="226" t="str">
        <f t="shared" si="5"/>
        <v/>
      </c>
      <c r="J11" s="4" t="str">
        <f t="shared" si="6"/>
        <v/>
      </c>
      <c r="K11" s="138" t="str">
        <f t="shared" si="7"/>
        <v/>
      </c>
      <c r="L11" s="226" t="str">
        <f t="shared" si="8"/>
        <v/>
      </c>
      <c r="M11" s="124"/>
    </row>
    <row r="12" spans="1:19" x14ac:dyDescent="0.2">
      <c r="A12" s="139" t="str">
        <f>IF(WRes!A12="","",WRes!A12)</f>
        <v/>
      </c>
      <c r="B12" s="125" t="str">
        <f>WRes!L12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6" t="str">
        <f t="shared" si="3"/>
        <v/>
      </c>
      <c r="G12" s="4" t="str">
        <f t="shared" si="4"/>
        <v/>
      </c>
      <c r="H12" s="138" t="str">
        <f t="shared" si="9"/>
        <v/>
      </c>
      <c r="I12" s="226" t="str">
        <f t="shared" si="5"/>
        <v/>
      </c>
      <c r="J12" s="4" t="str">
        <f t="shared" si="6"/>
        <v/>
      </c>
      <c r="K12" s="138" t="str">
        <f t="shared" si="7"/>
        <v/>
      </c>
      <c r="L12" s="226" t="str">
        <f t="shared" si="8"/>
        <v/>
      </c>
      <c r="M12" s="124"/>
    </row>
    <row r="13" spans="1:19" x14ac:dyDescent="0.2">
      <c r="A13" s="139" t="str">
        <f>IF(WRes!A13="","",WRes!A13)</f>
        <v/>
      </c>
      <c r="B13" s="125" t="str">
        <f>WRes!L13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6" t="str">
        <f t="shared" si="3"/>
        <v/>
      </c>
      <c r="G13" s="4" t="str">
        <f t="shared" si="4"/>
        <v/>
      </c>
      <c r="H13" s="138" t="str">
        <f t="shared" si="9"/>
        <v/>
      </c>
      <c r="I13" s="226" t="str">
        <f t="shared" si="5"/>
        <v/>
      </c>
      <c r="J13" s="4" t="str">
        <f t="shared" si="6"/>
        <v/>
      </c>
      <c r="K13" s="138" t="str">
        <f t="shared" si="7"/>
        <v/>
      </c>
      <c r="L13" s="226" t="str">
        <f t="shared" si="8"/>
        <v/>
      </c>
      <c r="M13" s="124"/>
    </row>
    <row r="14" spans="1:19" x14ac:dyDescent="0.2">
      <c r="A14" s="139" t="str">
        <f>IF(WRes!A14="","",WRes!A14)</f>
        <v/>
      </c>
      <c r="B14" s="125" t="str">
        <f>WRes!L14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6" t="str">
        <f t="shared" si="3"/>
        <v/>
      </c>
      <c r="G14" s="4" t="str">
        <f t="shared" si="4"/>
        <v/>
      </c>
      <c r="H14" s="138" t="str">
        <f t="shared" si="9"/>
        <v/>
      </c>
      <c r="I14" s="226" t="str">
        <f t="shared" si="5"/>
        <v/>
      </c>
      <c r="J14" s="4" t="str">
        <f t="shared" si="6"/>
        <v/>
      </c>
      <c r="K14" s="138" t="str">
        <f t="shared" si="7"/>
        <v/>
      </c>
      <c r="L14" s="226" t="str">
        <f t="shared" si="8"/>
        <v/>
      </c>
      <c r="M14" s="124"/>
    </row>
    <row r="15" spans="1:19" x14ac:dyDescent="0.2">
      <c r="A15" s="139" t="str">
        <f>IF(WRes!A15="","",WRes!A15)</f>
        <v/>
      </c>
      <c r="B15" s="125" t="str">
        <f>WRes!L15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6" t="str">
        <f t="shared" si="3"/>
        <v/>
      </c>
      <c r="G15" s="4" t="str">
        <f t="shared" si="4"/>
        <v/>
      </c>
      <c r="H15" s="138" t="str">
        <f t="shared" si="9"/>
        <v/>
      </c>
      <c r="I15" s="226" t="str">
        <f t="shared" si="5"/>
        <v/>
      </c>
      <c r="J15" s="4" t="str">
        <f t="shared" si="6"/>
        <v/>
      </c>
      <c r="K15" s="138" t="str">
        <f t="shared" si="7"/>
        <v/>
      </c>
      <c r="L15" s="226" t="str">
        <f t="shared" si="8"/>
        <v/>
      </c>
      <c r="M15" s="124"/>
    </row>
    <row r="16" spans="1:19" x14ac:dyDescent="0.2">
      <c r="A16" s="139" t="str">
        <f>IF(WRes!A16="","",WRes!A16)</f>
        <v/>
      </c>
      <c r="B16" s="125" t="str">
        <f>WRes!L16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6" t="str">
        <f t="shared" si="3"/>
        <v/>
      </c>
      <c r="G16" s="4" t="str">
        <f t="shared" si="4"/>
        <v/>
      </c>
      <c r="H16" s="138" t="str">
        <f t="shared" si="9"/>
        <v/>
      </c>
      <c r="I16" s="226" t="str">
        <f t="shared" si="5"/>
        <v/>
      </c>
      <c r="J16" s="4" t="str">
        <f t="shared" si="6"/>
        <v/>
      </c>
      <c r="K16" s="138" t="str">
        <f t="shared" si="7"/>
        <v/>
      </c>
      <c r="L16" s="226" t="str">
        <f t="shared" si="8"/>
        <v/>
      </c>
      <c r="M16" s="124"/>
    </row>
    <row r="17" spans="1:13" x14ac:dyDescent="0.2">
      <c r="A17" s="143" t="str">
        <f>IF(WRes!A17="","",WRes!A17)</f>
        <v/>
      </c>
      <c r="B17" s="125" t="str">
        <f>WRes!L17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6" t="str">
        <f t="shared" si="3"/>
        <v/>
      </c>
      <c r="G17" s="4" t="str">
        <f t="shared" si="4"/>
        <v/>
      </c>
      <c r="H17" s="138" t="str">
        <f t="shared" si="9"/>
        <v/>
      </c>
      <c r="I17" s="226" t="str">
        <f t="shared" si="5"/>
        <v/>
      </c>
      <c r="J17" s="4" t="str">
        <f t="shared" si="6"/>
        <v/>
      </c>
      <c r="K17" s="138" t="str">
        <f t="shared" si="7"/>
        <v/>
      </c>
      <c r="L17" s="226" t="str">
        <f t="shared" si="8"/>
        <v/>
      </c>
      <c r="M17" s="124"/>
    </row>
    <row r="18" spans="1:13" x14ac:dyDescent="0.2">
      <c r="A18" s="140" t="str">
        <f>IF(WRes!A18="","",WRes!A18)</f>
        <v/>
      </c>
      <c r="B18" s="125" t="str">
        <f>WRes!L18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6" t="str">
        <f t="shared" si="3"/>
        <v/>
      </c>
      <c r="G18" s="4" t="str">
        <f t="shared" si="4"/>
        <v/>
      </c>
      <c r="H18" s="138" t="str">
        <f t="shared" si="9"/>
        <v/>
      </c>
      <c r="I18" s="226" t="str">
        <f t="shared" si="5"/>
        <v/>
      </c>
      <c r="J18" s="4" t="str">
        <f t="shared" si="6"/>
        <v/>
      </c>
      <c r="K18" s="138" t="str">
        <f t="shared" si="7"/>
        <v/>
      </c>
      <c r="L18" s="226" t="str">
        <f t="shared" si="8"/>
        <v/>
      </c>
      <c r="M18" s="124"/>
    </row>
    <row r="19" spans="1:13" x14ac:dyDescent="0.2">
      <c r="A19" s="140" t="str">
        <f>IF(WRes!A19="","",WRes!A19)</f>
        <v/>
      </c>
      <c r="B19" s="125" t="str">
        <f>WRes!L19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6" t="str">
        <f t="shared" si="3"/>
        <v/>
      </c>
      <c r="G19" s="4" t="str">
        <f t="shared" si="4"/>
        <v/>
      </c>
      <c r="H19" s="138" t="str">
        <f t="shared" si="9"/>
        <v/>
      </c>
      <c r="I19" s="226" t="str">
        <f t="shared" si="5"/>
        <v/>
      </c>
      <c r="J19" s="4" t="str">
        <f t="shared" si="6"/>
        <v/>
      </c>
      <c r="K19" s="138" t="str">
        <f t="shared" si="7"/>
        <v/>
      </c>
      <c r="L19" s="226" t="str">
        <f t="shared" si="8"/>
        <v/>
      </c>
      <c r="M19" s="124"/>
    </row>
    <row r="20" spans="1:13" x14ac:dyDescent="0.2">
      <c r="A20" s="140" t="str">
        <f>IF(WRes!A20="","",WRes!A20)</f>
        <v/>
      </c>
      <c r="B20" s="125" t="str">
        <f>WRes!L20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6" t="str">
        <f t="shared" si="3"/>
        <v/>
      </c>
      <c r="G20" s="4" t="str">
        <f t="shared" si="4"/>
        <v/>
      </c>
      <c r="H20" s="138" t="str">
        <f t="shared" si="9"/>
        <v/>
      </c>
      <c r="I20" s="226" t="str">
        <f t="shared" si="5"/>
        <v/>
      </c>
      <c r="J20" s="4" t="str">
        <f t="shared" si="6"/>
        <v/>
      </c>
      <c r="K20" s="138" t="str">
        <f t="shared" si="7"/>
        <v/>
      </c>
      <c r="L20" s="226" t="str">
        <f t="shared" si="8"/>
        <v/>
      </c>
      <c r="M20" s="124"/>
    </row>
    <row r="21" spans="1:13" x14ac:dyDescent="0.2">
      <c r="A21" s="140" t="str">
        <f>IF(WRes!A21="","",WRes!A21)</f>
        <v/>
      </c>
      <c r="B21" s="125" t="str">
        <f>WRes!L21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6" t="str">
        <f t="shared" si="3"/>
        <v/>
      </c>
      <c r="G21" s="4" t="str">
        <f t="shared" si="4"/>
        <v/>
      </c>
      <c r="H21" s="138" t="str">
        <f t="shared" si="9"/>
        <v/>
      </c>
      <c r="I21" s="226" t="str">
        <f t="shared" si="5"/>
        <v/>
      </c>
      <c r="J21" s="4" t="str">
        <f t="shared" si="6"/>
        <v/>
      </c>
      <c r="K21" s="138" t="str">
        <f t="shared" si="7"/>
        <v/>
      </c>
      <c r="L21" s="226" t="str">
        <f t="shared" si="8"/>
        <v/>
      </c>
      <c r="M21" s="124"/>
    </row>
    <row r="22" spans="1:13" x14ac:dyDescent="0.2">
      <c r="A22" s="140" t="str">
        <f>IF(WRes!A22="","",WRes!A22)</f>
        <v/>
      </c>
      <c r="B22" s="125" t="str">
        <f>WRes!L22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6" t="str">
        <f t="shared" si="3"/>
        <v/>
      </c>
      <c r="G22" s="4" t="str">
        <f t="shared" si="4"/>
        <v/>
      </c>
      <c r="H22" s="138" t="str">
        <f t="shared" si="9"/>
        <v/>
      </c>
      <c r="I22" s="226" t="str">
        <f t="shared" si="5"/>
        <v/>
      </c>
      <c r="J22" s="4" t="str">
        <f t="shared" si="6"/>
        <v/>
      </c>
      <c r="K22" s="138" t="str">
        <f t="shared" si="7"/>
        <v/>
      </c>
      <c r="L22" s="226" t="str">
        <f t="shared" si="8"/>
        <v/>
      </c>
      <c r="M22" s="124"/>
    </row>
    <row r="23" spans="1:13" x14ac:dyDescent="0.2">
      <c r="A23" s="140" t="str">
        <f>IF(WRes!A23="","",WRes!A23)</f>
        <v/>
      </c>
      <c r="B23" s="125" t="str">
        <f>WRes!L23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6" t="str">
        <f t="shared" si="3"/>
        <v/>
      </c>
      <c r="G23" s="4" t="str">
        <f t="shared" si="4"/>
        <v/>
      </c>
      <c r="H23" s="138" t="str">
        <f t="shared" si="9"/>
        <v/>
      </c>
      <c r="I23" s="226" t="str">
        <f t="shared" si="5"/>
        <v/>
      </c>
      <c r="J23" s="4" t="str">
        <f t="shared" si="6"/>
        <v/>
      </c>
      <c r="K23" s="138" t="str">
        <f t="shared" si="7"/>
        <v/>
      </c>
      <c r="L23" s="226" t="str">
        <f t="shared" si="8"/>
        <v/>
      </c>
      <c r="M23" s="124"/>
    </row>
    <row r="24" spans="1:13" x14ac:dyDescent="0.2">
      <c r="A24" s="140" t="str">
        <f>IF(WRes!A24="","",WRes!A24)</f>
        <v/>
      </c>
      <c r="B24" s="125" t="str">
        <f>WRes!L24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6" t="str">
        <f t="shared" si="3"/>
        <v/>
      </c>
      <c r="G24" s="4" t="str">
        <f t="shared" si="4"/>
        <v/>
      </c>
      <c r="H24" s="138" t="str">
        <f t="shared" si="9"/>
        <v/>
      </c>
      <c r="I24" s="226" t="str">
        <f t="shared" si="5"/>
        <v/>
      </c>
      <c r="J24" s="4" t="str">
        <f t="shared" si="6"/>
        <v/>
      </c>
      <c r="K24" s="138" t="str">
        <f t="shared" si="7"/>
        <v/>
      </c>
      <c r="L24" s="226" t="str">
        <f t="shared" si="8"/>
        <v/>
      </c>
      <c r="M24" s="124"/>
    </row>
    <row r="25" spans="1:13" x14ac:dyDescent="0.2">
      <c r="A25" s="140" t="str">
        <f>IF(WRes!A25="","",WRes!A25)</f>
        <v/>
      </c>
      <c r="B25" s="125" t="str">
        <f>WRes!L25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6" t="str">
        <f t="shared" si="3"/>
        <v/>
      </c>
      <c r="G25" s="4" t="str">
        <f t="shared" si="4"/>
        <v/>
      </c>
      <c r="H25" s="138" t="str">
        <f t="shared" si="9"/>
        <v/>
      </c>
      <c r="I25" s="226" t="str">
        <f t="shared" si="5"/>
        <v/>
      </c>
      <c r="J25" s="4" t="str">
        <f t="shared" si="6"/>
        <v/>
      </c>
      <c r="K25" s="138" t="str">
        <f t="shared" si="7"/>
        <v/>
      </c>
      <c r="L25" s="226" t="str">
        <f t="shared" si="8"/>
        <v/>
      </c>
      <c r="M25" s="124"/>
    </row>
    <row r="26" spans="1:13" x14ac:dyDescent="0.2">
      <c r="A26" s="140" t="str">
        <f>IF(WRes!A26="","",WRes!A26)</f>
        <v/>
      </c>
      <c r="B26" s="125" t="str">
        <f>WRes!L26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6" t="str">
        <f t="shared" si="3"/>
        <v/>
      </c>
      <c r="G26" s="4" t="str">
        <f t="shared" si="4"/>
        <v/>
      </c>
      <c r="H26" s="138" t="str">
        <f t="shared" si="9"/>
        <v/>
      </c>
      <c r="I26" s="226" t="str">
        <f t="shared" si="5"/>
        <v/>
      </c>
      <c r="J26" s="4" t="str">
        <f t="shared" si="6"/>
        <v/>
      </c>
      <c r="K26" s="138" t="str">
        <f t="shared" si="7"/>
        <v/>
      </c>
      <c r="L26" s="226" t="str">
        <f t="shared" si="8"/>
        <v/>
      </c>
      <c r="M26" s="124"/>
    </row>
    <row r="27" spans="1:13" x14ac:dyDescent="0.2">
      <c r="A27" s="140" t="str">
        <f>IF(WRes!A27="","",WRes!A27)</f>
        <v/>
      </c>
      <c r="B27" s="125" t="str">
        <f>WRes!L27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6" t="str">
        <f t="shared" si="3"/>
        <v/>
      </c>
      <c r="G27" s="4" t="str">
        <f t="shared" si="4"/>
        <v/>
      </c>
      <c r="H27" s="138" t="str">
        <f t="shared" si="9"/>
        <v/>
      </c>
      <c r="I27" s="226" t="str">
        <f t="shared" si="5"/>
        <v/>
      </c>
      <c r="J27" s="4" t="str">
        <f t="shared" si="6"/>
        <v/>
      </c>
      <c r="K27" s="138" t="str">
        <f t="shared" si="7"/>
        <v/>
      </c>
      <c r="L27" s="226" t="str">
        <f t="shared" si="8"/>
        <v/>
      </c>
      <c r="M27" s="124"/>
    </row>
    <row r="28" spans="1:13" x14ac:dyDescent="0.2">
      <c r="A28" s="140" t="str">
        <f>IF(WRes!A28="","",WRes!A28)</f>
        <v/>
      </c>
      <c r="B28" s="125" t="str">
        <f>WRes!L28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6" t="str">
        <f t="shared" si="3"/>
        <v/>
      </c>
      <c r="G28" s="4" t="str">
        <f t="shared" si="4"/>
        <v/>
      </c>
      <c r="H28" s="138" t="str">
        <f t="shared" si="9"/>
        <v/>
      </c>
      <c r="I28" s="226" t="str">
        <f t="shared" si="5"/>
        <v/>
      </c>
      <c r="J28" s="4" t="str">
        <f t="shared" si="6"/>
        <v/>
      </c>
      <c r="K28" s="138" t="str">
        <f t="shared" si="7"/>
        <v/>
      </c>
      <c r="L28" s="226" t="str">
        <f t="shared" si="8"/>
        <v/>
      </c>
      <c r="M28" s="124"/>
    </row>
    <row r="29" spans="1:13" x14ac:dyDescent="0.2">
      <c r="A29" s="140" t="str">
        <f>IF(WRes!A29="","",WRes!A29)</f>
        <v/>
      </c>
      <c r="B29" s="125" t="str">
        <f>WRes!L29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6" t="str">
        <f t="shared" si="3"/>
        <v/>
      </c>
      <c r="G29" s="4" t="str">
        <f t="shared" si="4"/>
        <v/>
      </c>
      <c r="H29" s="138" t="str">
        <f t="shared" si="9"/>
        <v/>
      </c>
      <c r="I29" s="226" t="str">
        <f t="shared" si="5"/>
        <v/>
      </c>
      <c r="J29" s="4" t="str">
        <f t="shared" si="6"/>
        <v/>
      </c>
      <c r="K29" s="138" t="str">
        <f t="shared" si="7"/>
        <v/>
      </c>
      <c r="L29" s="226" t="str">
        <f t="shared" si="8"/>
        <v/>
      </c>
      <c r="M29" s="124"/>
    </row>
    <row r="30" spans="1:13" x14ac:dyDescent="0.2">
      <c r="A30" s="139" t="str">
        <f>IF(WRes!A30="","",WRes!A30)</f>
        <v/>
      </c>
      <c r="B30" s="125" t="str">
        <f>WRes!L30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6" t="str">
        <f t="shared" si="3"/>
        <v/>
      </c>
      <c r="G30" s="4" t="str">
        <f t="shared" si="4"/>
        <v/>
      </c>
      <c r="H30" s="138" t="str">
        <f t="shared" si="9"/>
        <v/>
      </c>
      <c r="I30" s="226" t="str">
        <f t="shared" si="5"/>
        <v/>
      </c>
      <c r="J30" s="4" t="str">
        <f t="shared" si="6"/>
        <v/>
      </c>
      <c r="K30" s="138" t="str">
        <f t="shared" si="7"/>
        <v/>
      </c>
      <c r="L30" s="226" t="str">
        <f t="shared" si="8"/>
        <v/>
      </c>
      <c r="M30" s="124"/>
    </row>
    <row r="31" spans="1:13" x14ac:dyDescent="0.2">
      <c r="A31" s="139" t="str">
        <f>IF(WRes!A31="","",WRes!A31)</f>
        <v/>
      </c>
      <c r="B31" s="125" t="str">
        <f>WRes!L31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6" t="str">
        <f t="shared" si="3"/>
        <v/>
      </c>
      <c r="G31" s="4" t="str">
        <f t="shared" si="4"/>
        <v/>
      </c>
      <c r="H31" s="138" t="str">
        <f t="shared" si="9"/>
        <v/>
      </c>
      <c r="I31" s="226" t="str">
        <f t="shared" si="5"/>
        <v/>
      </c>
      <c r="J31" s="4" t="str">
        <f t="shared" si="6"/>
        <v/>
      </c>
      <c r="K31" s="138" t="str">
        <f t="shared" si="7"/>
        <v/>
      </c>
      <c r="L31" s="226" t="str">
        <f t="shared" si="8"/>
        <v/>
      </c>
      <c r="M31" s="124"/>
    </row>
    <row r="32" spans="1:13" x14ac:dyDescent="0.2">
      <c r="A32" s="139" t="str">
        <f>IF(WRes!A32="","",WRes!A32)</f>
        <v/>
      </c>
      <c r="B32" s="125" t="str">
        <f>WRes!L32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6" t="str">
        <f t="shared" si="3"/>
        <v/>
      </c>
      <c r="G32" s="4" t="str">
        <f t="shared" si="4"/>
        <v/>
      </c>
      <c r="H32" s="138" t="str">
        <f t="shared" si="9"/>
        <v/>
      </c>
      <c r="I32" s="226" t="str">
        <f t="shared" si="5"/>
        <v/>
      </c>
      <c r="J32" s="4" t="str">
        <f t="shared" si="6"/>
        <v/>
      </c>
      <c r="K32" s="138" t="str">
        <f t="shared" si="7"/>
        <v/>
      </c>
      <c r="L32" s="226" t="str">
        <f t="shared" si="8"/>
        <v/>
      </c>
      <c r="M32" s="124"/>
    </row>
    <row r="33" spans="1:13" x14ac:dyDescent="0.2">
      <c r="A33" s="139" t="str">
        <f>IF(WRes!A33="","",WRes!A33)</f>
        <v/>
      </c>
      <c r="B33" s="125" t="str">
        <f>WRes!L33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6" t="str">
        <f t="shared" si="3"/>
        <v/>
      </c>
      <c r="G33" s="4" t="str">
        <f t="shared" si="4"/>
        <v/>
      </c>
      <c r="H33" s="138" t="str">
        <f t="shared" si="9"/>
        <v/>
      </c>
      <c r="I33" s="226" t="str">
        <f t="shared" si="5"/>
        <v/>
      </c>
      <c r="J33" s="4" t="str">
        <f t="shared" si="6"/>
        <v/>
      </c>
      <c r="K33" s="138" t="str">
        <f t="shared" si="7"/>
        <v/>
      </c>
      <c r="L33" s="226" t="str">
        <f t="shared" si="8"/>
        <v/>
      </c>
      <c r="M33" s="124"/>
    </row>
    <row r="34" spans="1:13" x14ac:dyDescent="0.2">
      <c r="A34" s="139" t="str">
        <f>IF(WRes!A34="","",WRes!A34)</f>
        <v/>
      </c>
      <c r="B34" s="125" t="str">
        <f>WRes!L34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6" t="str">
        <f t="shared" si="3"/>
        <v/>
      </c>
      <c r="G34" s="4" t="str">
        <f t="shared" si="4"/>
        <v/>
      </c>
      <c r="H34" s="138" t="str">
        <f t="shared" si="9"/>
        <v/>
      </c>
      <c r="I34" s="226" t="str">
        <f t="shared" si="5"/>
        <v/>
      </c>
      <c r="J34" s="4" t="str">
        <f t="shared" si="6"/>
        <v/>
      </c>
      <c r="K34" s="138" t="str">
        <f t="shared" si="7"/>
        <v/>
      </c>
      <c r="L34" s="226" t="str">
        <f t="shared" si="8"/>
        <v/>
      </c>
      <c r="M34" s="124"/>
    </row>
    <row r="35" spans="1:13" x14ac:dyDescent="0.2">
      <c r="A35" s="140" t="str">
        <f>IF(WRes!A35="","",WRes!A35)</f>
        <v/>
      </c>
      <c r="B35" s="125" t="str">
        <f>WRes!L35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6" t="str">
        <f t="shared" ref="F35:F66" si="12">IF(B35="","",100*(D35^(1/C35)-1))</f>
        <v/>
      </c>
      <c r="G35" s="4" t="str">
        <f t="shared" si="4"/>
        <v/>
      </c>
      <c r="H35" s="138" t="str">
        <f t="shared" si="9"/>
        <v/>
      </c>
      <c r="I35" s="226" t="str">
        <f t="shared" si="5"/>
        <v/>
      </c>
      <c r="J35" s="4" t="str">
        <f t="shared" si="6"/>
        <v/>
      </c>
      <c r="K35" s="138" t="str">
        <f t="shared" si="7"/>
        <v/>
      </c>
      <c r="L35" s="226" t="str">
        <f t="shared" si="8"/>
        <v/>
      </c>
      <c r="M35" s="124"/>
    </row>
    <row r="36" spans="1:13" x14ac:dyDescent="0.2">
      <c r="A36" s="140" t="str">
        <f>IF(WRes!A36="","",WRes!A36)</f>
        <v/>
      </c>
      <c r="B36" s="125" t="str">
        <f>WRes!L36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6" t="str">
        <f t="shared" si="12"/>
        <v/>
      </c>
      <c r="G36" s="4" t="str">
        <f t="shared" si="4"/>
        <v/>
      </c>
      <c r="H36" s="138" t="str">
        <f t="shared" si="9"/>
        <v/>
      </c>
      <c r="I36" s="226" t="str">
        <f t="shared" si="5"/>
        <v/>
      </c>
      <c r="J36" s="4" t="str">
        <f t="shared" si="6"/>
        <v/>
      </c>
      <c r="K36" s="138" t="str">
        <f t="shared" si="7"/>
        <v/>
      </c>
      <c r="L36" s="226" t="str">
        <f t="shared" si="8"/>
        <v/>
      </c>
      <c r="M36" s="124"/>
    </row>
    <row r="37" spans="1:13" x14ac:dyDescent="0.2">
      <c r="A37" s="139" t="str">
        <f>IF(WRes!A37="","",WRes!A37)</f>
        <v/>
      </c>
      <c r="B37" s="125" t="str">
        <f>WRes!L37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6" t="str">
        <f t="shared" si="12"/>
        <v/>
      </c>
      <c r="G37" s="4" t="str">
        <f t="shared" si="4"/>
        <v/>
      </c>
      <c r="H37" s="138" t="str">
        <f t="shared" si="9"/>
        <v/>
      </c>
      <c r="I37" s="226" t="str">
        <f t="shared" si="5"/>
        <v/>
      </c>
      <c r="J37" s="4" t="str">
        <f t="shared" si="6"/>
        <v/>
      </c>
      <c r="K37" s="138" t="str">
        <f t="shared" si="7"/>
        <v/>
      </c>
      <c r="L37" s="226" t="str">
        <f t="shared" si="8"/>
        <v/>
      </c>
      <c r="M37" s="124"/>
    </row>
    <row r="38" spans="1:13" x14ac:dyDescent="0.2">
      <c r="A38" s="139" t="str">
        <f>IF(WRes!A38="","",WRes!A38)</f>
        <v/>
      </c>
      <c r="B38" s="125" t="str">
        <f>WRes!L38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6" t="str">
        <f t="shared" si="12"/>
        <v/>
      </c>
      <c r="G38" s="4" t="str">
        <f t="shared" si="4"/>
        <v/>
      </c>
      <c r="H38" s="138" t="str">
        <f t="shared" si="9"/>
        <v/>
      </c>
      <c r="I38" s="226" t="str">
        <f t="shared" si="5"/>
        <v/>
      </c>
      <c r="J38" s="4" t="str">
        <f t="shared" si="6"/>
        <v/>
      </c>
      <c r="K38" s="138" t="str">
        <f t="shared" si="7"/>
        <v/>
      </c>
      <c r="L38" s="226" t="str">
        <f t="shared" si="8"/>
        <v/>
      </c>
      <c r="M38" s="124"/>
    </row>
    <row r="39" spans="1:13" x14ac:dyDescent="0.2">
      <c r="A39" s="139" t="str">
        <f>IF(WRes!A39="","",WRes!A39)</f>
        <v/>
      </c>
      <c r="B39" s="125" t="str">
        <f>WRes!L39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6" t="str">
        <f t="shared" si="12"/>
        <v/>
      </c>
      <c r="G39" s="4" t="str">
        <f t="shared" ref="G39:G67" si="13">IF(D39="","",G38+1)</f>
        <v/>
      </c>
      <c r="H39" s="138" t="str">
        <f t="shared" si="9"/>
        <v/>
      </c>
      <c r="I39" s="226" t="str">
        <f t="shared" ref="I39:I70" si="14">IF(B39="","",100*(H39^(1/G39)-1))</f>
        <v/>
      </c>
      <c r="J39" s="4" t="str">
        <f t="shared" si="6"/>
        <v/>
      </c>
      <c r="K39" s="138" t="str">
        <f t="shared" si="7"/>
        <v/>
      </c>
      <c r="L39" s="226" t="str">
        <f t="shared" si="8"/>
        <v/>
      </c>
      <c r="M39" s="124"/>
    </row>
    <row r="40" spans="1:13" x14ac:dyDescent="0.2">
      <c r="A40" s="139" t="str">
        <f>IF(WRes!A40="","",WRes!A40)</f>
        <v/>
      </c>
      <c r="B40" s="125" t="str">
        <f>WRes!L40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6" t="str">
        <f t="shared" si="12"/>
        <v/>
      </c>
      <c r="G40" s="4" t="str">
        <f t="shared" si="13"/>
        <v/>
      </c>
      <c r="H40" s="138" t="str">
        <f t="shared" si="9"/>
        <v/>
      </c>
      <c r="I40" s="226" t="str">
        <f t="shared" si="14"/>
        <v/>
      </c>
      <c r="J40" s="4" t="str">
        <f t="shared" ref="J40:J67" si="15">IF(H40="","",J39+1)</f>
        <v/>
      </c>
      <c r="K40" s="138" t="str">
        <f t="shared" si="7"/>
        <v/>
      </c>
      <c r="L40" s="226" t="str">
        <f t="shared" si="8"/>
        <v/>
      </c>
      <c r="M40" s="124"/>
    </row>
    <row r="41" spans="1:13" x14ac:dyDescent="0.2">
      <c r="A41" s="139" t="str">
        <f>IF(WRes!A41="","",WRes!A41)</f>
        <v/>
      </c>
      <c r="B41" s="125" t="str">
        <f>WRes!L41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6" t="str">
        <f t="shared" si="12"/>
        <v/>
      </c>
      <c r="G41" s="4" t="str">
        <f t="shared" si="13"/>
        <v/>
      </c>
      <c r="H41" s="138" t="str">
        <f t="shared" si="9"/>
        <v/>
      </c>
      <c r="I41" s="226" t="str">
        <f t="shared" si="14"/>
        <v/>
      </c>
      <c r="J41" s="4" t="str">
        <f t="shared" si="15"/>
        <v/>
      </c>
      <c r="K41" s="138" t="str">
        <f t="shared" si="7"/>
        <v/>
      </c>
      <c r="L41" s="226" t="str">
        <f t="shared" si="8"/>
        <v/>
      </c>
      <c r="M41" s="124"/>
    </row>
    <row r="42" spans="1:13" x14ac:dyDescent="0.2">
      <c r="A42" s="139" t="str">
        <f>IF(WRes!A42="","",WRes!A42)</f>
        <v/>
      </c>
      <c r="B42" s="125" t="str">
        <f>WRes!L42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6" t="str">
        <f t="shared" si="12"/>
        <v/>
      </c>
      <c r="G42" s="4" t="str">
        <f t="shared" si="13"/>
        <v/>
      </c>
      <c r="H42" s="138" t="str">
        <f t="shared" si="9"/>
        <v/>
      </c>
      <c r="I42" s="226" t="str">
        <f t="shared" si="14"/>
        <v/>
      </c>
      <c r="J42" s="4" t="str">
        <f t="shared" si="15"/>
        <v/>
      </c>
      <c r="K42" s="138" t="str">
        <f t="shared" si="7"/>
        <v/>
      </c>
      <c r="L42" s="226" t="str">
        <f t="shared" si="8"/>
        <v/>
      </c>
      <c r="M42" s="124"/>
    </row>
    <row r="43" spans="1:13" x14ac:dyDescent="0.2">
      <c r="A43" s="139" t="str">
        <f>IF(WRes!A43="","",WRes!A43)</f>
        <v/>
      </c>
      <c r="B43" s="125" t="str">
        <f>WRes!L43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6" t="str">
        <f t="shared" si="12"/>
        <v/>
      </c>
      <c r="G43" s="4" t="str">
        <f t="shared" si="13"/>
        <v/>
      </c>
      <c r="H43" s="138" t="str">
        <f t="shared" si="9"/>
        <v/>
      </c>
      <c r="I43" s="226" t="str">
        <f t="shared" si="14"/>
        <v/>
      </c>
      <c r="J43" s="4" t="str">
        <f t="shared" si="15"/>
        <v/>
      </c>
      <c r="K43" s="138" t="str">
        <f t="shared" si="7"/>
        <v/>
      </c>
      <c r="L43" s="226" t="str">
        <f t="shared" si="8"/>
        <v/>
      </c>
      <c r="M43" s="124"/>
    </row>
    <row r="44" spans="1:13" x14ac:dyDescent="0.2">
      <c r="A44" s="139" t="str">
        <f>IF(WRes!A44="","",WRes!A44)</f>
        <v/>
      </c>
      <c r="B44" s="125" t="str">
        <f>WRes!L44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6" t="str">
        <f t="shared" si="12"/>
        <v/>
      </c>
      <c r="G44" s="4" t="str">
        <f t="shared" si="13"/>
        <v/>
      </c>
      <c r="H44" s="138" t="str">
        <f t="shared" si="9"/>
        <v/>
      </c>
      <c r="I44" s="226" t="str">
        <f t="shared" si="14"/>
        <v/>
      </c>
      <c r="J44" s="4" t="str">
        <f t="shared" si="15"/>
        <v/>
      </c>
      <c r="K44" s="138" t="str">
        <f t="shared" si="7"/>
        <v/>
      </c>
      <c r="L44" s="226" t="str">
        <f t="shared" si="8"/>
        <v/>
      </c>
      <c r="M44" s="124"/>
    </row>
    <row r="45" spans="1:13" x14ac:dyDescent="0.2">
      <c r="A45" s="139" t="str">
        <f>IF(WRes!A45="","",WRes!A45)</f>
        <v/>
      </c>
      <c r="B45" s="125" t="str">
        <f>WRes!L45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6" t="str">
        <f t="shared" si="12"/>
        <v/>
      </c>
      <c r="G45" s="4" t="str">
        <f t="shared" si="13"/>
        <v/>
      </c>
      <c r="H45" s="138" t="str">
        <f t="shared" si="9"/>
        <v/>
      </c>
      <c r="I45" s="226" t="str">
        <f t="shared" si="14"/>
        <v/>
      </c>
      <c r="J45" s="4" t="str">
        <f t="shared" si="15"/>
        <v/>
      </c>
      <c r="K45" s="138" t="str">
        <f t="shared" si="7"/>
        <v/>
      </c>
      <c r="L45" s="226" t="str">
        <f t="shared" si="8"/>
        <v/>
      </c>
      <c r="M45" s="124"/>
    </row>
    <row r="46" spans="1:13" x14ac:dyDescent="0.2">
      <c r="A46" s="140" t="str">
        <f>IF(WRes!A46="","",WRes!A46)</f>
        <v/>
      </c>
      <c r="B46" s="125" t="str">
        <f>WRes!L46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6" t="str">
        <f t="shared" si="12"/>
        <v/>
      </c>
      <c r="G46" s="4" t="str">
        <f t="shared" si="13"/>
        <v/>
      </c>
      <c r="H46" s="138" t="str">
        <f t="shared" si="9"/>
        <v/>
      </c>
      <c r="I46" s="226" t="str">
        <f t="shared" si="14"/>
        <v/>
      </c>
      <c r="J46" s="4" t="str">
        <f t="shared" si="15"/>
        <v/>
      </c>
      <c r="K46" s="138" t="str">
        <f t="shared" si="7"/>
        <v/>
      </c>
      <c r="L46" s="226" t="str">
        <f t="shared" si="8"/>
        <v/>
      </c>
      <c r="M46" s="124"/>
    </row>
    <row r="47" spans="1:13" x14ac:dyDescent="0.2">
      <c r="A47" s="140" t="str">
        <f>IF(WRes!A47="","",WRes!A47)</f>
        <v/>
      </c>
      <c r="B47" s="125" t="str">
        <f>WRes!L47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6" t="str">
        <f t="shared" si="12"/>
        <v/>
      </c>
      <c r="G47" s="4" t="str">
        <f t="shared" si="13"/>
        <v/>
      </c>
      <c r="H47" s="138" t="str">
        <f t="shared" si="9"/>
        <v/>
      </c>
      <c r="I47" s="226" t="str">
        <f t="shared" si="14"/>
        <v/>
      </c>
      <c r="J47" s="4" t="str">
        <f t="shared" si="15"/>
        <v/>
      </c>
      <c r="K47" s="138" t="str">
        <f t="shared" si="7"/>
        <v/>
      </c>
      <c r="L47" s="226" t="str">
        <f t="shared" si="8"/>
        <v/>
      </c>
      <c r="M47" s="124"/>
    </row>
    <row r="48" spans="1:13" x14ac:dyDescent="0.2">
      <c r="A48" s="139" t="str">
        <f>IF(WRes!A48="","",WRes!A48)</f>
        <v/>
      </c>
      <c r="B48" s="125" t="str">
        <f>WRes!L48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6" t="str">
        <f t="shared" si="12"/>
        <v/>
      </c>
      <c r="G48" s="4" t="str">
        <f t="shared" si="13"/>
        <v/>
      </c>
      <c r="H48" s="138" t="str">
        <f t="shared" si="9"/>
        <v/>
      </c>
      <c r="I48" s="226" t="str">
        <f t="shared" si="14"/>
        <v/>
      </c>
      <c r="J48" s="4" t="str">
        <f t="shared" si="15"/>
        <v/>
      </c>
      <c r="K48" s="138" t="str">
        <f t="shared" si="7"/>
        <v/>
      </c>
      <c r="L48" s="226" t="str">
        <f t="shared" si="8"/>
        <v/>
      </c>
      <c r="M48" s="124"/>
    </row>
    <row r="49" spans="1:13" x14ac:dyDescent="0.2">
      <c r="A49" s="139" t="str">
        <f>IF(WRes!A49="","",WRes!A49)</f>
        <v/>
      </c>
      <c r="B49" s="125" t="str">
        <f>WRes!L49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6" t="str">
        <f t="shared" si="12"/>
        <v/>
      </c>
      <c r="G49" s="4" t="str">
        <f t="shared" si="13"/>
        <v/>
      </c>
      <c r="H49" s="138" t="str">
        <f t="shared" si="9"/>
        <v/>
      </c>
      <c r="I49" s="226" t="str">
        <f t="shared" si="14"/>
        <v/>
      </c>
      <c r="J49" s="4" t="str">
        <f t="shared" si="15"/>
        <v/>
      </c>
      <c r="K49" s="138" t="str">
        <f t="shared" si="7"/>
        <v/>
      </c>
      <c r="L49" s="226" t="str">
        <f t="shared" si="8"/>
        <v/>
      </c>
      <c r="M49" s="124"/>
    </row>
    <row r="50" spans="1:13" x14ac:dyDescent="0.2">
      <c r="A50" s="139" t="str">
        <f>IF(WRes!A50="","",WRes!A50)</f>
        <v/>
      </c>
      <c r="B50" s="125" t="str">
        <f>WRes!L50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6" t="str">
        <f t="shared" si="12"/>
        <v/>
      </c>
      <c r="G50" s="4" t="str">
        <f t="shared" si="13"/>
        <v/>
      </c>
      <c r="H50" s="138" t="str">
        <f t="shared" si="9"/>
        <v/>
      </c>
      <c r="I50" s="226" t="str">
        <f t="shared" si="14"/>
        <v/>
      </c>
      <c r="J50" s="4" t="str">
        <f t="shared" si="15"/>
        <v/>
      </c>
      <c r="K50" s="138" t="str">
        <f t="shared" si="7"/>
        <v/>
      </c>
      <c r="L50" s="226" t="str">
        <f t="shared" si="8"/>
        <v/>
      </c>
      <c r="M50" s="124"/>
    </row>
    <row r="51" spans="1:13" x14ac:dyDescent="0.2">
      <c r="A51" s="139" t="str">
        <f>IF(WRes!A51="","",WRes!A51)</f>
        <v/>
      </c>
      <c r="B51" s="125" t="str">
        <f>WRes!L51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6" t="str">
        <f t="shared" si="12"/>
        <v/>
      </c>
      <c r="G51" s="4" t="str">
        <f t="shared" si="13"/>
        <v/>
      </c>
      <c r="H51" s="138" t="str">
        <f t="shared" si="9"/>
        <v/>
      </c>
      <c r="I51" s="226" t="str">
        <f t="shared" si="14"/>
        <v/>
      </c>
      <c r="J51" s="4" t="str">
        <f t="shared" si="15"/>
        <v/>
      </c>
      <c r="K51" s="138" t="str">
        <f t="shared" si="7"/>
        <v/>
      </c>
      <c r="L51" s="226" t="str">
        <f t="shared" si="8"/>
        <v/>
      </c>
      <c r="M51" s="124"/>
    </row>
    <row r="52" spans="1:13" x14ac:dyDescent="0.2">
      <c r="A52" s="139" t="str">
        <f>IF(WRes!A52="","",WRes!A52)</f>
        <v/>
      </c>
      <c r="B52" s="125" t="str">
        <f>WRes!L52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6" t="str">
        <f t="shared" si="12"/>
        <v/>
      </c>
      <c r="G52" s="4" t="str">
        <f t="shared" si="13"/>
        <v/>
      </c>
      <c r="H52" s="138" t="str">
        <f t="shared" si="9"/>
        <v/>
      </c>
      <c r="I52" s="226" t="str">
        <f t="shared" si="14"/>
        <v/>
      </c>
      <c r="J52" s="4" t="str">
        <f t="shared" si="15"/>
        <v/>
      </c>
      <c r="K52" s="138" t="str">
        <f t="shared" si="7"/>
        <v/>
      </c>
      <c r="L52" s="226" t="str">
        <f t="shared" si="8"/>
        <v/>
      </c>
      <c r="M52" s="124"/>
    </row>
    <row r="53" spans="1:13" x14ac:dyDescent="0.2">
      <c r="A53" s="139" t="str">
        <f>IF(WRes!A53="","",WRes!A53)</f>
        <v/>
      </c>
      <c r="B53" s="125" t="str">
        <f>WRes!L53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6" t="str">
        <f t="shared" si="12"/>
        <v/>
      </c>
      <c r="G53" s="4" t="str">
        <f t="shared" si="13"/>
        <v/>
      </c>
      <c r="H53" s="138" t="str">
        <f t="shared" si="9"/>
        <v/>
      </c>
      <c r="I53" s="226" t="str">
        <f t="shared" si="14"/>
        <v/>
      </c>
      <c r="J53" s="4" t="str">
        <f t="shared" si="15"/>
        <v/>
      </c>
      <c r="K53" s="138" t="str">
        <f t="shared" si="7"/>
        <v/>
      </c>
      <c r="L53" s="226" t="str">
        <f t="shared" si="8"/>
        <v/>
      </c>
      <c r="M53" s="124"/>
    </row>
    <row r="54" spans="1:13" x14ac:dyDescent="0.2">
      <c r="A54" s="139" t="str">
        <f>IF(WRes!A54="","",WRes!A54)</f>
        <v/>
      </c>
      <c r="B54" s="125" t="str">
        <f>WRes!L54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6" t="str">
        <f t="shared" si="12"/>
        <v/>
      </c>
      <c r="G54" s="4" t="str">
        <f t="shared" si="13"/>
        <v/>
      </c>
      <c r="H54" s="138" t="str">
        <f t="shared" si="9"/>
        <v/>
      </c>
      <c r="I54" s="226" t="str">
        <f t="shared" si="14"/>
        <v/>
      </c>
      <c r="J54" s="4" t="str">
        <f t="shared" si="15"/>
        <v/>
      </c>
      <c r="K54" s="138" t="str">
        <f t="shared" si="7"/>
        <v/>
      </c>
      <c r="L54" s="226" t="str">
        <f t="shared" si="8"/>
        <v/>
      </c>
      <c r="M54" s="124"/>
    </row>
    <row r="55" spans="1:13" x14ac:dyDescent="0.2">
      <c r="A55" s="139" t="str">
        <f>IF(WRes!A55="","",WRes!A55)</f>
        <v/>
      </c>
      <c r="B55" s="125" t="str">
        <f>WRes!L55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6" t="str">
        <f t="shared" si="12"/>
        <v/>
      </c>
      <c r="G55" s="4" t="str">
        <f t="shared" si="13"/>
        <v/>
      </c>
      <c r="H55" s="138" t="str">
        <f t="shared" si="9"/>
        <v/>
      </c>
      <c r="I55" s="226" t="str">
        <f t="shared" si="14"/>
        <v/>
      </c>
      <c r="J55" s="4" t="str">
        <f t="shared" si="15"/>
        <v/>
      </c>
      <c r="K55" s="138" t="str">
        <f t="shared" si="7"/>
        <v/>
      </c>
      <c r="L55" s="226" t="str">
        <f t="shared" si="8"/>
        <v/>
      </c>
      <c r="M55" s="124"/>
    </row>
    <row r="56" spans="1:13" x14ac:dyDescent="0.2">
      <c r="A56" s="139" t="str">
        <f>IF(WRes!A56="","",WRes!A56)</f>
        <v/>
      </c>
      <c r="B56" s="125" t="str">
        <f>WRes!L56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6" t="str">
        <f t="shared" si="12"/>
        <v/>
      </c>
      <c r="G56" s="4" t="str">
        <f t="shared" si="13"/>
        <v/>
      </c>
      <c r="H56" s="138" t="str">
        <f t="shared" si="9"/>
        <v/>
      </c>
      <c r="I56" s="226" t="str">
        <f t="shared" si="14"/>
        <v/>
      </c>
      <c r="J56" s="4" t="str">
        <f t="shared" si="15"/>
        <v/>
      </c>
      <c r="K56" s="138" t="str">
        <f t="shared" si="7"/>
        <v/>
      </c>
      <c r="L56" s="226" t="str">
        <f t="shared" si="8"/>
        <v/>
      </c>
      <c r="M56" s="124"/>
    </row>
    <row r="57" spans="1:13" x14ac:dyDescent="0.2">
      <c r="A57" s="139" t="str">
        <f>IF(WRes!A57="","",WRes!A57)</f>
        <v/>
      </c>
      <c r="B57" s="125" t="str">
        <f>WRes!L57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6" t="str">
        <f t="shared" si="12"/>
        <v/>
      </c>
      <c r="G57" s="4" t="str">
        <f t="shared" si="13"/>
        <v/>
      </c>
      <c r="H57" s="138" t="str">
        <f t="shared" si="9"/>
        <v/>
      </c>
      <c r="I57" s="226" t="str">
        <f t="shared" si="14"/>
        <v/>
      </c>
      <c r="J57" s="4" t="str">
        <f t="shared" si="15"/>
        <v/>
      </c>
      <c r="K57" s="138" t="str">
        <f t="shared" si="7"/>
        <v/>
      </c>
      <c r="L57" s="226" t="str">
        <f t="shared" si="8"/>
        <v/>
      </c>
      <c r="M57" s="124"/>
    </row>
    <row r="58" spans="1:13" x14ac:dyDescent="0.2">
      <c r="A58" s="139" t="str">
        <f>IF(WRes!A58="","",WRes!A58)</f>
        <v/>
      </c>
      <c r="B58" s="125" t="str">
        <f>WRes!L58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6" t="str">
        <f t="shared" si="12"/>
        <v/>
      </c>
      <c r="G58" s="4" t="str">
        <f t="shared" si="13"/>
        <v/>
      </c>
      <c r="H58" s="138" t="str">
        <f t="shared" si="9"/>
        <v/>
      </c>
      <c r="I58" s="226" t="str">
        <f t="shared" si="14"/>
        <v/>
      </c>
      <c r="J58" s="4" t="str">
        <f t="shared" si="15"/>
        <v/>
      </c>
      <c r="K58" s="138" t="str">
        <f t="shared" si="7"/>
        <v/>
      </c>
      <c r="L58" s="226" t="str">
        <f t="shared" si="8"/>
        <v/>
      </c>
      <c r="M58" s="124"/>
    </row>
    <row r="59" spans="1:13" x14ac:dyDescent="0.2">
      <c r="A59" s="139" t="str">
        <f>IF(WRes!A59="","",WRes!A59)</f>
        <v/>
      </c>
      <c r="B59" s="125" t="str">
        <f>WRes!L59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6" t="str">
        <f t="shared" si="12"/>
        <v/>
      </c>
      <c r="G59" s="4" t="str">
        <f t="shared" si="13"/>
        <v/>
      </c>
      <c r="H59" s="138" t="str">
        <f t="shared" si="9"/>
        <v/>
      </c>
      <c r="I59" s="226" t="str">
        <f t="shared" si="14"/>
        <v/>
      </c>
      <c r="J59" s="4" t="str">
        <f t="shared" si="15"/>
        <v/>
      </c>
      <c r="K59" s="138" t="str">
        <f t="shared" si="7"/>
        <v/>
      </c>
      <c r="L59" s="226" t="str">
        <f t="shared" si="8"/>
        <v/>
      </c>
      <c r="M59" s="124"/>
    </row>
    <row r="60" spans="1:13" x14ac:dyDescent="0.2">
      <c r="A60" s="139" t="str">
        <f>IF(WRes!A60="","",WRes!A60)</f>
        <v/>
      </c>
      <c r="B60" s="125" t="str">
        <f>WRes!L60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6" t="str">
        <f t="shared" si="12"/>
        <v/>
      </c>
      <c r="G60" s="4" t="str">
        <f t="shared" si="13"/>
        <v/>
      </c>
      <c r="H60" s="138" t="str">
        <f t="shared" si="9"/>
        <v/>
      </c>
      <c r="I60" s="226" t="str">
        <f t="shared" si="14"/>
        <v/>
      </c>
      <c r="J60" s="4" t="str">
        <f t="shared" si="15"/>
        <v/>
      </c>
      <c r="K60" s="138" t="str">
        <f t="shared" si="7"/>
        <v/>
      </c>
      <c r="L60" s="226" t="str">
        <f t="shared" si="8"/>
        <v/>
      </c>
      <c r="M60" s="124"/>
    </row>
    <row r="61" spans="1:13" x14ac:dyDescent="0.2">
      <c r="A61" s="139" t="str">
        <f>IF(WRes!A61="","",WRes!A61)</f>
        <v/>
      </c>
      <c r="B61" s="125" t="str">
        <f>WRes!L61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6" t="str">
        <f t="shared" si="12"/>
        <v/>
      </c>
      <c r="G61" s="4" t="str">
        <f t="shared" si="13"/>
        <v/>
      </c>
      <c r="H61" s="138" t="str">
        <f t="shared" si="9"/>
        <v/>
      </c>
      <c r="I61" s="226" t="str">
        <f t="shared" si="14"/>
        <v/>
      </c>
      <c r="J61" s="4" t="str">
        <f t="shared" si="15"/>
        <v/>
      </c>
      <c r="K61" s="138" t="str">
        <f t="shared" si="7"/>
        <v/>
      </c>
      <c r="L61" s="226" t="str">
        <f t="shared" si="8"/>
        <v/>
      </c>
      <c r="M61" s="124"/>
    </row>
    <row r="62" spans="1:13" x14ac:dyDescent="0.2">
      <c r="A62" s="139" t="str">
        <f>IF(WRes!A62="","",WRes!A62)</f>
        <v/>
      </c>
      <c r="B62" s="125" t="str">
        <f>WRes!L62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6" t="str">
        <f t="shared" si="12"/>
        <v/>
      </c>
      <c r="G62" s="4" t="str">
        <f t="shared" si="13"/>
        <v/>
      </c>
      <c r="H62" s="138" t="str">
        <f t="shared" si="9"/>
        <v/>
      </c>
      <c r="I62" s="226" t="str">
        <f t="shared" si="14"/>
        <v/>
      </c>
      <c r="J62" s="4" t="str">
        <f t="shared" si="15"/>
        <v/>
      </c>
      <c r="K62" s="138" t="str">
        <f t="shared" si="7"/>
        <v/>
      </c>
      <c r="L62" s="226" t="str">
        <f t="shared" si="8"/>
        <v/>
      </c>
      <c r="M62" s="124"/>
    </row>
    <row r="63" spans="1:13" x14ac:dyDescent="0.2">
      <c r="A63" s="139" t="str">
        <f>IF(WRes!A63="","",WRes!A63)</f>
        <v/>
      </c>
      <c r="B63" s="125" t="str">
        <f>WRes!L63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6" t="str">
        <f t="shared" si="12"/>
        <v/>
      </c>
      <c r="G63" s="4" t="str">
        <f t="shared" si="13"/>
        <v/>
      </c>
      <c r="H63" s="138" t="str">
        <f t="shared" si="9"/>
        <v/>
      </c>
      <c r="I63" s="226" t="str">
        <f t="shared" si="14"/>
        <v/>
      </c>
      <c r="J63" s="4" t="str">
        <f t="shared" si="15"/>
        <v/>
      </c>
      <c r="K63" s="138" t="str">
        <f t="shared" si="7"/>
        <v/>
      </c>
      <c r="L63" s="226" t="str">
        <f t="shared" si="8"/>
        <v/>
      </c>
      <c r="M63" s="124"/>
    </row>
    <row r="64" spans="1:13" x14ac:dyDescent="0.2">
      <c r="A64" s="139" t="str">
        <f>IF(WRes!A64="","",WRes!A64)</f>
        <v/>
      </c>
      <c r="B64" s="125" t="str">
        <f>WRes!L64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6" t="str">
        <f t="shared" si="12"/>
        <v/>
      </c>
      <c r="G64" s="4" t="str">
        <f t="shared" si="13"/>
        <v/>
      </c>
      <c r="H64" s="138" t="str">
        <f t="shared" si="9"/>
        <v/>
      </c>
      <c r="I64" s="226" t="str">
        <f t="shared" si="14"/>
        <v/>
      </c>
      <c r="J64" s="4" t="str">
        <f t="shared" si="15"/>
        <v/>
      </c>
      <c r="K64" s="138" t="str">
        <f t="shared" si="7"/>
        <v/>
      </c>
      <c r="L64" s="226" t="str">
        <f t="shared" si="8"/>
        <v/>
      </c>
      <c r="M64" s="124"/>
    </row>
    <row r="65" spans="1:13" x14ac:dyDescent="0.2">
      <c r="A65" s="139" t="str">
        <f>IF(WRes!A65="","",WRes!A65)</f>
        <v/>
      </c>
      <c r="B65" s="125" t="str">
        <f>WRes!L65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6" t="str">
        <f t="shared" si="12"/>
        <v/>
      </c>
      <c r="G65" s="4" t="str">
        <f t="shared" si="13"/>
        <v/>
      </c>
      <c r="H65" s="138" t="str">
        <f t="shared" si="9"/>
        <v/>
      </c>
      <c r="I65" s="226" t="str">
        <f t="shared" si="14"/>
        <v/>
      </c>
      <c r="J65" s="4" t="str">
        <f t="shared" si="15"/>
        <v/>
      </c>
      <c r="K65" s="138" t="str">
        <f t="shared" si="7"/>
        <v/>
      </c>
      <c r="L65" s="226" t="str">
        <f t="shared" si="8"/>
        <v/>
      </c>
      <c r="M65" s="124"/>
    </row>
    <row r="66" spans="1:13" x14ac:dyDescent="0.2">
      <c r="A66" s="139" t="str">
        <f>IF(WRes!A66="","",WRes!A66)</f>
        <v/>
      </c>
      <c r="B66" s="125" t="str">
        <f>WRes!L66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6" t="str">
        <f t="shared" si="12"/>
        <v/>
      </c>
      <c r="G66" s="4" t="str">
        <f t="shared" si="13"/>
        <v/>
      </c>
      <c r="H66" s="138" t="str">
        <f t="shared" si="9"/>
        <v/>
      </c>
      <c r="I66" s="226" t="str">
        <f t="shared" si="14"/>
        <v/>
      </c>
      <c r="J66" s="4" t="str">
        <f t="shared" si="15"/>
        <v/>
      </c>
      <c r="K66" s="138" t="str">
        <f t="shared" si="7"/>
        <v/>
      </c>
      <c r="L66" s="226" t="str">
        <f t="shared" si="8"/>
        <v/>
      </c>
      <c r="M66" s="124"/>
    </row>
    <row r="67" spans="1:13" x14ac:dyDescent="0.2">
      <c r="A67" s="139" t="str">
        <f>IF(WRes!A67="","",WRes!A67)</f>
        <v/>
      </c>
      <c r="B67" s="125" t="str">
        <f>WRes!L67</f>
        <v/>
      </c>
      <c r="C67" s="4" t="str">
        <f>IF(B67="","",C66+1)</f>
        <v/>
      </c>
      <c r="D67" s="138" t="str">
        <f t="shared" ref="D67:D102" si="16">IF(B67="","",D66*(1+B67/100))</f>
        <v/>
      </c>
      <c r="E67" s="4" t="str">
        <f>IF(D67="","",E66+1)</f>
        <v/>
      </c>
      <c r="F67" s="226" t="str">
        <f t="shared" ref="F67:F102" si="17">IF(B67="","",100*(D67^(1/C67)-1))</f>
        <v/>
      </c>
      <c r="G67" s="4" t="str">
        <f t="shared" si="13"/>
        <v/>
      </c>
      <c r="H67" s="138" t="str">
        <f t="shared" si="9"/>
        <v/>
      </c>
      <c r="I67" s="226" t="str">
        <f t="shared" si="14"/>
        <v/>
      </c>
      <c r="J67" s="4" t="str">
        <f t="shared" si="15"/>
        <v/>
      </c>
      <c r="K67" s="138" t="str">
        <f t="shared" si="7"/>
        <v/>
      </c>
      <c r="L67" s="226" t="str">
        <f t="shared" si="8"/>
        <v/>
      </c>
      <c r="M67" s="124"/>
    </row>
    <row r="68" spans="1:13" x14ac:dyDescent="0.2">
      <c r="A68" s="139" t="str">
        <f>IF(WRes!A68="","",WRes!A68)</f>
        <v/>
      </c>
      <c r="B68" s="125" t="str">
        <f>WRes!L68</f>
        <v/>
      </c>
      <c r="C68" s="4" t="str">
        <f t="shared" ref="C68:E102" si="18">IF(B68="","",C67+1)</f>
        <v/>
      </c>
      <c r="D68" s="138" t="str">
        <f t="shared" si="16"/>
        <v/>
      </c>
      <c r="E68" s="4" t="str">
        <f t="shared" si="18"/>
        <v/>
      </c>
      <c r="F68" s="226" t="str">
        <f t="shared" si="17"/>
        <v/>
      </c>
      <c r="G68" s="4" t="str">
        <f t="shared" ref="G68:G102" si="19">IF(D68="","",G67+1)</f>
        <v/>
      </c>
      <c r="H68" s="138" t="str">
        <f t="shared" si="9"/>
        <v/>
      </c>
      <c r="I68" s="226" t="str">
        <f t="shared" si="14"/>
        <v/>
      </c>
      <c r="J68" s="4" t="str">
        <f t="shared" ref="J68:J102" si="20">IF(H68="","",J67+1)</f>
        <v/>
      </c>
      <c r="K68" s="138" t="str">
        <f t="shared" si="7"/>
        <v/>
      </c>
      <c r="L68" s="226" t="str">
        <f t="shared" si="8"/>
        <v/>
      </c>
      <c r="M68" s="124"/>
    </row>
    <row r="69" spans="1:13" x14ac:dyDescent="0.2">
      <c r="A69" s="139" t="str">
        <f>IF(WRes!A69="","",WRes!A69)</f>
        <v/>
      </c>
      <c r="B69" s="125" t="str">
        <f>WRes!L69</f>
        <v/>
      </c>
      <c r="C69" s="4" t="str">
        <f t="shared" si="18"/>
        <v/>
      </c>
      <c r="D69" s="138" t="str">
        <f t="shared" si="16"/>
        <v/>
      </c>
      <c r="E69" s="4" t="str">
        <f t="shared" si="18"/>
        <v/>
      </c>
      <c r="F69" s="226" t="str">
        <f t="shared" si="17"/>
        <v/>
      </c>
      <c r="G69" s="4" t="str">
        <f t="shared" si="19"/>
        <v/>
      </c>
      <c r="H69" s="138" t="str">
        <f t="shared" si="9"/>
        <v/>
      </c>
      <c r="I69" s="226" t="str">
        <f t="shared" si="14"/>
        <v/>
      </c>
      <c r="J69" s="4" t="str">
        <f t="shared" si="20"/>
        <v/>
      </c>
      <c r="K69" s="138" t="str">
        <f t="shared" si="7"/>
        <v/>
      </c>
      <c r="L69" s="226" t="str">
        <f t="shared" si="8"/>
        <v/>
      </c>
      <c r="M69" s="124"/>
    </row>
    <row r="70" spans="1:13" x14ac:dyDescent="0.2">
      <c r="A70" s="139" t="str">
        <f>IF(WRes!A70="","",WRes!A70)</f>
        <v/>
      </c>
      <c r="B70" s="125" t="str">
        <f>WRes!L70</f>
        <v/>
      </c>
      <c r="C70" s="4" t="str">
        <f t="shared" si="18"/>
        <v/>
      </c>
      <c r="D70" s="138" t="str">
        <f t="shared" si="16"/>
        <v/>
      </c>
      <c r="E70" s="4" t="str">
        <f t="shared" si="18"/>
        <v/>
      </c>
      <c r="F70" s="226" t="str">
        <f t="shared" si="17"/>
        <v/>
      </c>
      <c r="G70" s="4" t="str">
        <f t="shared" si="19"/>
        <v/>
      </c>
      <c r="H70" s="138" t="str">
        <f t="shared" si="9"/>
        <v/>
      </c>
      <c r="I70" s="226" t="str">
        <f t="shared" si="14"/>
        <v/>
      </c>
      <c r="J70" s="4" t="str">
        <f t="shared" si="20"/>
        <v/>
      </c>
      <c r="K70" s="138" t="str">
        <f t="shared" si="7"/>
        <v/>
      </c>
      <c r="L70" s="226" t="str">
        <f t="shared" si="8"/>
        <v/>
      </c>
      <c r="M70" s="124"/>
    </row>
    <row r="71" spans="1:13" x14ac:dyDescent="0.2">
      <c r="A71" s="139" t="str">
        <f>IF(WRes!A71="","",WRes!A71)</f>
        <v/>
      </c>
      <c r="B71" s="125" t="str">
        <f>WRes!L71</f>
        <v/>
      </c>
      <c r="C71" s="4" t="str">
        <f t="shared" si="18"/>
        <v/>
      </c>
      <c r="D71" s="138" t="str">
        <f t="shared" si="16"/>
        <v/>
      </c>
      <c r="E71" s="4" t="str">
        <f t="shared" si="18"/>
        <v/>
      </c>
      <c r="F71" s="226" t="str">
        <f t="shared" si="17"/>
        <v/>
      </c>
      <c r="G71" s="4" t="str">
        <f t="shared" si="19"/>
        <v/>
      </c>
      <c r="H71" s="138" t="str">
        <f t="shared" si="9"/>
        <v/>
      </c>
      <c r="I71" s="226" t="str">
        <f t="shared" ref="I71:I102" si="21">IF(B71="","",100*(H71^(1/G71)-1))</f>
        <v/>
      </c>
      <c r="J71" s="4" t="str">
        <f t="shared" si="20"/>
        <v/>
      </c>
      <c r="K71" s="138" t="str">
        <f t="shared" si="7"/>
        <v/>
      </c>
      <c r="L71" s="226" t="str">
        <f t="shared" si="8"/>
        <v/>
      </c>
      <c r="M71" s="124"/>
    </row>
    <row r="72" spans="1:13" x14ac:dyDescent="0.2">
      <c r="A72" s="139" t="str">
        <f>IF(WRes!A72="","",WRes!A72)</f>
        <v/>
      </c>
      <c r="B72" s="125" t="str">
        <f>WRes!L72</f>
        <v/>
      </c>
      <c r="C72" s="4" t="str">
        <f t="shared" si="18"/>
        <v/>
      </c>
      <c r="D72" s="138" t="str">
        <f t="shared" si="16"/>
        <v/>
      </c>
      <c r="E72" s="4" t="str">
        <f t="shared" si="18"/>
        <v/>
      </c>
      <c r="F72" s="226" t="str">
        <f t="shared" si="17"/>
        <v/>
      </c>
      <c r="G72" s="4" t="str">
        <f t="shared" si="19"/>
        <v/>
      </c>
      <c r="H72" s="138" t="str">
        <f t="shared" si="9"/>
        <v/>
      </c>
      <c r="I72" s="226" t="str">
        <f t="shared" si="21"/>
        <v/>
      </c>
      <c r="J72" s="4" t="str">
        <f t="shared" si="20"/>
        <v/>
      </c>
      <c r="K72" s="138" t="str">
        <f t="shared" ref="K72:K102" si="22">IF(B72="","",K71*(1+B72/100))</f>
        <v/>
      </c>
      <c r="L72" s="226" t="str">
        <f t="shared" ref="L72:L102" si="23">IF(B72="","",100*(K72^(1/J72)-1))</f>
        <v/>
      </c>
      <c r="M72" s="124"/>
    </row>
    <row r="73" spans="1:13" x14ac:dyDescent="0.2">
      <c r="A73" s="139" t="str">
        <f>IF(WRes!A73="","",WRes!A73)</f>
        <v/>
      </c>
      <c r="B73" s="125" t="str">
        <f>WRes!L73</f>
        <v/>
      </c>
      <c r="C73" s="4" t="str">
        <f t="shared" si="18"/>
        <v/>
      </c>
      <c r="D73" s="138" t="str">
        <f t="shared" si="16"/>
        <v/>
      </c>
      <c r="E73" s="4" t="str">
        <f t="shared" si="18"/>
        <v/>
      </c>
      <c r="F73" s="226" t="str">
        <f t="shared" si="17"/>
        <v/>
      </c>
      <c r="G73" s="4" t="str">
        <f t="shared" si="19"/>
        <v/>
      </c>
      <c r="H73" s="138" t="str">
        <f t="shared" ref="H73:H102" si="24">IF(B73="","",H72*(1+B73/100))</f>
        <v/>
      </c>
      <c r="I73" s="226" t="str">
        <f t="shared" si="21"/>
        <v/>
      </c>
      <c r="J73" s="4" t="str">
        <f t="shared" si="20"/>
        <v/>
      </c>
      <c r="K73" s="138" t="str">
        <f t="shared" si="22"/>
        <v/>
      </c>
      <c r="L73" s="226" t="str">
        <f t="shared" si="23"/>
        <v/>
      </c>
      <c r="M73" s="124"/>
    </row>
    <row r="74" spans="1:13" x14ac:dyDescent="0.2">
      <c r="A74" s="139" t="str">
        <f>IF(WRes!A74="","",WRes!A74)</f>
        <v/>
      </c>
      <c r="B74" s="125" t="str">
        <f>WRes!L74</f>
        <v/>
      </c>
      <c r="C74" s="4" t="str">
        <f t="shared" si="18"/>
        <v/>
      </c>
      <c r="D74" s="138" t="str">
        <f t="shared" si="16"/>
        <v/>
      </c>
      <c r="E74" s="4" t="str">
        <f t="shared" si="18"/>
        <v/>
      </c>
      <c r="F74" s="226" t="str">
        <f t="shared" si="17"/>
        <v/>
      </c>
      <c r="G74" s="4" t="str">
        <f t="shared" si="19"/>
        <v/>
      </c>
      <c r="H74" s="138" t="str">
        <f t="shared" si="24"/>
        <v/>
      </c>
      <c r="I74" s="226" t="str">
        <f t="shared" si="21"/>
        <v/>
      </c>
      <c r="J74" s="4" t="str">
        <f t="shared" si="20"/>
        <v/>
      </c>
      <c r="K74" s="138" t="str">
        <f t="shared" si="22"/>
        <v/>
      </c>
      <c r="L74" s="226" t="str">
        <f t="shared" si="23"/>
        <v/>
      </c>
      <c r="M74" s="124"/>
    </row>
    <row r="75" spans="1:13" x14ac:dyDescent="0.2">
      <c r="A75" s="139" t="str">
        <f>IF(WRes!A75="","",WRes!A75)</f>
        <v/>
      </c>
      <c r="B75" s="125" t="str">
        <f>WRes!L75</f>
        <v/>
      </c>
      <c r="C75" s="4" t="str">
        <f t="shared" si="18"/>
        <v/>
      </c>
      <c r="D75" s="138" t="str">
        <f t="shared" si="16"/>
        <v/>
      </c>
      <c r="E75" s="4" t="str">
        <f t="shared" si="18"/>
        <v/>
      </c>
      <c r="F75" s="226" t="str">
        <f t="shared" si="17"/>
        <v/>
      </c>
      <c r="G75" s="4" t="str">
        <f t="shared" si="19"/>
        <v/>
      </c>
      <c r="H75" s="138" t="str">
        <f t="shared" si="24"/>
        <v/>
      </c>
      <c r="I75" s="226" t="str">
        <f t="shared" si="21"/>
        <v/>
      </c>
      <c r="J75" s="4" t="str">
        <f t="shared" si="20"/>
        <v/>
      </c>
      <c r="K75" s="138" t="str">
        <f t="shared" si="22"/>
        <v/>
      </c>
      <c r="L75" s="226" t="str">
        <f t="shared" si="23"/>
        <v/>
      </c>
      <c r="M75" s="124"/>
    </row>
    <row r="76" spans="1:13" x14ac:dyDescent="0.2">
      <c r="A76" s="139" t="str">
        <f>IF(WRes!A76="","",WRes!A76)</f>
        <v/>
      </c>
      <c r="B76" s="125" t="str">
        <f>WRes!L76</f>
        <v/>
      </c>
      <c r="C76" s="4" t="str">
        <f t="shared" si="18"/>
        <v/>
      </c>
      <c r="D76" s="138" t="str">
        <f t="shared" si="16"/>
        <v/>
      </c>
      <c r="E76" s="4" t="str">
        <f t="shared" si="18"/>
        <v/>
      </c>
      <c r="F76" s="226" t="str">
        <f t="shared" si="17"/>
        <v/>
      </c>
      <c r="G76" s="4" t="str">
        <f t="shared" si="19"/>
        <v/>
      </c>
      <c r="H76" s="138" t="str">
        <f t="shared" si="24"/>
        <v/>
      </c>
      <c r="I76" s="226" t="str">
        <f t="shared" si="21"/>
        <v/>
      </c>
      <c r="J76" s="4" t="str">
        <f t="shared" si="20"/>
        <v/>
      </c>
      <c r="K76" s="138" t="str">
        <f t="shared" si="22"/>
        <v/>
      </c>
      <c r="L76" s="226" t="str">
        <f t="shared" si="23"/>
        <v/>
      </c>
      <c r="M76" s="124"/>
    </row>
    <row r="77" spans="1:13" x14ac:dyDescent="0.2">
      <c r="A77" s="139" t="str">
        <f>IF(WRes!A77="","",WRes!A77)</f>
        <v/>
      </c>
      <c r="B77" s="125" t="str">
        <f>WRes!L77</f>
        <v/>
      </c>
      <c r="C77" s="4" t="str">
        <f t="shared" si="18"/>
        <v/>
      </c>
      <c r="D77" s="138" t="str">
        <f t="shared" si="16"/>
        <v/>
      </c>
      <c r="E77" s="4" t="str">
        <f t="shared" si="18"/>
        <v/>
      </c>
      <c r="F77" s="226" t="str">
        <f t="shared" si="17"/>
        <v/>
      </c>
      <c r="G77" s="4" t="str">
        <f t="shared" si="19"/>
        <v/>
      </c>
      <c r="H77" s="138" t="str">
        <f t="shared" si="24"/>
        <v/>
      </c>
      <c r="I77" s="226" t="str">
        <f t="shared" si="21"/>
        <v/>
      </c>
      <c r="J77" s="4" t="str">
        <f t="shared" si="20"/>
        <v/>
      </c>
      <c r="K77" s="138" t="str">
        <f t="shared" si="22"/>
        <v/>
      </c>
      <c r="L77" s="226" t="str">
        <f t="shared" si="23"/>
        <v/>
      </c>
      <c r="M77" s="124"/>
    </row>
    <row r="78" spans="1:13" x14ac:dyDescent="0.2">
      <c r="A78" s="139" t="str">
        <f>IF(WRes!A78="","",WRes!A78)</f>
        <v/>
      </c>
      <c r="B78" s="125" t="str">
        <f>WRes!L78</f>
        <v/>
      </c>
      <c r="C78" s="4" t="str">
        <f t="shared" si="18"/>
        <v/>
      </c>
      <c r="D78" s="138" t="str">
        <f t="shared" si="16"/>
        <v/>
      </c>
      <c r="E78" s="4" t="str">
        <f t="shared" si="18"/>
        <v/>
      </c>
      <c r="F78" s="226" t="str">
        <f t="shared" si="17"/>
        <v/>
      </c>
      <c r="G78" s="4" t="str">
        <f t="shared" si="19"/>
        <v/>
      </c>
      <c r="H78" s="138" t="str">
        <f t="shared" si="24"/>
        <v/>
      </c>
      <c r="I78" s="226" t="str">
        <f t="shared" si="21"/>
        <v/>
      </c>
      <c r="J78" s="4" t="str">
        <f t="shared" si="20"/>
        <v/>
      </c>
      <c r="K78" s="138" t="str">
        <f t="shared" si="22"/>
        <v/>
      </c>
      <c r="L78" s="226" t="str">
        <f t="shared" si="23"/>
        <v/>
      </c>
      <c r="M78" s="124"/>
    </row>
    <row r="79" spans="1:13" x14ac:dyDescent="0.2">
      <c r="A79" s="139" t="str">
        <f>IF(WRes!A79="","",WRes!A79)</f>
        <v/>
      </c>
      <c r="B79" s="125" t="str">
        <f>WRes!L79</f>
        <v/>
      </c>
      <c r="C79" s="4" t="str">
        <f t="shared" si="18"/>
        <v/>
      </c>
      <c r="D79" s="138" t="str">
        <f t="shared" si="16"/>
        <v/>
      </c>
      <c r="E79" s="4" t="str">
        <f t="shared" si="18"/>
        <v/>
      </c>
      <c r="F79" s="226" t="str">
        <f t="shared" si="17"/>
        <v/>
      </c>
      <c r="G79" s="4" t="str">
        <f t="shared" si="19"/>
        <v/>
      </c>
      <c r="H79" s="138" t="str">
        <f t="shared" si="24"/>
        <v/>
      </c>
      <c r="I79" s="226" t="str">
        <f t="shared" si="21"/>
        <v/>
      </c>
      <c r="J79" s="4" t="str">
        <f t="shared" si="20"/>
        <v/>
      </c>
      <c r="K79" s="138" t="str">
        <f t="shared" si="22"/>
        <v/>
      </c>
      <c r="L79" s="226" t="str">
        <f t="shared" si="23"/>
        <v/>
      </c>
      <c r="M79" s="124"/>
    </row>
    <row r="80" spans="1:13" x14ac:dyDescent="0.2">
      <c r="A80" s="139" t="str">
        <f>IF(WRes!A80="","",WRes!A80)</f>
        <v/>
      </c>
      <c r="B80" s="125" t="str">
        <f>WRes!L80</f>
        <v/>
      </c>
      <c r="C80" s="4" t="str">
        <f t="shared" si="18"/>
        <v/>
      </c>
      <c r="D80" s="138" t="str">
        <f t="shared" si="16"/>
        <v/>
      </c>
      <c r="E80" s="4" t="str">
        <f t="shared" si="18"/>
        <v/>
      </c>
      <c r="F80" s="226" t="str">
        <f t="shared" si="17"/>
        <v/>
      </c>
      <c r="G80" s="4" t="str">
        <f t="shared" si="19"/>
        <v/>
      </c>
      <c r="H80" s="138" t="str">
        <f t="shared" si="24"/>
        <v/>
      </c>
      <c r="I80" s="226" t="str">
        <f t="shared" si="21"/>
        <v/>
      </c>
      <c r="J80" s="4" t="str">
        <f t="shared" si="20"/>
        <v/>
      </c>
      <c r="K80" s="138" t="str">
        <f t="shared" si="22"/>
        <v/>
      </c>
      <c r="L80" s="226" t="str">
        <f t="shared" si="23"/>
        <v/>
      </c>
      <c r="M80" s="124"/>
    </row>
    <row r="81" spans="1:13" x14ac:dyDescent="0.2">
      <c r="A81" s="139" t="str">
        <f>IF(WRes!A81="","",WRes!A81)</f>
        <v/>
      </c>
      <c r="B81" s="125" t="str">
        <f>WRes!L81</f>
        <v/>
      </c>
      <c r="C81" s="4" t="str">
        <f t="shared" si="18"/>
        <v/>
      </c>
      <c r="D81" s="138" t="str">
        <f t="shared" si="16"/>
        <v/>
      </c>
      <c r="E81" s="4" t="str">
        <f t="shared" si="18"/>
        <v/>
      </c>
      <c r="F81" s="226" t="str">
        <f t="shared" si="17"/>
        <v/>
      </c>
      <c r="G81" s="4" t="str">
        <f t="shared" si="19"/>
        <v/>
      </c>
      <c r="H81" s="138" t="str">
        <f t="shared" si="24"/>
        <v/>
      </c>
      <c r="I81" s="226" t="str">
        <f t="shared" si="21"/>
        <v/>
      </c>
      <c r="J81" s="4" t="str">
        <f t="shared" si="20"/>
        <v/>
      </c>
      <c r="K81" s="138" t="str">
        <f t="shared" si="22"/>
        <v/>
      </c>
      <c r="L81" s="226" t="str">
        <f t="shared" si="23"/>
        <v/>
      </c>
      <c r="M81" s="124"/>
    </row>
    <row r="82" spans="1:13" x14ac:dyDescent="0.2">
      <c r="A82" s="139" t="str">
        <f>IF(WRes!A82="","",WRes!A82)</f>
        <v/>
      </c>
      <c r="B82" s="125" t="str">
        <f>WRes!L82</f>
        <v/>
      </c>
      <c r="C82" s="4" t="str">
        <f t="shared" si="18"/>
        <v/>
      </c>
      <c r="D82" s="138" t="str">
        <f t="shared" si="16"/>
        <v/>
      </c>
      <c r="E82" s="4" t="str">
        <f t="shared" si="18"/>
        <v/>
      </c>
      <c r="F82" s="226" t="str">
        <f t="shared" si="17"/>
        <v/>
      </c>
      <c r="G82" s="4" t="str">
        <f t="shared" si="19"/>
        <v/>
      </c>
      <c r="H82" s="138" t="str">
        <f t="shared" si="24"/>
        <v/>
      </c>
      <c r="I82" s="226" t="str">
        <f t="shared" si="21"/>
        <v/>
      </c>
      <c r="J82" s="4" t="str">
        <f t="shared" si="20"/>
        <v/>
      </c>
      <c r="K82" s="138" t="str">
        <f t="shared" si="22"/>
        <v/>
      </c>
      <c r="L82" s="226" t="str">
        <f t="shared" si="23"/>
        <v/>
      </c>
      <c r="M82" s="124"/>
    </row>
    <row r="83" spans="1:13" x14ac:dyDescent="0.2">
      <c r="A83" s="139" t="str">
        <f>IF(WRes!A83="","",WRes!A83)</f>
        <v/>
      </c>
      <c r="B83" s="125" t="str">
        <f>WRes!L83</f>
        <v/>
      </c>
      <c r="C83" s="4" t="str">
        <f t="shared" si="18"/>
        <v/>
      </c>
      <c r="D83" s="138" t="str">
        <f t="shared" si="16"/>
        <v/>
      </c>
      <c r="E83" s="4" t="str">
        <f t="shared" si="18"/>
        <v/>
      </c>
      <c r="F83" s="226" t="str">
        <f t="shared" si="17"/>
        <v/>
      </c>
      <c r="G83" s="4" t="str">
        <f t="shared" si="19"/>
        <v/>
      </c>
      <c r="H83" s="138" t="str">
        <f t="shared" si="24"/>
        <v/>
      </c>
      <c r="I83" s="226" t="str">
        <f t="shared" si="21"/>
        <v/>
      </c>
      <c r="J83" s="4" t="str">
        <f t="shared" si="20"/>
        <v/>
      </c>
      <c r="K83" s="138" t="str">
        <f t="shared" si="22"/>
        <v/>
      </c>
      <c r="L83" s="226" t="str">
        <f t="shared" si="23"/>
        <v/>
      </c>
      <c r="M83" s="124"/>
    </row>
    <row r="84" spans="1:13" x14ac:dyDescent="0.2">
      <c r="A84" s="139" t="str">
        <f>IF(WRes!A84="","",WRes!A84)</f>
        <v/>
      </c>
      <c r="B84" s="125" t="str">
        <f>WRes!L84</f>
        <v/>
      </c>
      <c r="C84" s="4" t="str">
        <f t="shared" si="18"/>
        <v/>
      </c>
      <c r="D84" s="138" t="str">
        <f t="shared" si="16"/>
        <v/>
      </c>
      <c r="E84" s="4" t="str">
        <f t="shared" si="18"/>
        <v/>
      </c>
      <c r="F84" s="226" t="str">
        <f t="shared" si="17"/>
        <v/>
      </c>
      <c r="G84" s="4" t="str">
        <f t="shared" si="19"/>
        <v/>
      </c>
      <c r="H84" s="138" t="str">
        <f t="shared" si="24"/>
        <v/>
      </c>
      <c r="I84" s="226" t="str">
        <f t="shared" si="21"/>
        <v/>
      </c>
      <c r="J84" s="4" t="str">
        <f t="shared" si="20"/>
        <v/>
      </c>
      <c r="K84" s="138" t="str">
        <f t="shared" si="22"/>
        <v/>
      </c>
      <c r="L84" s="226" t="str">
        <f t="shared" si="23"/>
        <v/>
      </c>
      <c r="M84" s="124"/>
    </row>
    <row r="85" spans="1:13" x14ac:dyDescent="0.2">
      <c r="A85" s="139" t="str">
        <f>IF(WRes!A85="","",WRes!A85)</f>
        <v/>
      </c>
      <c r="B85" s="125" t="str">
        <f>WRes!L85</f>
        <v/>
      </c>
      <c r="C85" s="4" t="str">
        <f t="shared" si="18"/>
        <v/>
      </c>
      <c r="D85" s="138" t="str">
        <f t="shared" si="16"/>
        <v/>
      </c>
      <c r="E85" s="4" t="str">
        <f t="shared" si="18"/>
        <v/>
      </c>
      <c r="F85" s="226" t="str">
        <f t="shared" si="17"/>
        <v/>
      </c>
      <c r="G85" s="4" t="str">
        <f t="shared" si="19"/>
        <v/>
      </c>
      <c r="H85" s="138" t="str">
        <f t="shared" si="24"/>
        <v/>
      </c>
      <c r="I85" s="226" t="str">
        <f t="shared" si="21"/>
        <v/>
      </c>
      <c r="J85" s="4" t="str">
        <f t="shared" si="20"/>
        <v/>
      </c>
      <c r="K85" s="138" t="str">
        <f t="shared" si="22"/>
        <v/>
      </c>
      <c r="L85" s="226" t="str">
        <f t="shared" si="23"/>
        <v/>
      </c>
      <c r="M85" s="124"/>
    </row>
    <row r="86" spans="1:13" x14ac:dyDescent="0.2">
      <c r="A86" s="139" t="str">
        <f>IF(WRes!A86="","",WRes!A86)</f>
        <v/>
      </c>
      <c r="B86" s="125" t="str">
        <f>WRes!L86</f>
        <v/>
      </c>
      <c r="C86" s="4" t="str">
        <f t="shared" si="18"/>
        <v/>
      </c>
      <c r="D86" s="138" t="str">
        <f t="shared" si="16"/>
        <v/>
      </c>
      <c r="E86" s="4" t="str">
        <f t="shared" si="18"/>
        <v/>
      </c>
      <c r="F86" s="226" t="str">
        <f t="shared" si="17"/>
        <v/>
      </c>
      <c r="G86" s="4" t="str">
        <f t="shared" si="19"/>
        <v/>
      </c>
      <c r="H86" s="138" t="str">
        <f t="shared" si="24"/>
        <v/>
      </c>
      <c r="I86" s="226" t="str">
        <f t="shared" si="21"/>
        <v/>
      </c>
      <c r="J86" s="4" t="str">
        <f t="shared" si="20"/>
        <v/>
      </c>
      <c r="K86" s="138" t="str">
        <f t="shared" si="22"/>
        <v/>
      </c>
      <c r="L86" s="226" t="str">
        <f t="shared" si="23"/>
        <v/>
      </c>
      <c r="M86" s="124"/>
    </row>
    <row r="87" spans="1:13" x14ac:dyDescent="0.2">
      <c r="A87" s="139" t="str">
        <f>IF(WRes!A87="","",WRes!A87)</f>
        <v/>
      </c>
      <c r="B87" s="125" t="str">
        <f>WRes!L87</f>
        <v/>
      </c>
      <c r="C87" s="4" t="str">
        <f t="shared" si="18"/>
        <v/>
      </c>
      <c r="D87" s="138" t="str">
        <f t="shared" si="16"/>
        <v/>
      </c>
      <c r="E87" s="4" t="str">
        <f t="shared" si="18"/>
        <v/>
      </c>
      <c r="F87" s="226" t="str">
        <f t="shared" si="17"/>
        <v/>
      </c>
      <c r="G87" s="4" t="str">
        <f t="shared" si="19"/>
        <v/>
      </c>
      <c r="H87" s="138" t="str">
        <f t="shared" si="24"/>
        <v/>
      </c>
      <c r="I87" s="226" t="str">
        <f t="shared" si="21"/>
        <v/>
      </c>
      <c r="J87" s="4" t="str">
        <f t="shared" si="20"/>
        <v/>
      </c>
      <c r="K87" s="138" t="str">
        <f t="shared" si="22"/>
        <v/>
      </c>
      <c r="L87" s="226" t="str">
        <f t="shared" si="23"/>
        <v/>
      </c>
      <c r="M87" s="124"/>
    </row>
    <row r="88" spans="1:13" x14ac:dyDescent="0.2">
      <c r="A88" s="139" t="str">
        <f>IF(WRes!A88="","",WRes!A88)</f>
        <v/>
      </c>
      <c r="B88" s="125" t="str">
        <f>WRes!L88</f>
        <v/>
      </c>
      <c r="C88" s="4" t="str">
        <f t="shared" si="18"/>
        <v/>
      </c>
      <c r="D88" s="138" t="str">
        <f t="shared" si="16"/>
        <v/>
      </c>
      <c r="E88" s="4" t="str">
        <f t="shared" si="18"/>
        <v/>
      </c>
      <c r="F88" s="226" t="str">
        <f t="shared" si="17"/>
        <v/>
      </c>
      <c r="G88" s="4" t="str">
        <f t="shared" si="19"/>
        <v/>
      </c>
      <c r="H88" s="138" t="str">
        <f t="shared" si="24"/>
        <v/>
      </c>
      <c r="I88" s="226" t="str">
        <f t="shared" si="21"/>
        <v/>
      </c>
      <c r="J88" s="4" t="str">
        <f t="shared" si="20"/>
        <v/>
      </c>
      <c r="K88" s="138" t="str">
        <f t="shared" si="22"/>
        <v/>
      </c>
      <c r="L88" s="226" t="str">
        <f t="shared" si="23"/>
        <v/>
      </c>
      <c r="M88" s="124"/>
    </row>
    <row r="89" spans="1:13" x14ac:dyDescent="0.2">
      <c r="A89" s="139" t="str">
        <f>IF(WRes!A89="","",WRes!A89)</f>
        <v/>
      </c>
      <c r="B89" s="125" t="str">
        <f>WRes!L89</f>
        <v/>
      </c>
      <c r="C89" s="4" t="str">
        <f t="shared" si="18"/>
        <v/>
      </c>
      <c r="D89" s="138" t="str">
        <f t="shared" si="16"/>
        <v/>
      </c>
      <c r="E89" s="4" t="str">
        <f t="shared" si="18"/>
        <v/>
      </c>
      <c r="F89" s="226" t="str">
        <f t="shared" si="17"/>
        <v/>
      </c>
      <c r="G89" s="4" t="str">
        <f t="shared" si="19"/>
        <v/>
      </c>
      <c r="H89" s="138" t="str">
        <f t="shared" si="24"/>
        <v/>
      </c>
      <c r="I89" s="226" t="str">
        <f t="shared" si="21"/>
        <v/>
      </c>
      <c r="J89" s="4" t="str">
        <f t="shared" si="20"/>
        <v/>
      </c>
      <c r="K89" s="138" t="str">
        <f t="shared" si="22"/>
        <v/>
      </c>
      <c r="L89" s="226" t="str">
        <f t="shared" si="23"/>
        <v/>
      </c>
      <c r="M89" s="124"/>
    </row>
    <row r="90" spans="1:13" x14ac:dyDescent="0.2">
      <c r="A90" s="139" t="str">
        <f>IF(WRes!A90="","",WRes!A90)</f>
        <v/>
      </c>
      <c r="B90" s="125" t="str">
        <f>WRes!L90</f>
        <v/>
      </c>
      <c r="C90" s="4" t="str">
        <f t="shared" si="18"/>
        <v/>
      </c>
      <c r="D90" s="138" t="str">
        <f t="shared" si="16"/>
        <v/>
      </c>
      <c r="E90" s="4" t="str">
        <f t="shared" si="18"/>
        <v/>
      </c>
      <c r="F90" s="226" t="str">
        <f t="shared" si="17"/>
        <v/>
      </c>
      <c r="G90" s="4" t="str">
        <f t="shared" si="19"/>
        <v/>
      </c>
      <c r="H90" s="138" t="str">
        <f t="shared" si="24"/>
        <v/>
      </c>
      <c r="I90" s="226" t="str">
        <f t="shared" si="21"/>
        <v/>
      </c>
      <c r="J90" s="4" t="str">
        <f t="shared" si="20"/>
        <v/>
      </c>
      <c r="K90" s="138" t="str">
        <f t="shared" si="22"/>
        <v/>
      </c>
      <c r="L90" s="226" t="str">
        <f t="shared" si="23"/>
        <v/>
      </c>
      <c r="M90" s="124"/>
    </row>
    <row r="91" spans="1:13" x14ac:dyDescent="0.2">
      <c r="A91" s="139" t="str">
        <f>IF(WRes!A91="","",WRes!A91)</f>
        <v/>
      </c>
      <c r="B91" s="125" t="str">
        <f>WRes!L91</f>
        <v/>
      </c>
      <c r="C91" s="4" t="str">
        <f t="shared" si="18"/>
        <v/>
      </c>
      <c r="D91" s="138" t="str">
        <f t="shared" si="16"/>
        <v/>
      </c>
      <c r="E91" s="4" t="str">
        <f t="shared" si="18"/>
        <v/>
      </c>
      <c r="F91" s="226" t="str">
        <f t="shared" si="17"/>
        <v/>
      </c>
      <c r="G91" s="4" t="str">
        <f t="shared" si="19"/>
        <v/>
      </c>
      <c r="H91" s="138" t="str">
        <f t="shared" si="24"/>
        <v/>
      </c>
      <c r="I91" s="226" t="str">
        <f t="shared" si="21"/>
        <v/>
      </c>
      <c r="J91" s="4" t="str">
        <f t="shared" si="20"/>
        <v/>
      </c>
      <c r="K91" s="138" t="str">
        <f t="shared" si="22"/>
        <v/>
      </c>
      <c r="L91" s="226" t="str">
        <f t="shared" si="23"/>
        <v/>
      </c>
      <c r="M91" s="124"/>
    </row>
    <row r="92" spans="1:13" x14ac:dyDescent="0.2">
      <c r="A92" s="139" t="str">
        <f>IF(WRes!A92="","",WRes!A92)</f>
        <v/>
      </c>
      <c r="B92" s="125" t="str">
        <f>WRes!L92</f>
        <v/>
      </c>
      <c r="C92" s="4" t="str">
        <f t="shared" si="18"/>
        <v/>
      </c>
      <c r="D92" s="138" t="str">
        <f t="shared" si="16"/>
        <v/>
      </c>
      <c r="E92" s="4" t="str">
        <f t="shared" si="18"/>
        <v/>
      </c>
      <c r="F92" s="226" t="str">
        <f t="shared" si="17"/>
        <v/>
      </c>
      <c r="G92" s="4" t="str">
        <f t="shared" si="19"/>
        <v/>
      </c>
      <c r="H92" s="138" t="str">
        <f t="shared" si="24"/>
        <v/>
      </c>
      <c r="I92" s="226" t="str">
        <f t="shared" si="21"/>
        <v/>
      </c>
      <c r="J92" s="4" t="str">
        <f t="shared" si="20"/>
        <v/>
      </c>
      <c r="K92" s="138" t="str">
        <f t="shared" si="22"/>
        <v/>
      </c>
      <c r="L92" s="226" t="str">
        <f t="shared" si="23"/>
        <v/>
      </c>
      <c r="M92" s="124"/>
    </row>
    <row r="93" spans="1:13" x14ac:dyDescent="0.2">
      <c r="A93" s="139" t="str">
        <f>IF(WRes!A93="","",WRes!A93)</f>
        <v/>
      </c>
      <c r="B93" s="125" t="str">
        <f>WRes!L93</f>
        <v/>
      </c>
      <c r="C93" s="4" t="str">
        <f t="shared" si="18"/>
        <v/>
      </c>
      <c r="D93" s="138" t="str">
        <f t="shared" si="16"/>
        <v/>
      </c>
      <c r="E93" s="4" t="str">
        <f t="shared" si="18"/>
        <v/>
      </c>
      <c r="F93" s="226" t="str">
        <f t="shared" si="17"/>
        <v/>
      </c>
      <c r="G93" s="4" t="str">
        <f t="shared" si="19"/>
        <v/>
      </c>
      <c r="H93" s="138" t="str">
        <f t="shared" si="24"/>
        <v/>
      </c>
      <c r="I93" s="226" t="str">
        <f t="shared" si="21"/>
        <v/>
      </c>
      <c r="J93" s="4" t="str">
        <f t="shared" si="20"/>
        <v/>
      </c>
      <c r="K93" s="138" t="str">
        <f t="shared" si="22"/>
        <v/>
      </c>
      <c r="L93" s="226" t="str">
        <f t="shared" si="23"/>
        <v/>
      </c>
      <c r="M93" s="124"/>
    </row>
    <row r="94" spans="1:13" x14ac:dyDescent="0.2">
      <c r="A94" s="139" t="str">
        <f>IF(WRes!A94="","",WRes!A94)</f>
        <v/>
      </c>
      <c r="B94" s="125" t="str">
        <f>WRes!L94</f>
        <v/>
      </c>
      <c r="C94" s="4" t="str">
        <f t="shared" si="18"/>
        <v/>
      </c>
      <c r="D94" s="138" t="str">
        <f t="shared" si="16"/>
        <v/>
      </c>
      <c r="E94" s="4" t="str">
        <f t="shared" si="18"/>
        <v/>
      </c>
      <c r="F94" s="226" t="str">
        <f t="shared" si="17"/>
        <v/>
      </c>
      <c r="G94" s="4" t="str">
        <f t="shared" si="19"/>
        <v/>
      </c>
      <c r="H94" s="138" t="str">
        <f t="shared" si="24"/>
        <v/>
      </c>
      <c r="I94" s="226" t="str">
        <f t="shared" si="21"/>
        <v/>
      </c>
      <c r="J94" s="4" t="str">
        <f t="shared" si="20"/>
        <v/>
      </c>
      <c r="K94" s="138" t="str">
        <f t="shared" si="22"/>
        <v/>
      </c>
      <c r="L94" s="226" t="str">
        <f t="shared" si="23"/>
        <v/>
      </c>
      <c r="M94" s="124"/>
    </row>
    <row r="95" spans="1:13" x14ac:dyDescent="0.2">
      <c r="A95" s="139" t="str">
        <f>IF(WRes!A95="","",WRes!A95)</f>
        <v/>
      </c>
      <c r="B95" s="125" t="str">
        <f>WRes!L95</f>
        <v/>
      </c>
      <c r="C95" s="4" t="str">
        <f t="shared" si="18"/>
        <v/>
      </c>
      <c r="D95" s="138" t="str">
        <f t="shared" si="16"/>
        <v/>
      </c>
      <c r="E95" s="4" t="str">
        <f t="shared" si="18"/>
        <v/>
      </c>
      <c r="F95" s="226" t="str">
        <f t="shared" si="17"/>
        <v/>
      </c>
      <c r="G95" s="4" t="str">
        <f t="shared" si="19"/>
        <v/>
      </c>
      <c r="H95" s="138" t="str">
        <f t="shared" si="24"/>
        <v/>
      </c>
      <c r="I95" s="226" t="str">
        <f t="shared" si="21"/>
        <v/>
      </c>
      <c r="J95" s="4" t="str">
        <f t="shared" si="20"/>
        <v/>
      </c>
      <c r="K95" s="138" t="str">
        <f t="shared" si="22"/>
        <v/>
      </c>
      <c r="L95" s="226" t="str">
        <f t="shared" si="23"/>
        <v/>
      </c>
      <c r="M95" s="124"/>
    </row>
    <row r="96" spans="1:13" x14ac:dyDescent="0.2">
      <c r="A96" s="139" t="str">
        <f>IF(WRes!A96="","",WRes!A96)</f>
        <v/>
      </c>
      <c r="B96" s="125" t="str">
        <f>WRes!L96</f>
        <v/>
      </c>
      <c r="C96" s="4" t="str">
        <f t="shared" si="18"/>
        <v/>
      </c>
      <c r="D96" s="138" t="str">
        <f t="shared" si="16"/>
        <v/>
      </c>
      <c r="E96" s="4" t="str">
        <f t="shared" si="18"/>
        <v/>
      </c>
      <c r="F96" s="226" t="str">
        <f t="shared" si="17"/>
        <v/>
      </c>
      <c r="G96" s="4" t="str">
        <f t="shared" si="19"/>
        <v/>
      </c>
      <c r="H96" s="138" t="str">
        <f t="shared" si="24"/>
        <v/>
      </c>
      <c r="I96" s="226" t="str">
        <f t="shared" si="21"/>
        <v/>
      </c>
      <c r="J96" s="4" t="str">
        <f t="shared" si="20"/>
        <v/>
      </c>
      <c r="K96" s="138" t="str">
        <f t="shared" si="22"/>
        <v/>
      </c>
      <c r="L96" s="226" t="str">
        <f t="shared" si="23"/>
        <v/>
      </c>
      <c r="M96" s="124"/>
    </row>
    <row r="97" spans="1:13" x14ac:dyDescent="0.2">
      <c r="A97" s="139" t="str">
        <f>IF(WRes!A97="","",WRes!A97)</f>
        <v/>
      </c>
      <c r="B97" s="125" t="str">
        <f>WRes!L97</f>
        <v/>
      </c>
      <c r="C97" s="4" t="str">
        <f t="shared" si="18"/>
        <v/>
      </c>
      <c r="D97" s="138" t="str">
        <f t="shared" si="16"/>
        <v/>
      </c>
      <c r="E97" s="4" t="str">
        <f t="shared" si="18"/>
        <v/>
      </c>
      <c r="F97" s="226" t="str">
        <f t="shared" si="17"/>
        <v/>
      </c>
      <c r="G97" s="4" t="str">
        <f t="shared" si="19"/>
        <v/>
      </c>
      <c r="H97" s="138" t="str">
        <f t="shared" si="24"/>
        <v/>
      </c>
      <c r="I97" s="226" t="str">
        <f t="shared" si="21"/>
        <v/>
      </c>
      <c r="J97" s="4" t="str">
        <f t="shared" si="20"/>
        <v/>
      </c>
      <c r="K97" s="138" t="str">
        <f t="shared" si="22"/>
        <v/>
      </c>
      <c r="L97" s="226" t="str">
        <f t="shared" si="23"/>
        <v/>
      </c>
      <c r="M97" s="124"/>
    </row>
    <row r="98" spans="1:13" x14ac:dyDescent="0.2">
      <c r="A98" s="139" t="str">
        <f>IF(WRes!A98="","",WRes!A98)</f>
        <v/>
      </c>
      <c r="B98" s="125" t="str">
        <f>WRes!L98</f>
        <v/>
      </c>
      <c r="C98" s="4" t="str">
        <f t="shared" si="18"/>
        <v/>
      </c>
      <c r="D98" s="138" t="str">
        <f t="shared" si="16"/>
        <v/>
      </c>
      <c r="E98" s="4" t="str">
        <f t="shared" si="18"/>
        <v/>
      </c>
      <c r="F98" s="226" t="str">
        <f t="shared" si="17"/>
        <v/>
      </c>
      <c r="G98" s="4" t="str">
        <f t="shared" si="19"/>
        <v/>
      </c>
      <c r="H98" s="138" t="str">
        <f t="shared" si="24"/>
        <v/>
      </c>
      <c r="I98" s="226" t="str">
        <f t="shared" si="21"/>
        <v/>
      </c>
      <c r="J98" s="4" t="str">
        <f t="shared" si="20"/>
        <v/>
      </c>
      <c r="K98" s="138" t="str">
        <f t="shared" si="22"/>
        <v/>
      </c>
      <c r="L98" s="226" t="str">
        <f t="shared" si="23"/>
        <v/>
      </c>
      <c r="M98" s="124"/>
    </row>
    <row r="99" spans="1:13" x14ac:dyDescent="0.2">
      <c r="A99" s="139" t="str">
        <f>IF(WRes!A99="","",WRes!A99)</f>
        <v/>
      </c>
      <c r="B99" s="125" t="str">
        <f>WRes!L99</f>
        <v/>
      </c>
      <c r="C99" s="4" t="str">
        <f t="shared" si="18"/>
        <v/>
      </c>
      <c r="D99" s="138" t="str">
        <f t="shared" si="16"/>
        <v/>
      </c>
      <c r="E99" s="4" t="str">
        <f t="shared" si="18"/>
        <v/>
      </c>
      <c r="F99" s="226" t="str">
        <f t="shared" si="17"/>
        <v/>
      </c>
      <c r="G99" s="4" t="str">
        <f t="shared" si="19"/>
        <v/>
      </c>
      <c r="H99" s="138" t="str">
        <f t="shared" si="24"/>
        <v/>
      </c>
      <c r="I99" s="226" t="str">
        <f t="shared" si="21"/>
        <v/>
      </c>
      <c r="J99" s="4" t="str">
        <f t="shared" si="20"/>
        <v/>
      </c>
      <c r="K99" s="138" t="str">
        <f t="shared" si="22"/>
        <v/>
      </c>
      <c r="L99" s="226" t="str">
        <f t="shared" si="23"/>
        <v/>
      </c>
      <c r="M99" s="124"/>
    </row>
    <row r="100" spans="1:13" x14ac:dyDescent="0.2">
      <c r="A100" s="139" t="str">
        <f>IF(WRes!A100="","",WRes!A100)</f>
        <v/>
      </c>
      <c r="B100" s="125" t="str">
        <f>WRes!L100</f>
        <v/>
      </c>
      <c r="C100" s="4" t="str">
        <f t="shared" si="18"/>
        <v/>
      </c>
      <c r="D100" s="138" t="str">
        <f t="shared" si="16"/>
        <v/>
      </c>
      <c r="E100" s="4" t="str">
        <f t="shared" si="18"/>
        <v/>
      </c>
      <c r="F100" s="226" t="str">
        <f t="shared" si="17"/>
        <v/>
      </c>
      <c r="G100" s="4" t="str">
        <f t="shared" si="19"/>
        <v/>
      </c>
      <c r="H100" s="138" t="str">
        <f t="shared" si="24"/>
        <v/>
      </c>
      <c r="I100" s="226" t="str">
        <f t="shared" si="21"/>
        <v/>
      </c>
      <c r="J100" s="4" t="str">
        <f t="shared" si="20"/>
        <v/>
      </c>
      <c r="K100" s="138" t="str">
        <f t="shared" si="22"/>
        <v/>
      </c>
      <c r="L100" s="226" t="str">
        <f t="shared" si="23"/>
        <v/>
      </c>
      <c r="M100" s="124"/>
    </row>
    <row r="101" spans="1:13" x14ac:dyDescent="0.2">
      <c r="A101" s="139" t="str">
        <f>IF(WRes!A101="","",WRes!A101)</f>
        <v/>
      </c>
      <c r="B101" s="125" t="str">
        <f>WRes!L101</f>
        <v/>
      </c>
      <c r="C101" s="4" t="str">
        <f t="shared" si="18"/>
        <v/>
      </c>
      <c r="D101" s="138" t="str">
        <f t="shared" si="16"/>
        <v/>
      </c>
      <c r="E101" s="4" t="str">
        <f t="shared" si="18"/>
        <v/>
      </c>
      <c r="F101" s="226" t="str">
        <f t="shared" si="17"/>
        <v/>
      </c>
      <c r="G101" s="4" t="str">
        <f t="shared" si="19"/>
        <v/>
      </c>
      <c r="H101" s="138" t="str">
        <f t="shared" si="24"/>
        <v/>
      </c>
      <c r="I101" s="226" t="str">
        <f t="shared" si="21"/>
        <v/>
      </c>
      <c r="J101" s="4" t="str">
        <f t="shared" si="20"/>
        <v/>
      </c>
      <c r="K101" s="138" t="str">
        <f t="shared" si="22"/>
        <v/>
      </c>
      <c r="L101" s="226" t="str">
        <f t="shared" si="23"/>
        <v/>
      </c>
      <c r="M101" s="124"/>
    </row>
    <row r="102" spans="1:13" x14ac:dyDescent="0.2">
      <c r="A102" s="139" t="str">
        <f>IF(WRes!A102="","",WRes!A102)</f>
        <v/>
      </c>
      <c r="B102" s="125" t="str">
        <f>WRes!L102</f>
        <v/>
      </c>
      <c r="C102" s="4" t="str">
        <f t="shared" si="18"/>
        <v/>
      </c>
      <c r="D102" s="138" t="str">
        <f t="shared" si="16"/>
        <v/>
      </c>
      <c r="E102" s="4" t="str">
        <f t="shared" si="18"/>
        <v/>
      </c>
      <c r="F102" s="226" t="str">
        <f t="shared" si="17"/>
        <v/>
      </c>
      <c r="G102" s="4" t="str">
        <f t="shared" si="19"/>
        <v/>
      </c>
      <c r="H102" s="138" t="str">
        <f t="shared" si="24"/>
        <v/>
      </c>
      <c r="I102" s="226" t="str">
        <f t="shared" si="21"/>
        <v/>
      </c>
      <c r="J102" s="4" t="str">
        <f t="shared" si="20"/>
        <v/>
      </c>
      <c r="K102" s="138" t="str">
        <f t="shared" si="22"/>
        <v/>
      </c>
      <c r="L102" s="226" t="str">
        <f t="shared" si="23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3" sqref="I3"/>
    </sheetView>
  </sheetViews>
  <sheetFormatPr defaultRowHeight="12.75" x14ac:dyDescent="0.2"/>
  <cols>
    <col min="15" max="15" width="9.140625" style="119"/>
  </cols>
  <sheetData>
    <row r="1" spans="1:1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/>
      <c r="B3" s="130"/>
      <c r="C3" s="22" t="str">
        <f t="shared" ref="C3:C66" si="0">IF(B3="","",C2+B3)</f>
        <v/>
      </c>
      <c r="D3" s="130"/>
      <c r="E3" s="22" t="str">
        <f t="shared" ref="E3:E66" si="1">IF(B3="","",IF(D3="","",D3-D2-B3))</f>
        <v/>
      </c>
      <c r="F3" s="22" t="str">
        <f t="shared" ref="F3:F66" si="2">IF(E3="","",F2+E3)</f>
        <v/>
      </c>
      <c r="G3" s="125" t="str">
        <f t="shared" ref="G3:G67" si="3">IF(E3="","",100*E3/(D2+0.5*B3))</f>
        <v/>
      </c>
      <c r="H3" s="22" t="str">
        <f t="shared" ref="H3:H66" si="4">IF(F3="","",100*(F3/C3))</f>
        <v/>
      </c>
      <c r="I3" s="130"/>
      <c r="J3" s="22" t="str">
        <f t="shared" ref="J3:J66" si="5">IF(B3="","",IF(I3="","",I3-I2-B3))</f>
        <v/>
      </c>
      <c r="K3" s="22" t="str">
        <f t="shared" ref="K3:K66" si="6">IF(J3="","",K2+J3)</f>
        <v/>
      </c>
      <c r="L3" s="125" t="str">
        <f t="shared" ref="L3:L67" si="7">IF(J3="","",100*J3/(I2+0.5*B3))</f>
        <v/>
      </c>
      <c r="M3" s="22" t="str">
        <f t="shared" ref="M3:M66" si="8">IF(K3="","",100*K3/C3)</f>
        <v/>
      </c>
      <c r="N3" s="22" t="str">
        <f t="shared" ref="N3:N66" si="9">IF(D3="","",IF(I3="","",I3-D3))</f>
        <v/>
      </c>
      <c r="O3" s="127"/>
    </row>
    <row r="4" spans="1:15" x14ac:dyDescent="0.2">
      <c r="A4" s="21"/>
      <c r="B4" s="126"/>
      <c r="C4" s="22" t="str">
        <f t="shared" si="0"/>
        <v/>
      </c>
      <c r="D4" s="126"/>
      <c r="E4" s="22" t="str">
        <f t="shared" si="1"/>
        <v/>
      </c>
      <c r="F4" s="22" t="str">
        <f t="shared" si="2"/>
        <v/>
      </c>
      <c r="G4" s="125" t="str">
        <f t="shared" si="3"/>
        <v/>
      </c>
      <c r="H4" s="22" t="str">
        <f t="shared" si="4"/>
        <v/>
      </c>
      <c r="I4" s="126"/>
      <c r="J4" s="22" t="str">
        <f t="shared" si="5"/>
        <v/>
      </c>
      <c r="K4" s="22" t="str">
        <f t="shared" si="6"/>
        <v/>
      </c>
      <c r="L4" s="125" t="str">
        <f t="shared" si="7"/>
        <v/>
      </c>
      <c r="M4" s="22" t="str">
        <f t="shared" si="8"/>
        <v/>
      </c>
      <c r="N4" s="22" t="str">
        <f t="shared" si="9"/>
        <v/>
      </c>
      <c r="O4" s="127"/>
    </row>
    <row r="5" spans="1:15" x14ac:dyDescent="0.2">
      <c r="A5" s="21"/>
      <c r="B5" s="126"/>
      <c r="C5" s="22" t="str">
        <f t="shared" si="0"/>
        <v/>
      </c>
      <c r="D5" s="126"/>
      <c r="E5" s="22" t="str">
        <f t="shared" si="1"/>
        <v/>
      </c>
      <c r="F5" s="22" t="str">
        <f t="shared" si="2"/>
        <v/>
      </c>
      <c r="G5" s="125" t="str">
        <f t="shared" si="3"/>
        <v/>
      </c>
      <c r="H5" s="22" t="str">
        <f t="shared" si="4"/>
        <v/>
      </c>
      <c r="I5" s="126"/>
      <c r="J5" s="22" t="str">
        <f t="shared" si="5"/>
        <v/>
      </c>
      <c r="K5" s="22" t="str">
        <f t="shared" si="6"/>
        <v/>
      </c>
      <c r="L5" s="125" t="str">
        <f t="shared" si="7"/>
        <v/>
      </c>
      <c r="M5" s="22" t="str">
        <f t="shared" si="8"/>
        <v/>
      </c>
      <c r="N5" s="22" t="str">
        <f t="shared" si="9"/>
        <v/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3"/>
        <v/>
      </c>
      <c r="H6" s="22" t="str">
        <f t="shared" si="4"/>
        <v/>
      </c>
      <c r="I6" s="126"/>
      <c r="J6" s="22" t="str">
        <f t="shared" si="5"/>
        <v/>
      </c>
      <c r="K6" s="22" t="str">
        <f t="shared" si="6"/>
        <v/>
      </c>
      <c r="L6" s="125" t="str">
        <f t="shared" si="7"/>
        <v/>
      </c>
      <c r="M6" s="22" t="str">
        <f t="shared" si="8"/>
        <v/>
      </c>
      <c r="N6" s="22" t="str">
        <f t="shared" si="9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3"/>
        <v/>
      </c>
      <c r="H7" s="22" t="str">
        <f t="shared" si="4"/>
        <v/>
      </c>
      <c r="I7" s="126"/>
      <c r="J7" s="22" t="str">
        <f t="shared" si="5"/>
        <v/>
      </c>
      <c r="K7" s="22" t="str">
        <f t="shared" si="6"/>
        <v/>
      </c>
      <c r="L7" s="125" t="str">
        <f t="shared" si="7"/>
        <v/>
      </c>
      <c r="M7" s="22" t="str">
        <f t="shared" si="8"/>
        <v/>
      </c>
      <c r="N7" s="22" t="str">
        <f t="shared" si="9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3"/>
        <v/>
      </c>
      <c r="H8" s="22" t="str">
        <f t="shared" si="4"/>
        <v/>
      </c>
      <c r="I8" s="126"/>
      <c r="J8" s="22" t="str">
        <f t="shared" si="5"/>
        <v/>
      </c>
      <c r="K8" s="22" t="str">
        <f t="shared" si="6"/>
        <v/>
      </c>
      <c r="L8" s="125" t="str">
        <f t="shared" si="7"/>
        <v/>
      </c>
      <c r="M8" s="22" t="str">
        <f t="shared" si="8"/>
        <v/>
      </c>
      <c r="N8" s="22" t="str">
        <f t="shared" si="9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3"/>
        <v/>
      </c>
      <c r="H9" s="22" t="str">
        <f t="shared" si="4"/>
        <v/>
      </c>
      <c r="I9" s="126"/>
      <c r="J9" s="22" t="str">
        <f t="shared" si="5"/>
        <v/>
      </c>
      <c r="K9" s="22" t="str">
        <f t="shared" si="6"/>
        <v/>
      </c>
      <c r="L9" s="125" t="str">
        <f t="shared" si="7"/>
        <v/>
      </c>
      <c r="M9" s="22" t="str">
        <f t="shared" si="8"/>
        <v/>
      </c>
      <c r="N9" s="22" t="str">
        <f t="shared" si="9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3"/>
        <v/>
      </c>
      <c r="H10" s="22" t="str">
        <f t="shared" si="4"/>
        <v/>
      </c>
      <c r="I10" s="126"/>
      <c r="J10" s="22" t="str">
        <f t="shared" si="5"/>
        <v/>
      </c>
      <c r="K10" s="22" t="str">
        <f t="shared" si="6"/>
        <v/>
      </c>
      <c r="L10" s="125" t="str">
        <f t="shared" si="7"/>
        <v/>
      </c>
      <c r="M10" s="22" t="str">
        <f t="shared" si="8"/>
        <v/>
      </c>
      <c r="N10" s="22" t="str">
        <f t="shared" si="9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3"/>
        <v/>
      </c>
      <c r="H11" s="22" t="str">
        <f t="shared" si="4"/>
        <v/>
      </c>
      <c r="I11" s="126"/>
      <c r="J11" s="22" t="str">
        <f t="shared" si="5"/>
        <v/>
      </c>
      <c r="K11" s="22" t="str">
        <f t="shared" si="6"/>
        <v/>
      </c>
      <c r="L11" s="125" t="str">
        <f t="shared" si="7"/>
        <v/>
      </c>
      <c r="M11" s="22" t="str">
        <f t="shared" si="8"/>
        <v/>
      </c>
      <c r="N11" s="22" t="str">
        <f t="shared" si="9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3"/>
        <v/>
      </c>
      <c r="H12" s="22" t="str">
        <f t="shared" si="4"/>
        <v/>
      </c>
      <c r="I12" s="126"/>
      <c r="J12" s="22" t="str">
        <f t="shared" si="5"/>
        <v/>
      </c>
      <c r="K12" s="22" t="str">
        <f t="shared" si="6"/>
        <v/>
      </c>
      <c r="L12" s="125" t="str">
        <f t="shared" si="7"/>
        <v/>
      </c>
      <c r="M12" s="22" t="str">
        <f t="shared" si="8"/>
        <v/>
      </c>
      <c r="N12" s="22" t="str">
        <f t="shared" si="9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3"/>
        <v/>
      </c>
      <c r="H13" s="128" t="str">
        <f t="shared" si="4"/>
        <v/>
      </c>
      <c r="I13" s="126"/>
      <c r="J13" s="128" t="str">
        <f t="shared" si="5"/>
        <v/>
      </c>
      <c r="K13" s="128" t="str">
        <f t="shared" si="6"/>
        <v/>
      </c>
      <c r="L13" s="129" t="str">
        <f t="shared" si="7"/>
        <v/>
      </c>
      <c r="M13" s="128" t="str">
        <f t="shared" si="8"/>
        <v/>
      </c>
      <c r="N13" s="128" t="str">
        <f t="shared" si="9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3"/>
        <v/>
      </c>
      <c r="H14" s="22" t="str">
        <f t="shared" si="4"/>
        <v/>
      </c>
      <c r="I14" s="126"/>
      <c r="J14" s="22" t="str">
        <f t="shared" si="5"/>
        <v/>
      </c>
      <c r="K14" s="22" t="str">
        <f t="shared" si="6"/>
        <v/>
      </c>
      <c r="L14" s="125" t="str">
        <f t="shared" si="7"/>
        <v/>
      </c>
      <c r="M14" s="22" t="str">
        <f t="shared" si="8"/>
        <v/>
      </c>
      <c r="N14" s="22" t="str">
        <f t="shared" si="9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3"/>
        <v/>
      </c>
      <c r="H15" s="22" t="str">
        <f t="shared" si="4"/>
        <v/>
      </c>
      <c r="I15" s="126"/>
      <c r="J15" s="22" t="str">
        <f t="shared" si="5"/>
        <v/>
      </c>
      <c r="K15" s="22" t="str">
        <f t="shared" si="6"/>
        <v/>
      </c>
      <c r="L15" s="125" t="str">
        <f t="shared" si="7"/>
        <v/>
      </c>
      <c r="M15" s="22" t="str">
        <f t="shared" si="8"/>
        <v/>
      </c>
      <c r="N15" s="22" t="str">
        <f t="shared" si="9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3"/>
        <v/>
      </c>
      <c r="H16" s="22" t="str">
        <f t="shared" si="4"/>
        <v/>
      </c>
      <c r="I16" s="126"/>
      <c r="J16" s="22" t="str">
        <f t="shared" si="5"/>
        <v/>
      </c>
      <c r="K16" s="22" t="str">
        <f t="shared" si="6"/>
        <v/>
      </c>
      <c r="L16" s="125" t="str">
        <f t="shared" si="7"/>
        <v/>
      </c>
      <c r="M16" s="22" t="str">
        <f t="shared" si="8"/>
        <v/>
      </c>
      <c r="N16" s="22" t="str">
        <f t="shared" si="9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3"/>
        <v/>
      </c>
      <c r="H17" s="22" t="str">
        <f t="shared" si="4"/>
        <v/>
      </c>
      <c r="I17" s="126"/>
      <c r="J17" s="22" t="str">
        <f t="shared" si="5"/>
        <v/>
      </c>
      <c r="K17" s="22" t="str">
        <f t="shared" si="6"/>
        <v/>
      </c>
      <c r="L17" s="125" t="str">
        <f t="shared" si="7"/>
        <v/>
      </c>
      <c r="M17" s="22" t="str">
        <f t="shared" si="8"/>
        <v/>
      </c>
      <c r="N17" s="22" t="str">
        <f t="shared" si="9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3"/>
        <v/>
      </c>
      <c r="H18" s="22" t="str">
        <f t="shared" si="4"/>
        <v/>
      </c>
      <c r="I18" s="126"/>
      <c r="J18" s="22" t="str">
        <f t="shared" si="5"/>
        <v/>
      </c>
      <c r="K18" s="22" t="str">
        <f t="shared" si="6"/>
        <v/>
      </c>
      <c r="L18" s="125" t="str">
        <f t="shared" si="7"/>
        <v/>
      </c>
      <c r="M18" s="22" t="str">
        <f t="shared" si="8"/>
        <v/>
      </c>
      <c r="N18" s="22" t="str">
        <f t="shared" si="9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3"/>
        <v/>
      </c>
      <c r="H19" s="22" t="str">
        <f t="shared" si="4"/>
        <v/>
      </c>
      <c r="I19" s="126"/>
      <c r="J19" s="22" t="str">
        <f t="shared" si="5"/>
        <v/>
      </c>
      <c r="K19" s="22" t="str">
        <f t="shared" si="6"/>
        <v/>
      </c>
      <c r="L19" s="125" t="str">
        <f t="shared" si="7"/>
        <v/>
      </c>
      <c r="M19" s="22" t="str">
        <f t="shared" si="8"/>
        <v/>
      </c>
      <c r="N19" s="22" t="str">
        <f t="shared" si="9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3"/>
        <v/>
      </c>
      <c r="H20" s="22" t="str">
        <f t="shared" si="4"/>
        <v/>
      </c>
      <c r="I20" s="126"/>
      <c r="J20" s="22" t="str">
        <f t="shared" si="5"/>
        <v/>
      </c>
      <c r="K20" s="22" t="str">
        <f t="shared" si="6"/>
        <v/>
      </c>
      <c r="L20" s="125" t="str">
        <f t="shared" si="7"/>
        <v/>
      </c>
      <c r="M20" s="22" t="str">
        <f t="shared" si="8"/>
        <v/>
      </c>
      <c r="N20" s="22" t="str">
        <f t="shared" si="9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3"/>
        <v/>
      </c>
      <c r="H21" s="22" t="str">
        <f t="shared" si="4"/>
        <v/>
      </c>
      <c r="I21" s="126"/>
      <c r="J21" s="22" t="str">
        <f t="shared" si="5"/>
        <v/>
      </c>
      <c r="K21" s="22" t="str">
        <f t="shared" si="6"/>
        <v/>
      </c>
      <c r="L21" s="125" t="str">
        <f t="shared" si="7"/>
        <v/>
      </c>
      <c r="M21" s="22" t="str">
        <f t="shared" si="8"/>
        <v/>
      </c>
      <c r="N21" s="22" t="str">
        <f t="shared" si="9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3"/>
        <v/>
      </c>
      <c r="H22" s="22" t="str">
        <f t="shared" si="4"/>
        <v/>
      </c>
      <c r="I22" s="126"/>
      <c r="J22" s="22" t="str">
        <f t="shared" si="5"/>
        <v/>
      </c>
      <c r="K22" s="22" t="str">
        <f t="shared" si="6"/>
        <v/>
      </c>
      <c r="L22" s="125" t="str">
        <f t="shared" si="7"/>
        <v/>
      </c>
      <c r="M22" s="22" t="str">
        <f t="shared" si="8"/>
        <v/>
      </c>
      <c r="N22" s="22" t="str">
        <f t="shared" si="9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3"/>
        <v/>
      </c>
      <c r="H23" s="128" t="str">
        <f t="shared" si="4"/>
        <v/>
      </c>
      <c r="I23" s="126"/>
      <c r="J23" s="128" t="str">
        <f t="shared" si="5"/>
        <v/>
      </c>
      <c r="K23" s="128" t="str">
        <f t="shared" si="6"/>
        <v/>
      </c>
      <c r="L23" s="129" t="str">
        <f t="shared" si="7"/>
        <v/>
      </c>
      <c r="M23" s="128" t="str">
        <f t="shared" si="8"/>
        <v/>
      </c>
      <c r="N23" s="128" t="str">
        <f t="shared" si="9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3"/>
        <v/>
      </c>
      <c r="H24" s="22" t="str">
        <f t="shared" si="4"/>
        <v/>
      </c>
      <c r="I24" s="126"/>
      <c r="J24" s="22" t="str">
        <f t="shared" si="5"/>
        <v/>
      </c>
      <c r="K24" s="22" t="str">
        <f t="shared" si="6"/>
        <v/>
      </c>
      <c r="L24" s="125" t="str">
        <f t="shared" si="7"/>
        <v/>
      </c>
      <c r="M24" s="22" t="str">
        <f t="shared" si="8"/>
        <v/>
      </c>
      <c r="N24" s="22" t="str">
        <f t="shared" si="9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3"/>
        <v/>
      </c>
      <c r="H25" s="22" t="str">
        <f t="shared" si="4"/>
        <v/>
      </c>
      <c r="I25" s="126"/>
      <c r="J25" s="22" t="str">
        <f t="shared" si="5"/>
        <v/>
      </c>
      <c r="K25" s="22" t="str">
        <f t="shared" si="6"/>
        <v/>
      </c>
      <c r="L25" s="125" t="str">
        <f t="shared" si="7"/>
        <v/>
      </c>
      <c r="M25" s="22" t="str">
        <f t="shared" si="8"/>
        <v/>
      </c>
      <c r="N25" s="22" t="str">
        <f t="shared" si="9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3"/>
        <v/>
      </c>
      <c r="H26" s="22" t="str">
        <f t="shared" si="4"/>
        <v/>
      </c>
      <c r="I26" s="126"/>
      <c r="J26" s="22" t="str">
        <f t="shared" si="5"/>
        <v/>
      </c>
      <c r="K26" s="22" t="str">
        <f t="shared" si="6"/>
        <v/>
      </c>
      <c r="L26" s="125" t="str">
        <f t="shared" si="7"/>
        <v/>
      </c>
      <c r="M26" s="22" t="str">
        <f t="shared" si="8"/>
        <v/>
      </c>
      <c r="N26" s="22" t="str">
        <f t="shared" si="9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3"/>
        <v/>
      </c>
      <c r="H27" s="22" t="str">
        <f t="shared" si="4"/>
        <v/>
      </c>
      <c r="I27" s="126"/>
      <c r="J27" s="22" t="str">
        <f t="shared" si="5"/>
        <v/>
      </c>
      <c r="K27" s="22" t="str">
        <f t="shared" si="6"/>
        <v/>
      </c>
      <c r="L27" s="125" t="str">
        <f t="shared" si="7"/>
        <v/>
      </c>
      <c r="M27" s="22" t="str">
        <f t="shared" si="8"/>
        <v/>
      </c>
      <c r="N27" s="22" t="str">
        <f t="shared" si="9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3"/>
        <v/>
      </c>
      <c r="H28" s="22" t="str">
        <f t="shared" si="4"/>
        <v/>
      </c>
      <c r="I28" s="126"/>
      <c r="J28" s="22" t="str">
        <f t="shared" si="5"/>
        <v/>
      </c>
      <c r="K28" s="22" t="str">
        <f t="shared" si="6"/>
        <v/>
      </c>
      <c r="L28" s="125" t="str">
        <f t="shared" si="7"/>
        <v/>
      </c>
      <c r="M28" s="22" t="str">
        <f t="shared" si="8"/>
        <v/>
      </c>
      <c r="N28" s="22" t="str">
        <f t="shared" si="9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3"/>
        <v/>
      </c>
      <c r="H29" s="22" t="str">
        <f t="shared" si="4"/>
        <v/>
      </c>
      <c r="I29" s="126"/>
      <c r="J29" s="22" t="str">
        <f t="shared" si="5"/>
        <v/>
      </c>
      <c r="K29" s="22" t="str">
        <f t="shared" si="6"/>
        <v/>
      </c>
      <c r="L29" s="125" t="str">
        <f t="shared" si="7"/>
        <v/>
      </c>
      <c r="M29" s="22" t="str">
        <f t="shared" si="8"/>
        <v/>
      </c>
      <c r="N29" s="22" t="str">
        <f t="shared" si="9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3"/>
        <v/>
      </c>
      <c r="H30" s="22" t="str">
        <f t="shared" si="4"/>
        <v/>
      </c>
      <c r="I30" s="126"/>
      <c r="J30" s="22" t="str">
        <f t="shared" si="5"/>
        <v/>
      </c>
      <c r="K30" s="22" t="str">
        <f t="shared" si="6"/>
        <v/>
      </c>
      <c r="L30" s="125" t="str">
        <f t="shared" si="7"/>
        <v/>
      </c>
      <c r="M30" s="22" t="str">
        <f t="shared" si="8"/>
        <v/>
      </c>
      <c r="N30" s="22" t="str">
        <f t="shared" si="9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3"/>
        <v/>
      </c>
      <c r="H31" s="22" t="str">
        <f t="shared" si="4"/>
        <v/>
      </c>
      <c r="I31" s="126"/>
      <c r="J31" s="22" t="str">
        <f t="shared" si="5"/>
        <v/>
      </c>
      <c r="K31" s="22" t="str">
        <f t="shared" si="6"/>
        <v/>
      </c>
      <c r="L31" s="125" t="str">
        <f t="shared" si="7"/>
        <v/>
      </c>
      <c r="M31" s="22" t="str">
        <f t="shared" si="8"/>
        <v/>
      </c>
      <c r="N31" s="22" t="str">
        <f t="shared" si="9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3"/>
        <v/>
      </c>
      <c r="H32" s="22" t="str">
        <f t="shared" si="4"/>
        <v/>
      </c>
      <c r="I32" s="126"/>
      <c r="J32" s="22" t="str">
        <f t="shared" si="5"/>
        <v/>
      </c>
      <c r="K32" s="22" t="str">
        <f t="shared" si="6"/>
        <v/>
      </c>
      <c r="L32" s="125" t="str">
        <f t="shared" si="7"/>
        <v/>
      </c>
      <c r="M32" s="22" t="str">
        <f t="shared" si="8"/>
        <v/>
      </c>
      <c r="N32" s="22" t="str">
        <f t="shared" si="9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3"/>
        <v/>
      </c>
      <c r="H33" s="22" t="str">
        <f t="shared" si="4"/>
        <v/>
      </c>
      <c r="I33" s="126"/>
      <c r="J33" s="22" t="str">
        <f t="shared" si="5"/>
        <v/>
      </c>
      <c r="K33" s="22" t="str">
        <f t="shared" si="6"/>
        <v/>
      </c>
      <c r="L33" s="125" t="str">
        <f t="shared" si="7"/>
        <v/>
      </c>
      <c r="M33" s="22" t="str">
        <f t="shared" si="8"/>
        <v/>
      </c>
      <c r="N33" s="22" t="str">
        <f t="shared" si="9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3"/>
        <v/>
      </c>
      <c r="H34" s="22" t="str">
        <f t="shared" si="4"/>
        <v/>
      </c>
      <c r="I34" s="126"/>
      <c r="J34" s="22" t="str">
        <f t="shared" si="5"/>
        <v/>
      </c>
      <c r="K34" s="22" t="str">
        <f t="shared" si="6"/>
        <v/>
      </c>
      <c r="L34" s="125" t="str">
        <f t="shared" si="7"/>
        <v/>
      </c>
      <c r="M34" s="22" t="str">
        <f t="shared" si="8"/>
        <v/>
      </c>
      <c r="N34" s="22" t="str">
        <f t="shared" si="9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3"/>
        <v/>
      </c>
      <c r="H35" s="22" t="str">
        <f t="shared" si="4"/>
        <v/>
      </c>
      <c r="I35" s="126"/>
      <c r="J35" s="22" t="str">
        <f t="shared" si="5"/>
        <v/>
      </c>
      <c r="K35" s="22" t="str">
        <f t="shared" si="6"/>
        <v/>
      </c>
      <c r="L35" s="125" t="str">
        <f t="shared" si="7"/>
        <v/>
      </c>
      <c r="M35" s="22" t="str">
        <f t="shared" si="8"/>
        <v/>
      </c>
      <c r="N35" s="22" t="str">
        <f t="shared" si="9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3"/>
        <v/>
      </c>
      <c r="H36" s="22" t="str">
        <f t="shared" si="4"/>
        <v/>
      </c>
      <c r="I36" s="126"/>
      <c r="J36" s="22" t="str">
        <f t="shared" si="5"/>
        <v/>
      </c>
      <c r="K36" s="22" t="str">
        <f t="shared" si="6"/>
        <v/>
      </c>
      <c r="L36" s="125" t="str">
        <f t="shared" si="7"/>
        <v/>
      </c>
      <c r="M36" s="22" t="str">
        <f t="shared" si="8"/>
        <v/>
      </c>
      <c r="N36" s="22" t="str">
        <f t="shared" si="9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3"/>
        <v/>
      </c>
      <c r="H37" s="22" t="str">
        <f t="shared" si="4"/>
        <v/>
      </c>
      <c r="I37" s="126"/>
      <c r="J37" s="22" t="str">
        <f t="shared" si="5"/>
        <v/>
      </c>
      <c r="K37" s="22" t="str">
        <f t="shared" si="6"/>
        <v/>
      </c>
      <c r="L37" s="125" t="str">
        <f t="shared" si="7"/>
        <v/>
      </c>
      <c r="M37" s="22" t="str">
        <f t="shared" si="8"/>
        <v/>
      </c>
      <c r="N37" s="22" t="str">
        <f t="shared" si="9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3"/>
        <v/>
      </c>
      <c r="H38" s="22" t="str">
        <f t="shared" si="4"/>
        <v/>
      </c>
      <c r="I38" s="126"/>
      <c r="J38" s="22" t="str">
        <f t="shared" si="5"/>
        <v/>
      </c>
      <c r="K38" s="22" t="str">
        <f t="shared" si="6"/>
        <v/>
      </c>
      <c r="L38" s="125" t="str">
        <f t="shared" si="7"/>
        <v/>
      </c>
      <c r="M38" s="22" t="str">
        <f t="shared" si="8"/>
        <v/>
      </c>
      <c r="N38" s="22" t="str">
        <f t="shared" si="9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3"/>
        <v/>
      </c>
      <c r="H39" s="22" t="str">
        <f t="shared" si="4"/>
        <v/>
      </c>
      <c r="I39" s="126"/>
      <c r="J39" s="22" t="str">
        <f t="shared" si="5"/>
        <v/>
      </c>
      <c r="K39" s="22" t="str">
        <f t="shared" si="6"/>
        <v/>
      </c>
      <c r="L39" s="125" t="str">
        <f t="shared" si="7"/>
        <v/>
      </c>
      <c r="M39" s="22" t="str">
        <f t="shared" si="8"/>
        <v/>
      </c>
      <c r="N39" s="22" t="str">
        <f t="shared" si="9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3"/>
        <v/>
      </c>
      <c r="H40" s="22" t="str">
        <f t="shared" si="4"/>
        <v/>
      </c>
      <c r="I40" s="126"/>
      <c r="J40" s="22" t="str">
        <f t="shared" si="5"/>
        <v/>
      </c>
      <c r="K40" s="22" t="str">
        <f t="shared" si="6"/>
        <v/>
      </c>
      <c r="L40" s="125" t="str">
        <f t="shared" si="7"/>
        <v/>
      </c>
      <c r="M40" s="22" t="str">
        <f t="shared" si="8"/>
        <v/>
      </c>
      <c r="N40" s="22" t="str">
        <f t="shared" si="9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3"/>
        <v/>
      </c>
      <c r="H41" s="22" t="str">
        <f t="shared" si="4"/>
        <v/>
      </c>
      <c r="I41" s="126"/>
      <c r="J41" s="22" t="str">
        <f t="shared" si="5"/>
        <v/>
      </c>
      <c r="K41" s="22" t="str">
        <f t="shared" si="6"/>
        <v/>
      </c>
      <c r="L41" s="125" t="str">
        <f t="shared" si="7"/>
        <v/>
      </c>
      <c r="M41" s="22" t="str">
        <f t="shared" si="8"/>
        <v/>
      </c>
      <c r="N41" s="22" t="str">
        <f t="shared" si="9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3"/>
        <v/>
      </c>
      <c r="H42" s="22" t="str">
        <f t="shared" si="4"/>
        <v/>
      </c>
      <c r="I42" s="126"/>
      <c r="J42" s="22" t="str">
        <f t="shared" si="5"/>
        <v/>
      </c>
      <c r="K42" s="22" t="str">
        <f t="shared" si="6"/>
        <v/>
      </c>
      <c r="L42" s="125" t="str">
        <f t="shared" si="7"/>
        <v/>
      </c>
      <c r="M42" s="22" t="str">
        <f t="shared" si="8"/>
        <v/>
      </c>
      <c r="N42" s="22" t="str">
        <f t="shared" si="9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3"/>
        <v/>
      </c>
      <c r="H43" s="22" t="str">
        <f t="shared" si="4"/>
        <v/>
      </c>
      <c r="I43" s="126"/>
      <c r="J43" s="22" t="str">
        <f t="shared" si="5"/>
        <v/>
      </c>
      <c r="K43" s="22" t="str">
        <f t="shared" si="6"/>
        <v/>
      </c>
      <c r="L43" s="125" t="str">
        <f t="shared" si="7"/>
        <v/>
      </c>
      <c r="M43" s="22" t="str">
        <f t="shared" si="8"/>
        <v/>
      </c>
      <c r="N43" s="22" t="str">
        <f t="shared" si="9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3"/>
        <v/>
      </c>
      <c r="H44" s="22" t="str">
        <f t="shared" si="4"/>
        <v/>
      </c>
      <c r="I44" s="126"/>
      <c r="J44" s="22" t="str">
        <f t="shared" si="5"/>
        <v/>
      </c>
      <c r="K44" s="22" t="str">
        <f t="shared" si="6"/>
        <v/>
      </c>
      <c r="L44" s="125" t="str">
        <f t="shared" si="7"/>
        <v/>
      </c>
      <c r="M44" s="22" t="str">
        <f t="shared" si="8"/>
        <v/>
      </c>
      <c r="N44" s="22" t="str">
        <f t="shared" si="9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3"/>
        <v/>
      </c>
      <c r="H45" s="131" t="str">
        <f t="shared" si="4"/>
        <v/>
      </c>
      <c r="I45" s="133"/>
      <c r="J45" s="131" t="str">
        <f t="shared" si="5"/>
        <v/>
      </c>
      <c r="K45" s="131" t="str">
        <f t="shared" si="6"/>
        <v/>
      </c>
      <c r="L45" s="132" t="str">
        <f t="shared" si="7"/>
        <v/>
      </c>
      <c r="M45" s="131" t="str">
        <f t="shared" si="8"/>
        <v/>
      </c>
      <c r="N45" s="131" t="str">
        <f t="shared" si="9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3"/>
        <v/>
      </c>
      <c r="H46" s="22" t="str">
        <f t="shared" si="4"/>
        <v/>
      </c>
      <c r="I46" s="126"/>
      <c r="J46" s="22" t="str">
        <f t="shared" si="5"/>
        <v/>
      </c>
      <c r="K46" s="22" t="str">
        <f t="shared" si="6"/>
        <v/>
      </c>
      <c r="L46" s="125" t="str">
        <f t="shared" si="7"/>
        <v/>
      </c>
      <c r="M46" s="22" t="str">
        <f t="shared" si="8"/>
        <v/>
      </c>
      <c r="N46" s="22" t="str">
        <f t="shared" si="9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3"/>
        <v/>
      </c>
      <c r="H47" s="22" t="str">
        <f t="shared" si="4"/>
        <v/>
      </c>
      <c r="I47" s="126"/>
      <c r="J47" s="22" t="str">
        <f t="shared" si="5"/>
        <v/>
      </c>
      <c r="K47" s="22" t="str">
        <f t="shared" si="6"/>
        <v/>
      </c>
      <c r="L47" s="125" t="str">
        <f t="shared" si="7"/>
        <v/>
      </c>
      <c r="M47" s="22" t="str">
        <f t="shared" si="8"/>
        <v/>
      </c>
      <c r="N47" s="22" t="str">
        <f t="shared" si="9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3"/>
        <v/>
      </c>
      <c r="H48" s="128" t="str">
        <f t="shared" si="4"/>
        <v/>
      </c>
      <c r="I48" s="130"/>
      <c r="J48" s="128" t="str">
        <f t="shared" si="5"/>
        <v/>
      </c>
      <c r="K48" s="128" t="str">
        <f t="shared" si="6"/>
        <v/>
      </c>
      <c r="L48" s="129" t="str">
        <f t="shared" si="7"/>
        <v/>
      </c>
      <c r="M48" s="128" t="str">
        <f t="shared" si="8"/>
        <v/>
      </c>
      <c r="N48" s="128" t="str">
        <f t="shared" si="9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3"/>
        <v/>
      </c>
      <c r="H49" s="22" t="str">
        <f t="shared" si="4"/>
        <v/>
      </c>
      <c r="I49" s="126"/>
      <c r="J49" s="22" t="str">
        <f t="shared" si="5"/>
        <v/>
      </c>
      <c r="K49" s="22" t="str">
        <f t="shared" si="6"/>
        <v/>
      </c>
      <c r="L49" s="125" t="str">
        <f t="shared" si="7"/>
        <v/>
      </c>
      <c r="M49" s="22" t="str">
        <f t="shared" si="8"/>
        <v/>
      </c>
      <c r="N49" s="22" t="str">
        <f t="shared" si="9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3"/>
        <v/>
      </c>
      <c r="H50" s="22" t="str">
        <f t="shared" si="4"/>
        <v/>
      </c>
      <c r="I50" s="126"/>
      <c r="J50" s="22" t="str">
        <f t="shared" si="5"/>
        <v/>
      </c>
      <c r="K50" s="22" t="str">
        <f t="shared" si="6"/>
        <v/>
      </c>
      <c r="L50" s="125" t="str">
        <f t="shared" si="7"/>
        <v/>
      </c>
      <c r="M50" s="22" t="str">
        <f t="shared" si="8"/>
        <v/>
      </c>
      <c r="N50" s="22" t="str">
        <f t="shared" si="9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3"/>
        <v/>
      </c>
      <c r="H51" s="22" t="str">
        <f t="shared" si="4"/>
        <v/>
      </c>
      <c r="I51" s="126"/>
      <c r="J51" s="22" t="str">
        <f t="shared" si="5"/>
        <v/>
      </c>
      <c r="K51" s="22" t="str">
        <f t="shared" si="6"/>
        <v/>
      </c>
      <c r="L51" s="125" t="str">
        <f t="shared" si="7"/>
        <v/>
      </c>
      <c r="M51" s="22" t="str">
        <f t="shared" si="8"/>
        <v/>
      </c>
      <c r="N51" s="22" t="str">
        <f t="shared" si="9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3"/>
        <v/>
      </c>
      <c r="H52" s="22" t="str">
        <f t="shared" si="4"/>
        <v/>
      </c>
      <c r="I52" s="126"/>
      <c r="J52" s="22" t="str">
        <f t="shared" si="5"/>
        <v/>
      </c>
      <c r="K52" s="22" t="str">
        <f t="shared" si="6"/>
        <v/>
      </c>
      <c r="L52" s="125" t="str">
        <f t="shared" si="7"/>
        <v/>
      </c>
      <c r="M52" s="22" t="str">
        <f t="shared" si="8"/>
        <v/>
      </c>
      <c r="N52" s="22" t="str">
        <f t="shared" si="9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3"/>
        <v/>
      </c>
      <c r="H53" s="22" t="str">
        <f t="shared" si="4"/>
        <v/>
      </c>
      <c r="I53" s="126"/>
      <c r="J53" s="22" t="str">
        <f t="shared" si="5"/>
        <v/>
      </c>
      <c r="K53" s="22" t="str">
        <f t="shared" si="6"/>
        <v/>
      </c>
      <c r="L53" s="125" t="str">
        <f t="shared" si="7"/>
        <v/>
      </c>
      <c r="M53" s="22" t="str">
        <f t="shared" si="8"/>
        <v/>
      </c>
      <c r="N53" s="22" t="str">
        <f t="shared" si="9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3"/>
        <v/>
      </c>
      <c r="H54" s="22" t="str">
        <f t="shared" si="4"/>
        <v/>
      </c>
      <c r="I54" s="126"/>
      <c r="J54" s="22" t="str">
        <f t="shared" si="5"/>
        <v/>
      </c>
      <c r="K54" s="22" t="str">
        <f t="shared" si="6"/>
        <v/>
      </c>
      <c r="L54" s="125" t="str">
        <f t="shared" si="7"/>
        <v/>
      </c>
      <c r="M54" s="22" t="str">
        <f t="shared" si="8"/>
        <v/>
      </c>
      <c r="N54" s="22" t="str">
        <f t="shared" si="9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3"/>
        <v/>
      </c>
      <c r="H55" s="22" t="str">
        <f t="shared" si="4"/>
        <v/>
      </c>
      <c r="I55" s="126"/>
      <c r="J55" s="22" t="str">
        <f t="shared" si="5"/>
        <v/>
      </c>
      <c r="K55" s="22" t="str">
        <f t="shared" si="6"/>
        <v/>
      </c>
      <c r="L55" s="125" t="str">
        <f t="shared" si="7"/>
        <v/>
      </c>
      <c r="M55" s="22" t="str">
        <f t="shared" si="8"/>
        <v/>
      </c>
      <c r="N55" s="22" t="str">
        <f t="shared" si="9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3"/>
        <v/>
      </c>
      <c r="H56" s="22" t="str">
        <f t="shared" si="4"/>
        <v/>
      </c>
      <c r="I56" s="126"/>
      <c r="J56" s="22" t="str">
        <f t="shared" si="5"/>
        <v/>
      </c>
      <c r="K56" s="22" t="str">
        <f t="shared" si="6"/>
        <v/>
      </c>
      <c r="L56" s="125" t="str">
        <f t="shared" si="7"/>
        <v/>
      </c>
      <c r="M56" s="22" t="str">
        <f t="shared" si="8"/>
        <v/>
      </c>
      <c r="N56" s="22" t="str">
        <f t="shared" si="9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3"/>
        <v/>
      </c>
      <c r="H57" s="22" t="str">
        <f t="shared" si="4"/>
        <v/>
      </c>
      <c r="I57" s="126"/>
      <c r="J57" s="22" t="str">
        <f t="shared" si="5"/>
        <v/>
      </c>
      <c r="K57" s="22" t="str">
        <f t="shared" si="6"/>
        <v/>
      </c>
      <c r="L57" s="125" t="str">
        <f t="shared" si="7"/>
        <v/>
      </c>
      <c r="M57" s="22" t="str">
        <f t="shared" si="8"/>
        <v/>
      </c>
      <c r="N57" s="22" t="str">
        <f t="shared" si="9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3"/>
        <v/>
      </c>
      <c r="H58" s="22" t="str">
        <f t="shared" si="4"/>
        <v/>
      </c>
      <c r="I58" s="126"/>
      <c r="J58" s="22" t="str">
        <f t="shared" si="5"/>
        <v/>
      </c>
      <c r="K58" s="22" t="str">
        <f t="shared" si="6"/>
        <v/>
      </c>
      <c r="L58" s="125" t="str">
        <f t="shared" si="7"/>
        <v/>
      </c>
      <c r="M58" s="22" t="str">
        <f t="shared" si="8"/>
        <v/>
      </c>
      <c r="N58" s="22" t="str">
        <f t="shared" si="9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3"/>
        <v/>
      </c>
      <c r="H59" s="22" t="str">
        <f t="shared" si="4"/>
        <v/>
      </c>
      <c r="I59" s="126"/>
      <c r="J59" s="22" t="str">
        <f t="shared" si="5"/>
        <v/>
      </c>
      <c r="K59" s="22" t="str">
        <f t="shared" si="6"/>
        <v/>
      </c>
      <c r="L59" s="125" t="str">
        <f t="shared" si="7"/>
        <v/>
      </c>
      <c r="M59" s="22" t="str">
        <f t="shared" si="8"/>
        <v/>
      </c>
      <c r="N59" s="22" t="str">
        <f t="shared" si="9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3"/>
        <v/>
      </c>
      <c r="H60" s="22" t="str">
        <f t="shared" si="4"/>
        <v/>
      </c>
      <c r="I60" s="126"/>
      <c r="J60" s="22" t="str">
        <f t="shared" si="5"/>
        <v/>
      </c>
      <c r="K60" s="22" t="str">
        <f t="shared" si="6"/>
        <v/>
      </c>
      <c r="L60" s="125" t="str">
        <f t="shared" si="7"/>
        <v/>
      </c>
      <c r="M60" s="22" t="str">
        <f t="shared" si="8"/>
        <v/>
      </c>
      <c r="N60" s="22" t="str">
        <f t="shared" si="9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3"/>
        <v/>
      </c>
      <c r="H61" s="22" t="str">
        <f t="shared" si="4"/>
        <v/>
      </c>
      <c r="I61" s="126"/>
      <c r="J61" s="22" t="str">
        <f t="shared" si="5"/>
        <v/>
      </c>
      <c r="K61" s="22" t="str">
        <f t="shared" si="6"/>
        <v/>
      </c>
      <c r="L61" s="125" t="str">
        <f t="shared" si="7"/>
        <v/>
      </c>
      <c r="M61" s="22" t="str">
        <f t="shared" si="8"/>
        <v/>
      </c>
      <c r="N61" s="22" t="str">
        <f t="shared" si="9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3"/>
        <v/>
      </c>
      <c r="H62" s="22" t="str">
        <f t="shared" si="4"/>
        <v/>
      </c>
      <c r="I62" s="126"/>
      <c r="J62" s="22" t="str">
        <f t="shared" si="5"/>
        <v/>
      </c>
      <c r="K62" s="22" t="str">
        <f t="shared" si="6"/>
        <v/>
      </c>
      <c r="L62" s="125" t="str">
        <f t="shared" si="7"/>
        <v/>
      </c>
      <c r="M62" s="22" t="str">
        <f t="shared" si="8"/>
        <v/>
      </c>
      <c r="N62" s="22" t="str">
        <f t="shared" si="9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3"/>
        <v/>
      </c>
      <c r="H63" s="22" t="str">
        <f t="shared" si="4"/>
        <v/>
      </c>
      <c r="I63" s="126"/>
      <c r="J63" s="22" t="str">
        <f t="shared" si="5"/>
        <v/>
      </c>
      <c r="K63" s="22" t="str">
        <f t="shared" si="6"/>
        <v/>
      </c>
      <c r="L63" s="125" t="str">
        <f t="shared" si="7"/>
        <v/>
      </c>
      <c r="M63" s="22" t="str">
        <f t="shared" si="8"/>
        <v/>
      </c>
      <c r="N63" s="22" t="str">
        <f t="shared" si="9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3"/>
        <v/>
      </c>
      <c r="H64" s="22" t="str">
        <f t="shared" si="4"/>
        <v/>
      </c>
      <c r="I64" s="126"/>
      <c r="J64" s="22" t="str">
        <f t="shared" si="5"/>
        <v/>
      </c>
      <c r="K64" s="22" t="str">
        <f t="shared" si="6"/>
        <v/>
      </c>
      <c r="L64" s="125" t="str">
        <f t="shared" si="7"/>
        <v/>
      </c>
      <c r="M64" s="22" t="str">
        <f t="shared" si="8"/>
        <v/>
      </c>
      <c r="N64" s="22" t="str">
        <f t="shared" si="9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3"/>
        <v/>
      </c>
      <c r="H65" s="22" t="str">
        <f t="shared" si="4"/>
        <v/>
      </c>
      <c r="I65" s="126"/>
      <c r="J65" s="22" t="str">
        <f t="shared" si="5"/>
        <v/>
      </c>
      <c r="K65" s="22" t="str">
        <f t="shared" si="6"/>
        <v/>
      </c>
      <c r="L65" s="125" t="str">
        <f t="shared" si="7"/>
        <v/>
      </c>
      <c r="M65" s="22" t="str">
        <f t="shared" si="8"/>
        <v/>
      </c>
      <c r="N65" s="22" t="str">
        <f t="shared" si="9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3"/>
        <v/>
      </c>
      <c r="H66" s="22" t="str">
        <f t="shared" si="4"/>
        <v/>
      </c>
      <c r="I66" s="126"/>
      <c r="J66" s="22" t="str">
        <f t="shared" si="5"/>
        <v/>
      </c>
      <c r="K66" s="22" t="str">
        <f t="shared" si="6"/>
        <v/>
      </c>
      <c r="L66" s="125" t="str">
        <f t="shared" si="7"/>
        <v/>
      </c>
      <c r="M66" s="22" t="str">
        <f t="shared" si="8"/>
        <v/>
      </c>
      <c r="N66" s="22" t="str">
        <f t="shared" si="9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3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7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1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2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O17" sqref="O17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9.140625" style="352"/>
    <col min="7" max="7" width="4.42578125" hidden="1" customWidth="1"/>
    <col min="8" max="8" width="11" hidden="1" customWidth="1"/>
    <col min="9" max="9" width="9.140625" style="352"/>
    <col min="10" max="10" width="4.42578125" hidden="1" customWidth="1"/>
    <col min="11" max="11" width="11" hidden="1" customWidth="1"/>
    <col min="12" max="12" width="9.140625" style="352"/>
    <col min="17" max="17" width="11.140625" customWidth="1"/>
  </cols>
  <sheetData>
    <row r="1" spans="1:19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0" t="s">
        <v>0</v>
      </c>
      <c r="F1" s="350" t="s">
        <v>106</v>
      </c>
      <c r="G1" s="270" t="s">
        <v>0</v>
      </c>
      <c r="H1" s="270" t="s">
        <v>107</v>
      </c>
      <c r="I1" s="350" t="s">
        <v>174</v>
      </c>
      <c r="J1" s="270" t="s">
        <v>0</v>
      </c>
      <c r="K1" s="270" t="s">
        <v>107</v>
      </c>
      <c r="L1" s="350" t="s">
        <v>173</v>
      </c>
      <c r="M1" s="271" t="s">
        <v>93</v>
      </c>
    </row>
    <row r="2" spans="1:19" x14ac:dyDescent="0.2">
      <c r="A2" s="139">
        <f>IF(MRes!A2="","",MRes!A2)</f>
        <v>42737</v>
      </c>
      <c r="B2" s="144"/>
      <c r="C2" s="141">
        <v>0</v>
      </c>
      <c r="D2" s="141">
        <v>1</v>
      </c>
      <c r="E2" s="141">
        <v>0</v>
      </c>
      <c r="F2" s="351"/>
      <c r="G2" s="267"/>
      <c r="H2" s="267"/>
      <c r="I2" s="353"/>
      <c r="J2" s="267"/>
      <c r="K2" s="267"/>
      <c r="L2" s="353"/>
      <c r="M2" s="124"/>
    </row>
    <row r="3" spans="1:19" ht="13.5" thickBot="1" x14ac:dyDescent="0.25">
      <c r="A3" s="139" t="str">
        <f>IF(MRes!A3="","",MRes!A3)</f>
        <v/>
      </c>
      <c r="B3" s="125" t="str">
        <f>MRes!L3</f>
        <v/>
      </c>
      <c r="C3" s="4" t="str">
        <f t="shared" ref="C3:C34" si="0">IF(B3="","",C2+1)</f>
        <v/>
      </c>
      <c r="D3" s="138" t="str">
        <f t="shared" ref="D3:D66" si="1">IF(B3="","",D2*(1+B3/100))</f>
        <v/>
      </c>
      <c r="E3" s="4" t="str">
        <f t="shared" ref="E3:E34" si="2">IF(D3="","",E2+1)</f>
        <v/>
      </c>
      <c r="F3" s="226" t="str">
        <f t="shared" ref="F3:F34" si="3">IF(B3="","",100*(D3^(1/C3)-1))</f>
        <v/>
      </c>
      <c r="G3" s="142"/>
      <c r="H3" s="142"/>
      <c r="I3" s="354"/>
      <c r="J3" s="142"/>
      <c r="K3" s="142"/>
      <c r="L3" s="354"/>
      <c r="M3" s="124"/>
      <c r="N3" s="272" t="s">
        <v>106</v>
      </c>
    </row>
    <row r="4" spans="1:19" x14ac:dyDescent="0.2">
      <c r="A4" s="139" t="str">
        <f>IF(MRes!A4="","",MRes!A4)</f>
        <v/>
      </c>
      <c r="B4" s="125" t="str">
        <f>MRes!L4</f>
        <v/>
      </c>
      <c r="C4" s="4" t="str">
        <f t="shared" si="0"/>
        <v/>
      </c>
      <c r="D4" s="138" t="str">
        <f t="shared" si="1"/>
        <v/>
      </c>
      <c r="E4" s="4" t="str">
        <f t="shared" si="2"/>
        <v/>
      </c>
      <c r="F4" s="226" t="str">
        <f t="shared" si="3"/>
        <v/>
      </c>
      <c r="G4" s="142"/>
      <c r="H4" s="142"/>
      <c r="I4" s="354"/>
      <c r="J4" s="142"/>
      <c r="K4" s="142"/>
      <c r="L4" s="354"/>
      <c r="M4" s="127"/>
      <c r="N4" s="265" t="str">
        <f>IF(F3="","",VLOOKUP(MAX(E3:E102),E3:F102,2,FALSE))</f>
        <v/>
      </c>
      <c r="P4" s="463" t="s">
        <v>183</v>
      </c>
      <c r="Q4" s="464"/>
      <c r="R4" s="464"/>
      <c r="S4" s="465"/>
    </row>
    <row r="5" spans="1:19" ht="13.5" thickBot="1" x14ac:dyDescent="0.25">
      <c r="A5" s="139" t="str">
        <f>IF(MRes!A5="","",MRes!A5)</f>
        <v/>
      </c>
      <c r="B5" s="125" t="str">
        <f>MRes!L5</f>
        <v/>
      </c>
      <c r="C5" s="4" t="str">
        <f t="shared" si="0"/>
        <v/>
      </c>
      <c r="D5" s="138" t="str">
        <f t="shared" si="1"/>
        <v/>
      </c>
      <c r="E5" s="4" t="str">
        <f t="shared" si="2"/>
        <v/>
      </c>
      <c r="F5" s="226" t="str">
        <f t="shared" si="3"/>
        <v/>
      </c>
      <c r="G5" s="142"/>
      <c r="H5" s="142"/>
      <c r="I5" s="354"/>
      <c r="J5" s="142"/>
      <c r="K5" s="142"/>
      <c r="L5" s="354"/>
      <c r="M5" s="127"/>
      <c r="P5" s="466"/>
      <c r="Q5" s="467"/>
      <c r="R5" s="467"/>
      <c r="S5" s="468"/>
    </row>
    <row r="6" spans="1:19" ht="13.5" thickBot="1" x14ac:dyDescent="0.25">
      <c r="A6" s="139" t="str">
        <f>IF(MRes!A6="","",MRes!A6)</f>
        <v/>
      </c>
      <c r="B6" s="125" t="str">
        <f>MRes!L6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6" t="str">
        <f t="shared" si="3"/>
        <v/>
      </c>
      <c r="G6" s="141">
        <v>0</v>
      </c>
      <c r="H6" s="141">
        <v>1</v>
      </c>
      <c r="I6" s="354"/>
      <c r="J6" s="142"/>
      <c r="K6" s="142"/>
      <c r="L6" s="354"/>
      <c r="M6" s="124"/>
      <c r="P6" s="469" t="s">
        <v>207</v>
      </c>
      <c r="Q6" s="470"/>
      <c r="R6" s="284" t="e">
        <f>_xlfn.T.TEST(MRes!I2:I3,MRes!I4:I5,2,3)</f>
        <v>#DIV/0!</v>
      </c>
      <c r="S6" s="285" t="e">
        <f>1-R6</f>
        <v>#DIV/0!</v>
      </c>
    </row>
    <row r="7" spans="1:19" ht="13.5" thickBot="1" x14ac:dyDescent="0.25">
      <c r="A7" s="139" t="str">
        <f>IF(MRes!A7="","",MRes!A7)</f>
        <v/>
      </c>
      <c r="B7" s="125" t="str">
        <f>MRes!L7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6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226" t="str">
        <f t="shared" ref="I7:I38" si="5">IF(B7="","",100*(H7^(1/G7)-1))</f>
        <v/>
      </c>
      <c r="J7" s="141">
        <v>0</v>
      </c>
      <c r="K7" s="141">
        <v>1</v>
      </c>
      <c r="L7" s="354"/>
      <c r="M7" s="124"/>
    </row>
    <row r="8" spans="1:19" x14ac:dyDescent="0.2">
      <c r="A8" s="139" t="str">
        <f>IF(MRes!A8="","",MRes!A8)</f>
        <v/>
      </c>
      <c r="B8" s="125" t="str">
        <f>MRes!L8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6" t="str">
        <f t="shared" si="3"/>
        <v/>
      </c>
      <c r="G8" s="4" t="str">
        <f t="shared" si="4"/>
        <v/>
      </c>
      <c r="H8" s="138" t="str">
        <f>IF(B8="","",H7*(1+B8/100))</f>
        <v/>
      </c>
      <c r="I8" s="226" t="str">
        <f t="shared" si="5"/>
        <v/>
      </c>
      <c r="J8" s="4" t="str">
        <f t="shared" ref="J8:J39" si="6">IF(H8="","",J7+1)</f>
        <v/>
      </c>
      <c r="K8" s="138" t="str">
        <f t="shared" ref="K8:K71" si="7">IF(B8="","",K7*(1+B8/100))</f>
        <v/>
      </c>
      <c r="L8" s="226" t="str">
        <f t="shared" ref="L8:L71" si="8">IF(B8="","",100*(K8^(1/J8)-1))</f>
        <v/>
      </c>
      <c r="M8" s="124"/>
      <c r="P8" s="463" t="s">
        <v>182</v>
      </c>
      <c r="Q8" s="464"/>
      <c r="R8" s="464"/>
      <c r="S8" s="465"/>
    </row>
    <row r="9" spans="1:19" ht="13.5" thickBot="1" x14ac:dyDescent="0.25">
      <c r="A9" s="139" t="str">
        <f>IF(MRes!A9="","",MRes!A9)</f>
        <v/>
      </c>
      <c r="B9" s="125" t="str">
        <f>MRes!L9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6" t="str">
        <f t="shared" si="3"/>
        <v/>
      </c>
      <c r="G9" s="4" t="str">
        <f t="shared" si="4"/>
        <v/>
      </c>
      <c r="H9" s="138" t="str">
        <f t="shared" ref="H9:H72" si="9">IF(B9="","",H8*(1+B9/100))</f>
        <v/>
      </c>
      <c r="I9" s="226" t="str">
        <f t="shared" si="5"/>
        <v/>
      </c>
      <c r="J9" s="4" t="str">
        <f t="shared" si="6"/>
        <v/>
      </c>
      <c r="K9" s="138" t="str">
        <f t="shared" si="7"/>
        <v/>
      </c>
      <c r="L9" s="226" t="str">
        <f t="shared" si="8"/>
        <v/>
      </c>
      <c r="M9" s="124"/>
      <c r="P9" s="466"/>
      <c r="Q9" s="467"/>
      <c r="R9" s="467"/>
      <c r="S9" s="468"/>
    </row>
    <row r="10" spans="1:19" ht="13.5" thickBot="1" x14ac:dyDescent="0.25">
      <c r="A10" s="139" t="str">
        <f>IF(MRes!A10="","",MRes!A10)</f>
        <v/>
      </c>
      <c r="B10" s="125" t="str">
        <f>MRes!L10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6" t="str">
        <f t="shared" si="3"/>
        <v/>
      </c>
      <c r="G10" s="4" t="str">
        <f t="shared" si="4"/>
        <v/>
      </c>
      <c r="H10" s="138" t="str">
        <f t="shared" si="9"/>
        <v/>
      </c>
      <c r="I10" s="226" t="str">
        <f t="shared" si="5"/>
        <v/>
      </c>
      <c r="J10" s="4" t="str">
        <f t="shared" si="6"/>
        <v/>
      </c>
      <c r="K10" s="138" t="str">
        <f t="shared" si="7"/>
        <v/>
      </c>
      <c r="L10" s="226" t="str">
        <f t="shared" si="8"/>
        <v/>
      </c>
      <c r="M10" s="124"/>
      <c r="P10" s="469" t="s">
        <v>206</v>
      </c>
      <c r="Q10" s="470"/>
      <c r="R10" s="284" t="e">
        <f>_xlfn.T.TEST(B3:B4,B5:B6,2,3)</f>
        <v>#DIV/0!</v>
      </c>
      <c r="S10" s="285" t="e">
        <f>1-R10</f>
        <v>#DIV/0!</v>
      </c>
    </row>
    <row r="11" spans="1:19" x14ac:dyDescent="0.2">
      <c r="A11" s="139" t="str">
        <f>IF(MRes!A11="","",MRes!A11)</f>
        <v/>
      </c>
      <c r="B11" s="125" t="str">
        <f>MRes!L11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6" t="str">
        <f t="shared" si="3"/>
        <v/>
      </c>
      <c r="G11" s="4" t="str">
        <f t="shared" si="4"/>
        <v/>
      </c>
      <c r="H11" s="138" t="str">
        <f t="shared" si="9"/>
        <v/>
      </c>
      <c r="I11" s="226" t="str">
        <f t="shared" si="5"/>
        <v/>
      </c>
      <c r="J11" s="4" t="str">
        <f t="shared" si="6"/>
        <v/>
      </c>
      <c r="K11" s="138" t="str">
        <f t="shared" si="7"/>
        <v/>
      </c>
      <c r="L11" s="226" t="str">
        <f t="shared" si="8"/>
        <v/>
      </c>
      <c r="M11" s="124"/>
    </row>
    <row r="12" spans="1:19" x14ac:dyDescent="0.2">
      <c r="A12" s="139" t="str">
        <f>IF(MRes!A12="","",MRes!A12)</f>
        <v/>
      </c>
      <c r="B12" s="125" t="str">
        <f>MRes!L12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6" t="str">
        <f t="shared" si="3"/>
        <v/>
      </c>
      <c r="G12" s="4" t="str">
        <f t="shared" si="4"/>
        <v/>
      </c>
      <c r="H12" s="138" t="str">
        <f t="shared" si="9"/>
        <v/>
      </c>
      <c r="I12" s="226" t="str">
        <f t="shared" si="5"/>
        <v/>
      </c>
      <c r="J12" s="4" t="str">
        <f t="shared" si="6"/>
        <v/>
      </c>
      <c r="K12" s="138" t="str">
        <f t="shared" si="7"/>
        <v/>
      </c>
      <c r="L12" s="226" t="str">
        <f t="shared" si="8"/>
        <v/>
      </c>
      <c r="M12" s="124"/>
    </row>
    <row r="13" spans="1:19" x14ac:dyDescent="0.2">
      <c r="A13" s="139" t="str">
        <f>IF(MRes!A13="","",MRes!A13)</f>
        <v/>
      </c>
      <c r="B13" s="125" t="str">
        <f>MRes!L13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6" t="str">
        <f t="shared" si="3"/>
        <v/>
      </c>
      <c r="G13" s="4" t="str">
        <f t="shared" si="4"/>
        <v/>
      </c>
      <c r="H13" s="138" t="str">
        <f t="shared" si="9"/>
        <v/>
      </c>
      <c r="I13" s="226" t="str">
        <f t="shared" si="5"/>
        <v/>
      </c>
      <c r="J13" s="4" t="str">
        <f t="shared" si="6"/>
        <v/>
      </c>
      <c r="K13" s="138" t="str">
        <f t="shared" si="7"/>
        <v/>
      </c>
      <c r="L13" s="226" t="str">
        <f t="shared" si="8"/>
        <v/>
      </c>
      <c r="M13" s="124"/>
    </row>
    <row r="14" spans="1:19" x14ac:dyDescent="0.2">
      <c r="A14" s="139" t="str">
        <f>IF(MRes!A14="","",MRes!A14)</f>
        <v/>
      </c>
      <c r="B14" s="125" t="str">
        <f>MRes!L14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6" t="str">
        <f t="shared" si="3"/>
        <v/>
      </c>
      <c r="G14" s="4" t="str">
        <f t="shared" si="4"/>
        <v/>
      </c>
      <c r="H14" s="138" t="str">
        <f t="shared" si="9"/>
        <v/>
      </c>
      <c r="I14" s="226" t="str">
        <f t="shared" si="5"/>
        <v/>
      </c>
      <c r="J14" s="4" t="str">
        <f t="shared" si="6"/>
        <v/>
      </c>
      <c r="K14" s="138" t="str">
        <f t="shared" si="7"/>
        <v/>
      </c>
      <c r="L14" s="226" t="str">
        <f t="shared" si="8"/>
        <v/>
      </c>
      <c r="M14" s="124"/>
    </row>
    <row r="15" spans="1:19" x14ac:dyDescent="0.2">
      <c r="A15" s="139" t="str">
        <f>IF(MRes!A15="","",MRes!A15)</f>
        <v/>
      </c>
      <c r="B15" s="125" t="str">
        <f>MRes!L15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6" t="str">
        <f t="shared" si="3"/>
        <v/>
      </c>
      <c r="G15" s="4" t="str">
        <f t="shared" si="4"/>
        <v/>
      </c>
      <c r="H15" s="138" t="str">
        <f t="shared" si="9"/>
        <v/>
      </c>
      <c r="I15" s="226" t="str">
        <f t="shared" si="5"/>
        <v/>
      </c>
      <c r="J15" s="4" t="str">
        <f t="shared" si="6"/>
        <v/>
      </c>
      <c r="K15" s="138" t="str">
        <f t="shared" si="7"/>
        <v/>
      </c>
      <c r="L15" s="226" t="str">
        <f t="shared" si="8"/>
        <v/>
      </c>
      <c r="M15" s="124"/>
    </row>
    <row r="16" spans="1:19" x14ac:dyDescent="0.2">
      <c r="A16" s="139" t="str">
        <f>IF(MRes!A16="","",MRes!A16)</f>
        <v/>
      </c>
      <c r="B16" s="125" t="str">
        <f>MRes!L16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6" t="str">
        <f t="shared" si="3"/>
        <v/>
      </c>
      <c r="G16" s="4" t="str">
        <f t="shared" si="4"/>
        <v/>
      </c>
      <c r="H16" s="138" t="str">
        <f t="shared" si="9"/>
        <v/>
      </c>
      <c r="I16" s="226" t="str">
        <f t="shared" si="5"/>
        <v/>
      </c>
      <c r="J16" s="4" t="str">
        <f t="shared" si="6"/>
        <v/>
      </c>
      <c r="K16" s="138" t="str">
        <f t="shared" si="7"/>
        <v/>
      </c>
      <c r="L16" s="226" t="str">
        <f t="shared" si="8"/>
        <v/>
      </c>
      <c r="M16" s="124"/>
    </row>
    <row r="17" spans="1:13" x14ac:dyDescent="0.2">
      <c r="A17" s="143" t="str">
        <f>IF(MRes!A17="","",MRes!A17)</f>
        <v/>
      </c>
      <c r="B17" s="125" t="str">
        <f>MRes!L17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6" t="str">
        <f t="shared" si="3"/>
        <v/>
      </c>
      <c r="G17" s="4" t="str">
        <f t="shared" si="4"/>
        <v/>
      </c>
      <c r="H17" s="138" t="str">
        <f t="shared" si="9"/>
        <v/>
      </c>
      <c r="I17" s="226" t="str">
        <f t="shared" si="5"/>
        <v/>
      </c>
      <c r="J17" s="4" t="str">
        <f t="shared" si="6"/>
        <v/>
      </c>
      <c r="K17" s="138" t="str">
        <f t="shared" si="7"/>
        <v/>
      </c>
      <c r="L17" s="226" t="str">
        <f t="shared" si="8"/>
        <v/>
      </c>
      <c r="M17" s="124"/>
    </row>
    <row r="18" spans="1:13" x14ac:dyDescent="0.2">
      <c r="A18" s="140" t="str">
        <f>IF(MRes!A18="","",MRes!A18)</f>
        <v/>
      </c>
      <c r="B18" s="125" t="str">
        <f>MRes!L18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6" t="str">
        <f t="shared" si="3"/>
        <v/>
      </c>
      <c r="G18" s="4" t="str">
        <f t="shared" si="4"/>
        <v/>
      </c>
      <c r="H18" s="138" t="str">
        <f t="shared" si="9"/>
        <v/>
      </c>
      <c r="I18" s="226" t="str">
        <f t="shared" si="5"/>
        <v/>
      </c>
      <c r="J18" s="4" t="str">
        <f t="shared" si="6"/>
        <v/>
      </c>
      <c r="K18" s="138" t="str">
        <f t="shared" si="7"/>
        <v/>
      </c>
      <c r="L18" s="226" t="str">
        <f t="shared" si="8"/>
        <v/>
      </c>
      <c r="M18" s="124"/>
    </row>
    <row r="19" spans="1:13" x14ac:dyDescent="0.2">
      <c r="A19" s="140" t="str">
        <f>IF(MRes!A19="","",MRes!A19)</f>
        <v/>
      </c>
      <c r="B19" s="125" t="str">
        <f>MRes!L19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6" t="str">
        <f t="shared" si="3"/>
        <v/>
      </c>
      <c r="G19" s="4" t="str">
        <f t="shared" si="4"/>
        <v/>
      </c>
      <c r="H19" s="138" t="str">
        <f t="shared" si="9"/>
        <v/>
      </c>
      <c r="I19" s="226" t="str">
        <f t="shared" si="5"/>
        <v/>
      </c>
      <c r="J19" s="4" t="str">
        <f t="shared" si="6"/>
        <v/>
      </c>
      <c r="K19" s="138" t="str">
        <f t="shared" si="7"/>
        <v/>
      </c>
      <c r="L19" s="226" t="str">
        <f t="shared" si="8"/>
        <v/>
      </c>
      <c r="M19" s="124"/>
    </row>
    <row r="20" spans="1:13" x14ac:dyDescent="0.2">
      <c r="A20" s="140" t="str">
        <f>IF(MRes!A20="","",MRes!A20)</f>
        <v/>
      </c>
      <c r="B20" s="125" t="str">
        <f>MRes!L20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6" t="str">
        <f t="shared" si="3"/>
        <v/>
      </c>
      <c r="G20" s="4" t="str">
        <f t="shared" si="4"/>
        <v/>
      </c>
      <c r="H20" s="138" t="str">
        <f t="shared" si="9"/>
        <v/>
      </c>
      <c r="I20" s="226" t="str">
        <f t="shared" si="5"/>
        <v/>
      </c>
      <c r="J20" s="4" t="str">
        <f t="shared" si="6"/>
        <v/>
      </c>
      <c r="K20" s="138" t="str">
        <f t="shared" si="7"/>
        <v/>
      </c>
      <c r="L20" s="226" t="str">
        <f t="shared" si="8"/>
        <v/>
      </c>
      <c r="M20" s="124"/>
    </row>
    <row r="21" spans="1:13" x14ac:dyDescent="0.2">
      <c r="A21" s="140" t="str">
        <f>IF(MRes!A21="","",MRes!A21)</f>
        <v/>
      </c>
      <c r="B21" s="125" t="str">
        <f>MRes!L21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6" t="str">
        <f t="shared" si="3"/>
        <v/>
      </c>
      <c r="G21" s="4" t="str">
        <f t="shared" si="4"/>
        <v/>
      </c>
      <c r="H21" s="138" t="str">
        <f t="shared" si="9"/>
        <v/>
      </c>
      <c r="I21" s="226" t="str">
        <f t="shared" si="5"/>
        <v/>
      </c>
      <c r="J21" s="4" t="str">
        <f t="shared" si="6"/>
        <v/>
      </c>
      <c r="K21" s="138" t="str">
        <f t="shared" si="7"/>
        <v/>
      </c>
      <c r="L21" s="226" t="str">
        <f t="shared" si="8"/>
        <v/>
      </c>
      <c r="M21" s="124"/>
    </row>
    <row r="22" spans="1:13" x14ac:dyDescent="0.2">
      <c r="A22" s="140" t="str">
        <f>IF(MRes!A22="","",MRes!A22)</f>
        <v/>
      </c>
      <c r="B22" s="125" t="str">
        <f>MRes!L22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6" t="str">
        <f t="shared" si="3"/>
        <v/>
      </c>
      <c r="G22" s="4" t="str">
        <f t="shared" si="4"/>
        <v/>
      </c>
      <c r="H22" s="138" t="str">
        <f t="shared" si="9"/>
        <v/>
      </c>
      <c r="I22" s="226" t="str">
        <f t="shared" si="5"/>
        <v/>
      </c>
      <c r="J22" s="4" t="str">
        <f t="shared" si="6"/>
        <v/>
      </c>
      <c r="K22" s="138" t="str">
        <f t="shared" si="7"/>
        <v/>
      </c>
      <c r="L22" s="226" t="str">
        <f t="shared" si="8"/>
        <v/>
      </c>
      <c r="M22" s="124"/>
    </row>
    <row r="23" spans="1:13" x14ac:dyDescent="0.2">
      <c r="A23" s="140" t="str">
        <f>IF(MRes!A23="","",MRes!A23)</f>
        <v/>
      </c>
      <c r="B23" s="125" t="str">
        <f>MRes!L23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6" t="str">
        <f t="shared" si="3"/>
        <v/>
      </c>
      <c r="G23" s="4" t="str">
        <f t="shared" si="4"/>
        <v/>
      </c>
      <c r="H23" s="138" t="str">
        <f t="shared" si="9"/>
        <v/>
      </c>
      <c r="I23" s="226" t="str">
        <f t="shared" si="5"/>
        <v/>
      </c>
      <c r="J23" s="4" t="str">
        <f t="shared" si="6"/>
        <v/>
      </c>
      <c r="K23" s="138" t="str">
        <f t="shared" si="7"/>
        <v/>
      </c>
      <c r="L23" s="226" t="str">
        <f t="shared" si="8"/>
        <v/>
      </c>
      <c r="M23" s="124"/>
    </row>
    <row r="24" spans="1:13" x14ac:dyDescent="0.2">
      <c r="A24" s="140" t="str">
        <f>IF(MRes!A24="","",MRes!A24)</f>
        <v/>
      </c>
      <c r="B24" s="125" t="str">
        <f>MRes!L24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6" t="str">
        <f t="shared" si="3"/>
        <v/>
      </c>
      <c r="G24" s="4" t="str">
        <f t="shared" si="4"/>
        <v/>
      </c>
      <c r="H24" s="138" t="str">
        <f t="shared" si="9"/>
        <v/>
      </c>
      <c r="I24" s="226" t="str">
        <f t="shared" si="5"/>
        <v/>
      </c>
      <c r="J24" s="4" t="str">
        <f t="shared" si="6"/>
        <v/>
      </c>
      <c r="K24" s="138" t="str">
        <f t="shared" si="7"/>
        <v/>
      </c>
      <c r="L24" s="226" t="str">
        <f t="shared" si="8"/>
        <v/>
      </c>
      <c r="M24" s="124"/>
    </row>
    <row r="25" spans="1:13" x14ac:dyDescent="0.2">
      <c r="A25" s="140" t="str">
        <f>IF(MRes!A25="","",MRes!A25)</f>
        <v/>
      </c>
      <c r="B25" s="125" t="str">
        <f>MRes!L25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6" t="str">
        <f t="shared" si="3"/>
        <v/>
      </c>
      <c r="G25" s="4" t="str">
        <f t="shared" si="4"/>
        <v/>
      </c>
      <c r="H25" s="138" t="str">
        <f t="shared" si="9"/>
        <v/>
      </c>
      <c r="I25" s="226" t="str">
        <f t="shared" si="5"/>
        <v/>
      </c>
      <c r="J25" s="4" t="str">
        <f t="shared" si="6"/>
        <v/>
      </c>
      <c r="K25" s="138" t="str">
        <f t="shared" si="7"/>
        <v/>
      </c>
      <c r="L25" s="226" t="str">
        <f t="shared" si="8"/>
        <v/>
      </c>
      <c r="M25" s="124"/>
    </row>
    <row r="26" spans="1:13" x14ac:dyDescent="0.2">
      <c r="A26" s="140" t="str">
        <f>IF(MRes!A26="","",MRes!A26)</f>
        <v/>
      </c>
      <c r="B26" s="125" t="str">
        <f>MRes!L26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6" t="str">
        <f t="shared" si="3"/>
        <v/>
      </c>
      <c r="G26" s="4" t="str">
        <f t="shared" si="4"/>
        <v/>
      </c>
      <c r="H26" s="138" t="str">
        <f t="shared" si="9"/>
        <v/>
      </c>
      <c r="I26" s="226" t="str">
        <f t="shared" si="5"/>
        <v/>
      </c>
      <c r="J26" s="4" t="str">
        <f t="shared" si="6"/>
        <v/>
      </c>
      <c r="K26" s="138" t="str">
        <f t="shared" si="7"/>
        <v/>
      </c>
      <c r="L26" s="226" t="str">
        <f t="shared" si="8"/>
        <v/>
      </c>
      <c r="M26" s="124"/>
    </row>
    <row r="27" spans="1:13" x14ac:dyDescent="0.2">
      <c r="A27" s="140" t="str">
        <f>IF(MRes!A27="","",MRes!A27)</f>
        <v/>
      </c>
      <c r="B27" s="125" t="str">
        <f>MRes!L27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6" t="str">
        <f t="shared" si="3"/>
        <v/>
      </c>
      <c r="G27" s="4" t="str">
        <f t="shared" si="4"/>
        <v/>
      </c>
      <c r="H27" s="138" t="str">
        <f t="shared" si="9"/>
        <v/>
      </c>
      <c r="I27" s="226" t="str">
        <f t="shared" si="5"/>
        <v/>
      </c>
      <c r="J27" s="4" t="str">
        <f t="shared" si="6"/>
        <v/>
      </c>
      <c r="K27" s="138" t="str">
        <f t="shared" si="7"/>
        <v/>
      </c>
      <c r="L27" s="226" t="str">
        <f t="shared" si="8"/>
        <v/>
      </c>
      <c r="M27" s="124"/>
    </row>
    <row r="28" spans="1:13" x14ac:dyDescent="0.2">
      <c r="A28" s="140" t="str">
        <f>IF(MRes!A28="","",MRes!A28)</f>
        <v/>
      </c>
      <c r="B28" s="125" t="str">
        <f>MRes!L28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6" t="str">
        <f t="shared" si="3"/>
        <v/>
      </c>
      <c r="G28" s="4" t="str">
        <f t="shared" si="4"/>
        <v/>
      </c>
      <c r="H28" s="138" t="str">
        <f t="shared" si="9"/>
        <v/>
      </c>
      <c r="I28" s="226" t="str">
        <f t="shared" si="5"/>
        <v/>
      </c>
      <c r="J28" s="4" t="str">
        <f t="shared" si="6"/>
        <v/>
      </c>
      <c r="K28" s="138" t="str">
        <f t="shared" si="7"/>
        <v/>
      </c>
      <c r="L28" s="226" t="str">
        <f t="shared" si="8"/>
        <v/>
      </c>
      <c r="M28" s="124"/>
    </row>
    <row r="29" spans="1:13" x14ac:dyDescent="0.2">
      <c r="A29" s="140" t="str">
        <f>IF(MRes!A29="","",MRes!A29)</f>
        <v/>
      </c>
      <c r="B29" s="125" t="str">
        <f>MRes!L29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6" t="str">
        <f t="shared" si="3"/>
        <v/>
      </c>
      <c r="G29" s="4" t="str">
        <f t="shared" si="4"/>
        <v/>
      </c>
      <c r="H29" s="138" t="str">
        <f t="shared" si="9"/>
        <v/>
      </c>
      <c r="I29" s="226" t="str">
        <f t="shared" si="5"/>
        <v/>
      </c>
      <c r="J29" s="4" t="str">
        <f t="shared" si="6"/>
        <v/>
      </c>
      <c r="K29" s="138" t="str">
        <f t="shared" si="7"/>
        <v/>
      </c>
      <c r="L29" s="226" t="str">
        <f t="shared" si="8"/>
        <v/>
      </c>
      <c r="M29" s="124"/>
    </row>
    <row r="30" spans="1:13" x14ac:dyDescent="0.2">
      <c r="A30" s="139" t="str">
        <f>IF(MRes!A30="","",MRes!A30)</f>
        <v/>
      </c>
      <c r="B30" s="125" t="str">
        <f>MRes!L30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6" t="str">
        <f t="shared" si="3"/>
        <v/>
      </c>
      <c r="G30" s="4" t="str">
        <f t="shared" si="4"/>
        <v/>
      </c>
      <c r="H30" s="138" t="str">
        <f t="shared" si="9"/>
        <v/>
      </c>
      <c r="I30" s="226" t="str">
        <f t="shared" si="5"/>
        <v/>
      </c>
      <c r="J30" s="4" t="str">
        <f t="shared" si="6"/>
        <v/>
      </c>
      <c r="K30" s="138" t="str">
        <f t="shared" si="7"/>
        <v/>
      </c>
      <c r="L30" s="226" t="str">
        <f t="shared" si="8"/>
        <v/>
      </c>
      <c r="M30" s="124"/>
    </row>
    <row r="31" spans="1:13" x14ac:dyDescent="0.2">
      <c r="A31" s="139" t="str">
        <f>IF(MRes!A31="","",MRes!A31)</f>
        <v/>
      </c>
      <c r="B31" s="125" t="str">
        <f>MRes!L31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6" t="str">
        <f t="shared" si="3"/>
        <v/>
      </c>
      <c r="G31" s="4" t="str">
        <f t="shared" si="4"/>
        <v/>
      </c>
      <c r="H31" s="138" t="str">
        <f t="shared" si="9"/>
        <v/>
      </c>
      <c r="I31" s="226" t="str">
        <f t="shared" si="5"/>
        <v/>
      </c>
      <c r="J31" s="4" t="str">
        <f t="shared" si="6"/>
        <v/>
      </c>
      <c r="K31" s="138" t="str">
        <f t="shared" si="7"/>
        <v/>
      </c>
      <c r="L31" s="226" t="str">
        <f t="shared" si="8"/>
        <v/>
      </c>
      <c r="M31" s="124"/>
    </row>
    <row r="32" spans="1:13" x14ac:dyDescent="0.2">
      <c r="A32" s="139" t="str">
        <f>IF(MRes!A32="","",MRes!A32)</f>
        <v/>
      </c>
      <c r="B32" s="125" t="str">
        <f>MRes!L32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6" t="str">
        <f t="shared" si="3"/>
        <v/>
      </c>
      <c r="G32" s="4" t="str">
        <f t="shared" si="4"/>
        <v/>
      </c>
      <c r="H32" s="138" t="str">
        <f t="shared" si="9"/>
        <v/>
      </c>
      <c r="I32" s="226" t="str">
        <f t="shared" si="5"/>
        <v/>
      </c>
      <c r="J32" s="4" t="str">
        <f t="shared" si="6"/>
        <v/>
      </c>
      <c r="K32" s="138" t="str">
        <f t="shared" si="7"/>
        <v/>
      </c>
      <c r="L32" s="226" t="str">
        <f t="shared" si="8"/>
        <v/>
      </c>
      <c r="M32" s="124"/>
    </row>
    <row r="33" spans="1:13" x14ac:dyDescent="0.2">
      <c r="A33" s="139" t="str">
        <f>IF(MRes!A33="","",MRes!A33)</f>
        <v/>
      </c>
      <c r="B33" s="125" t="str">
        <f>MRes!L33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6" t="str">
        <f t="shared" si="3"/>
        <v/>
      </c>
      <c r="G33" s="4" t="str">
        <f t="shared" si="4"/>
        <v/>
      </c>
      <c r="H33" s="138" t="str">
        <f t="shared" si="9"/>
        <v/>
      </c>
      <c r="I33" s="226" t="str">
        <f t="shared" si="5"/>
        <v/>
      </c>
      <c r="J33" s="4" t="str">
        <f t="shared" si="6"/>
        <v/>
      </c>
      <c r="K33" s="138" t="str">
        <f t="shared" si="7"/>
        <v/>
      </c>
      <c r="L33" s="226" t="str">
        <f t="shared" si="8"/>
        <v/>
      </c>
      <c r="M33" s="124"/>
    </row>
    <row r="34" spans="1:13" x14ac:dyDescent="0.2">
      <c r="A34" s="139" t="str">
        <f>IF(MRes!A34="","",MRes!A34)</f>
        <v/>
      </c>
      <c r="B34" s="125" t="str">
        <f>MRes!L34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6" t="str">
        <f t="shared" si="3"/>
        <v/>
      </c>
      <c r="G34" s="4" t="str">
        <f t="shared" si="4"/>
        <v/>
      </c>
      <c r="H34" s="138" t="str">
        <f t="shared" si="9"/>
        <v/>
      </c>
      <c r="I34" s="226" t="str">
        <f t="shared" si="5"/>
        <v/>
      </c>
      <c r="J34" s="4" t="str">
        <f t="shared" si="6"/>
        <v/>
      </c>
      <c r="K34" s="138" t="str">
        <f t="shared" si="7"/>
        <v/>
      </c>
      <c r="L34" s="226" t="str">
        <f t="shared" si="8"/>
        <v/>
      </c>
      <c r="M34" s="124"/>
    </row>
    <row r="35" spans="1:13" x14ac:dyDescent="0.2">
      <c r="A35" s="140" t="str">
        <f>IF(MRes!A35="","",MRes!A35)</f>
        <v/>
      </c>
      <c r="B35" s="125" t="str">
        <f>MRes!L35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6" t="str">
        <f t="shared" ref="F35:F66" si="12">IF(B35="","",100*(D35^(1/C35)-1))</f>
        <v/>
      </c>
      <c r="G35" s="4" t="str">
        <f t="shared" si="4"/>
        <v/>
      </c>
      <c r="H35" s="138" t="str">
        <f t="shared" si="9"/>
        <v/>
      </c>
      <c r="I35" s="226" t="str">
        <f t="shared" si="5"/>
        <v/>
      </c>
      <c r="J35" s="4" t="str">
        <f t="shared" si="6"/>
        <v/>
      </c>
      <c r="K35" s="138" t="str">
        <f t="shared" si="7"/>
        <v/>
      </c>
      <c r="L35" s="226" t="str">
        <f t="shared" si="8"/>
        <v/>
      </c>
      <c r="M35" s="124"/>
    </row>
    <row r="36" spans="1:13" x14ac:dyDescent="0.2">
      <c r="A36" s="140" t="str">
        <f>IF(MRes!A36="","",MRes!A36)</f>
        <v/>
      </c>
      <c r="B36" s="125" t="str">
        <f>MRes!L36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6" t="str">
        <f t="shared" si="12"/>
        <v/>
      </c>
      <c r="G36" s="4" t="str">
        <f t="shared" si="4"/>
        <v/>
      </c>
      <c r="H36" s="138" t="str">
        <f t="shared" si="9"/>
        <v/>
      </c>
      <c r="I36" s="226" t="str">
        <f t="shared" si="5"/>
        <v/>
      </c>
      <c r="J36" s="4" t="str">
        <f t="shared" si="6"/>
        <v/>
      </c>
      <c r="K36" s="138" t="str">
        <f t="shared" si="7"/>
        <v/>
      </c>
      <c r="L36" s="226" t="str">
        <f t="shared" si="8"/>
        <v/>
      </c>
      <c r="M36" s="124"/>
    </row>
    <row r="37" spans="1:13" x14ac:dyDescent="0.2">
      <c r="A37" s="139" t="str">
        <f>IF(MRes!A37="","",MRes!A37)</f>
        <v/>
      </c>
      <c r="B37" s="125" t="str">
        <f>MRes!L37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6" t="str">
        <f t="shared" si="12"/>
        <v/>
      </c>
      <c r="G37" s="4" t="str">
        <f t="shared" si="4"/>
        <v/>
      </c>
      <c r="H37" s="138" t="str">
        <f t="shared" si="9"/>
        <v/>
      </c>
      <c r="I37" s="226" t="str">
        <f t="shared" si="5"/>
        <v/>
      </c>
      <c r="J37" s="4" t="str">
        <f t="shared" si="6"/>
        <v/>
      </c>
      <c r="K37" s="138" t="str">
        <f t="shared" si="7"/>
        <v/>
      </c>
      <c r="L37" s="226" t="str">
        <f t="shared" si="8"/>
        <v/>
      </c>
      <c r="M37" s="124"/>
    </row>
    <row r="38" spans="1:13" x14ac:dyDescent="0.2">
      <c r="A38" s="139" t="str">
        <f>IF(MRes!A38="","",MRes!A38)</f>
        <v/>
      </c>
      <c r="B38" s="125" t="str">
        <f>MRes!L38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6" t="str">
        <f t="shared" si="12"/>
        <v/>
      </c>
      <c r="G38" s="4" t="str">
        <f t="shared" si="4"/>
        <v/>
      </c>
      <c r="H38" s="138" t="str">
        <f t="shared" si="9"/>
        <v/>
      </c>
      <c r="I38" s="226" t="str">
        <f t="shared" si="5"/>
        <v/>
      </c>
      <c r="J38" s="4" t="str">
        <f t="shared" si="6"/>
        <v/>
      </c>
      <c r="K38" s="138" t="str">
        <f t="shared" si="7"/>
        <v/>
      </c>
      <c r="L38" s="226" t="str">
        <f t="shared" si="8"/>
        <v/>
      </c>
      <c r="M38" s="124"/>
    </row>
    <row r="39" spans="1:13" x14ac:dyDescent="0.2">
      <c r="A39" s="139" t="str">
        <f>IF(MRes!A39="","",MRes!A39)</f>
        <v/>
      </c>
      <c r="B39" s="125" t="str">
        <f>MRes!L39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6" t="str">
        <f t="shared" si="12"/>
        <v/>
      </c>
      <c r="G39" s="4" t="str">
        <f t="shared" ref="G39:G67" si="13">IF(D39="","",G38+1)</f>
        <v/>
      </c>
      <c r="H39" s="138" t="str">
        <f t="shared" si="9"/>
        <v/>
      </c>
      <c r="I39" s="226" t="str">
        <f t="shared" ref="I39:I70" si="14">IF(B39="","",100*(H39^(1/G39)-1))</f>
        <v/>
      </c>
      <c r="J39" s="4" t="str">
        <f t="shared" si="6"/>
        <v/>
      </c>
      <c r="K39" s="138" t="str">
        <f t="shared" si="7"/>
        <v/>
      </c>
      <c r="L39" s="226" t="str">
        <f t="shared" si="8"/>
        <v/>
      </c>
      <c r="M39" s="124"/>
    </row>
    <row r="40" spans="1:13" x14ac:dyDescent="0.2">
      <c r="A40" s="139" t="str">
        <f>IF(MRes!A40="","",MRes!A40)</f>
        <v/>
      </c>
      <c r="B40" s="125" t="str">
        <f>MRes!L40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6" t="str">
        <f t="shared" si="12"/>
        <v/>
      </c>
      <c r="G40" s="4" t="str">
        <f t="shared" si="13"/>
        <v/>
      </c>
      <c r="H40" s="138" t="str">
        <f t="shared" si="9"/>
        <v/>
      </c>
      <c r="I40" s="226" t="str">
        <f t="shared" si="14"/>
        <v/>
      </c>
      <c r="J40" s="4" t="str">
        <f t="shared" ref="J40:J67" si="15">IF(H40="","",J39+1)</f>
        <v/>
      </c>
      <c r="K40" s="138" t="str">
        <f t="shared" si="7"/>
        <v/>
      </c>
      <c r="L40" s="226" t="str">
        <f t="shared" si="8"/>
        <v/>
      </c>
      <c r="M40" s="124"/>
    </row>
    <row r="41" spans="1:13" x14ac:dyDescent="0.2">
      <c r="A41" s="139" t="str">
        <f>IF(MRes!A41="","",MRes!A41)</f>
        <v/>
      </c>
      <c r="B41" s="125" t="str">
        <f>MRes!L41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6" t="str">
        <f t="shared" si="12"/>
        <v/>
      </c>
      <c r="G41" s="4" t="str">
        <f t="shared" si="13"/>
        <v/>
      </c>
      <c r="H41" s="138" t="str">
        <f t="shared" si="9"/>
        <v/>
      </c>
      <c r="I41" s="226" t="str">
        <f t="shared" si="14"/>
        <v/>
      </c>
      <c r="J41" s="4" t="str">
        <f t="shared" si="15"/>
        <v/>
      </c>
      <c r="K41" s="138" t="str">
        <f t="shared" si="7"/>
        <v/>
      </c>
      <c r="L41" s="226" t="str">
        <f t="shared" si="8"/>
        <v/>
      </c>
      <c r="M41" s="124"/>
    </row>
    <row r="42" spans="1:13" x14ac:dyDescent="0.2">
      <c r="A42" s="139" t="str">
        <f>IF(MRes!A42="","",MRes!A42)</f>
        <v/>
      </c>
      <c r="B42" s="125" t="str">
        <f>MRes!L42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6" t="str">
        <f t="shared" si="12"/>
        <v/>
      </c>
      <c r="G42" s="4" t="str">
        <f t="shared" si="13"/>
        <v/>
      </c>
      <c r="H42" s="138" t="str">
        <f t="shared" si="9"/>
        <v/>
      </c>
      <c r="I42" s="226" t="str">
        <f t="shared" si="14"/>
        <v/>
      </c>
      <c r="J42" s="4" t="str">
        <f t="shared" si="15"/>
        <v/>
      </c>
      <c r="K42" s="138" t="str">
        <f t="shared" si="7"/>
        <v/>
      </c>
      <c r="L42" s="226" t="str">
        <f t="shared" si="8"/>
        <v/>
      </c>
      <c r="M42" s="124"/>
    </row>
    <row r="43" spans="1:13" x14ac:dyDescent="0.2">
      <c r="A43" s="139" t="str">
        <f>IF(MRes!A43="","",MRes!A43)</f>
        <v/>
      </c>
      <c r="B43" s="125" t="str">
        <f>MRes!L43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6" t="str">
        <f t="shared" si="12"/>
        <v/>
      </c>
      <c r="G43" s="4" t="str">
        <f t="shared" si="13"/>
        <v/>
      </c>
      <c r="H43" s="138" t="str">
        <f t="shared" si="9"/>
        <v/>
      </c>
      <c r="I43" s="226" t="str">
        <f t="shared" si="14"/>
        <v/>
      </c>
      <c r="J43" s="4" t="str">
        <f t="shared" si="15"/>
        <v/>
      </c>
      <c r="K43" s="138" t="str">
        <f t="shared" si="7"/>
        <v/>
      </c>
      <c r="L43" s="226" t="str">
        <f t="shared" si="8"/>
        <v/>
      </c>
      <c r="M43" s="124"/>
    </row>
    <row r="44" spans="1:13" x14ac:dyDescent="0.2">
      <c r="A44" s="139" t="str">
        <f>IF(MRes!A44="","",MRes!A44)</f>
        <v/>
      </c>
      <c r="B44" s="125" t="str">
        <f>MRes!L44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6" t="str">
        <f t="shared" si="12"/>
        <v/>
      </c>
      <c r="G44" s="4" t="str">
        <f t="shared" si="13"/>
        <v/>
      </c>
      <c r="H44" s="138" t="str">
        <f t="shared" si="9"/>
        <v/>
      </c>
      <c r="I44" s="226" t="str">
        <f t="shared" si="14"/>
        <v/>
      </c>
      <c r="J44" s="4" t="str">
        <f t="shared" si="15"/>
        <v/>
      </c>
      <c r="K44" s="138" t="str">
        <f t="shared" si="7"/>
        <v/>
      </c>
      <c r="L44" s="226" t="str">
        <f t="shared" si="8"/>
        <v/>
      </c>
      <c r="M44" s="124"/>
    </row>
    <row r="45" spans="1:13" x14ac:dyDescent="0.2">
      <c r="A45" s="139" t="str">
        <f>IF(MRes!A45="","",MRes!A45)</f>
        <v/>
      </c>
      <c r="B45" s="125" t="str">
        <f>MRes!L45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6" t="str">
        <f t="shared" si="12"/>
        <v/>
      </c>
      <c r="G45" s="4" t="str">
        <f t="shared" si="13"/>
        <v/>
      </c>
      <c r="H45" s="138" t="str">
        <f t="shared" si="9"/>
        <v/>
      </c>
      <c r="I45" s="226" t="str">
        <f t="shared" si="14"/>
        <v/>
      </c>
      <c r="J45" s="4" t="str">
        <f t="shared" si="15"/>
        <v/>
      </c>
      <c r="K45" s="138" t="str">
        <f t="shared" si="7"/>
        <v/>
      </c>
      <c r="L45" s="226" t="str">
        <f t="shared" si="8"/>
        <v/>
      </c>
      <c r="M45" s="124"/>
    </row>
    <row r="46" spans="1:13" x14ac:dyDescent="0.2">
      <c r="A46" s="140" t="str">
        <f>IF(MRes!A46="","",MRes!A46)</f>
        <v/>
      </c>
      <c r="B46" s="125" t="str">
        <f>MRes!L46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6" t="str">
        <f t="shared" si="12"/>
        <v/>
      </c>
      <c r="G46" s="4" t="str">
        <f t="shared" si="13"/>
        <v/>
      </c>
      <c r="H46" s="138" t="str">
        <f t="shared" si="9"/>
        <v/>
      </c>
      <c r="I46" s="226" t="str">
        <f t="shared" si="14"/>
        <v/>
      </c>
      <c r="J46" s="4" t="str">
        <f t="shared" si="15"/>
        <v/>
      </c>
      <c r="K46" s="138" t="str">
        <f t="shared" si="7"/>
        <v/>
      </c>
      <c r="L46" s="226" t="str">
        <f t="shared" si="8"/>
        <v/>
      </c>
      <c r="M46" s="124"/>
    </row>
    <row r="47" spans="1:13" x14ac:dyDescent="0.2">
      <c r="A47" s="140" t="str">
        <f>IF(MRes!A47="","",MRes!A47)</f>
        <v/>
      </c>
      <c r="B47" s="125" t="str">
        <f>MRes!L47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6" t="str">
        <f t="shared" si="12"/>
        <v/>
      </c>
      <c r="G47" s="4" t="str">
        <f t="shared" si="13"/>
        <v/>
      </c>
      <c r="H47" s="138" t="str">
        <f t="shared" si="9"/>
        <v/>
      </c>
      <c r="I47" s="226" t="str">
        <f t="shared" si="14"/>
        <v/>
      </c>
      <c r="J47" s="4" t="str">
        <f t="shared" si="15"/>
        <v/>
      </c>
      <c r="K47" s="138" t="str">
        <f t="shared" si="7"/>
        <v/>
      </c>
      <c r="L47" s="226" t="str">
        <f t="shared" si="8"/>
        <v/>
      </c>
      <c r="M47" s="124"/>
    </row>
    <row r="48" spans="1:13" x14ac:dyDescent="0.2">
      <c r="A48" s="139" t="str">
        <f>IF(MRes!A48="","",MRes!A48)</f>
        <v/>
      </c>
      <c r="B48" s="125" t="str">
        <f>MRes!L48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6" t="str">
        <f t="shared" si="12"/>
        <v/>
      </c>
      <c r="G48" s="4" t="str">
        <f t="shared" si="13"/>
        <v/>
      </c>
      <c r="H48" s="138" t="str">
        <f t="shared" si="9"/>
        <v/>
      </c>
      <c r="I48" s="226" t="str">
        <f t="shared" si="14"/>
        <v/>
      </c>
      <c r="J48" s="4" t="str">
        <f t="shared" si="15"/>
        <v/>
      </c>
      <c r="K48" s="138" t="str">
        <f t="shared" si="7"/>
        <v/>
      </c>
      <c r="L48" s="226" t="str">
        <f t="shared" si="8"/>
        <v/>
      </c>
      <c r="M48" s="124"/>
    </row>
    <row r="49" spans="1:13" x14ac:dyDescent="0.2">
      <c r="A49" s="139" t="str">
        <f>IF(MRes!A49="","",MRes!A49)</f>
        <v/>
      </c>
      <c r="B49" s="125" t="str">
        <f>MRes!L49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6" t="str">
        <f t="shared" si="12"/>
        <v/>
      </c>
      <c r="G49" s="4" t="str">
        <f t="shared" si="13"/>
        <v/>
      </c>
      <c r="H49" s="138" t="str">
        <f t="shared" si="9"/>
        <v/>
      </c>
      <c r="I49" s="226" t="str">
        <f t="shared" si="14"/>
        <v/>
      </c>
      <c r="J49" s="4" t="str">
        <f t="shared" si="15"/>
        <v/>
      </c>
      <c r="K49" s="138" t="str">
        <f t="shared" si="7"/>
        <v/>
      </c>
      <c r="L49" s="226" t="str">
        <f t="shared" si="8"/>
        <v/>
      </c>
      <c r="M49" s="124"/>
    </row>
    <row r="50" spans="1:13" x14ac:dyDescent="0.2">
      <c r="A50" s="139" t="str">
        <f>IF(MRes!A50="","",MRes!A50)</f>
        <v/>
      </c>
      <c r="B50" s="125" t="str">
        <f>MRes!L50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6" t="str">
        <f t="shared" si="12"/>
        <v/>
      </c>
      <c r="G50" s="4" t="str">
        <f t="shared" si="13"/>
        <v/>
      </c>
      <c r="H50" s="138" t="str">
        <f t="shared" si="9"/>
        <v/>
      </c>
      <c r="I50" s="226" t="str">
        <f t="shared" si="14"/>
        <v/>
      </c>
      <c r="J50" s="4" t="str">
        <f t="shared" si="15"/>
        <v/>
      </c>
      <c r="K50" s="138" t="str">
        <f t="shared" si="7"/>
        <v/>
      </c>
      <c r="L50" s="226" t="str">
        <f t="shared" si="8"/>
        <v/>
      </c>
      <c r="M50" s="124"/>
    </row>
    <row r="51" spans="1:13" x14ac:dyDescent="0.2">
      <c r="A51" s="139" t="str">
        <f>IF(MRes!A51="","",MRes!A51)</f>
        <v/>
      </c>
      <c r="B51" s="125" t="str">
        <f>MRes!L51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6" t="str">
        <f t="shared" si="12"/>
        <v/>
      </c>
      <c r="G51" s="4" t="str">
        <f t="shared" si="13"/>
        <v/>
      </c>
      <c r="H51" s="138" t="str">
        <f t="shared" si="9"/>
        <v/>
      </c>
      <c r="I51" s="226" t="str">
        <f t="shared" si="14"/>
        <v/>
      </c>
      <c r="J51" s="4" t="str">
        <f t="shared" si="15"/>
        <v/>
      </c>
      <c r="K51" s="138" t="str">
        <f t="shared" si="7"/>
        <v/>
      </c>
      <c r="L51" s="226" t="str">
        <f t="shared" si="8"/>
        <v/>
      </c>
      <c r="M51" s="124"/>
    </row>
    <row r="52" spans="1:13" x14ac:dyDescent="0.2">
      <c r="A52" s="139" t="str">
        <f>IF(MRes!A52="","",MRes!A52)</f>
        <v/>
      </c>
      <c r="B52" s="125" t="str">
        <f>MRes!L52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6" t="str">
        <f t="shared" si="12"/>
        <v/>
      </c>
      <c r="G52" s="4" t="str">
        <f t="shared" si="13"/>
        <v/>
      </c>
      <c r="H52" s="138" t="str">
        <f t="shared" si="9"/>
        <v/>
      </c>
      <c r="I52" s="226" t="str">
        <f t="shared" si="14"/>
        <v/>
      </c>
      <c r="J52" s="4" t="str">
        <f t="shared" si="15"/>
        <v/>
      </c>
      <c r="K52" s="138" t="str">
        <f t="shared" si="7"/>
        <v/>
      </c>
      <c r="L52" s="226" t="str">
        <f t="shared" si="8"/>
        <v/>
      </c>
      <c r="M52" s="124"/>
    </row>
    <row r="53" spans="1:13" x14ac:dyDescent="0.2">
      <c r="A53" s="139" t="str">
        <f>IF(MRes!A53="","",MRes!A53)</f>
        <v/>
      </c>
      <c r="B53" s="125" t="str">
        <f>MRes!L53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6" t="str">
        <f t="shared" si="12"/>
        <v/>
      </c>
      <c r="G53" s="4" t="str">
        <f t="shared" si="13"/>
        <v/>
      </c>
      <c r="H53" s="138" t="str">
        <f t="shared" si="9"/>
        <v/>
      </c>
      <c r="I53" s="226" t="str">
        <f t="shared" si="14"/>
        <v/>
      </c>
      <c r="J53" s="4" t="str">
        <f t="shared" si="15"/>
        <v/>
      </c>
      <c r="K53" s="138" t="str">
        <f t="shared" si="7"/>
        <v/>
      </c>
      <c r="L53" s="226" t="str">
        <f t="shared" si="8"/>
        <v/>
      </c>
      <c r="M53" s="124"/>
    </row>
    <row r="54" spans="1:13" x14ac:dyDescent="0.2">
      <c r="A54" s="139" t="str">
        <f>IF(MRes!A54="","",MRes!A54)</f>
        <v/>
      </c>
      <c r="B54" s="125" t="str">
        <f>MRes!L54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6" t="str">
        <f t="shared" si="12"/>
        <v/>
      </c>
      <c r="G54" s="4" t="str">
        <f t="shared" si="13"/>
        <v/>
      </c>
      <c r="H54" s="138" t="str">
        <f t="shared" si="9"/>
        <v/>
      </c>
      <c r="I54" s="226" t="str">
        <f t="shared" si="14"/>
        <v/>
      </c>
      <c r="J54" s="4" t="str">
        <f t="shared" si="15"/>
        <v/>
      </c>
      <c r="K54" s="138" t="str">
        <f t="shared" si="7"/>
        <v/>
      </c>
      <c r="L54" s="226" t="str">
        <f t="shared" si="8"/>
        <v/>
      </c>
      <c r="M54" s="124"/>
    </row>
    <row r="55" spans="1:13" x14ac:dyDescent="0.2">
      <c r="A55" s="139" t="str">
        <f>IF(MRes!A55="","",MRes!A55)</f>
        <v/>
      </c>
      <c r="B55" s="125" t="str">
        <f>MRes!L55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6" t="str">
        <f t="shared" si="12"/>
        <v/>
      </c>
      <c r="G55" s="4" t="str">
        <f t="shared" si="13"/>
        <v/>
      </c>
      <c r="H55" s="138" t="str">
        <f t="shared" si="9"/>
        <v/>
      </c>
      <c r="I55" s="226" t="str">
        <f t="shared" si="14"/>
        <v/>
      </c>
      <c r="J55" s="4" t="str">
        <f t="shared" si="15"/>
        <v/>
      </c>
      <c r="K55" s="138" t="str">
        <f t="shared" si="7"/>
        <v/>
      </c>
      <c r="L55" s="226" t="str">
        <f t="shared" si="8"/>
        <v/>
      </c>
      <c r="M55" s="124"/>
    </row>
    <row r="56" spans="1:13" x14ac:dyDescent="0.2">
      <c r="A56" s="139" t="str">
        <f>IF(MRes!A56="","",MRes!A56)</f>
        <v/>
      </c>
      <c r="B56" s="125" t="str">
        <f>MRes!L56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6" t="str">
        <f t="shared" si="12"/>
        <v/>
      </c>
      <c r="G56" s="4" t="str">
        <f t="shared" si="13"/>
        <v/>
      </c>
      <c r="H56" s="138" t="str">
        <f t="shared" si="9"/>
        <v/>
      </c>
      <c r="I56" s="226" t="str">
        <f t="shared" si="14"/>
        <v/>
      </c>
      <c r="J56" s="4" t="str">
        <f t="shared" si="15"/>
        <v/>
      </c>
      <c r="K56" s="138" t="str">
        <f t="shared" si="7"/>
        <v/>
      </c>
      <c r="L56" s="226" t="str">
        <f t="shared" si="8"/>
        <v/>
      </c>
      <c r="M56" s="124"/>
    </row>
    <row r="57" spans="1:13" x14ac:dyDescent="0.2">
      <c r="A57" s="139" t="str">
        <f>IF(MRes!A57="","",MRes!A57)</f>
        <v/>
      </c>
      <c r="B57" s="125" t="str">
        <f>MRes!L57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6" t="str">
        <f t="shared" si="12"/>
        <v/>
      </c>
      <c r="G57" s="4" t="str">
        <f t="shared" si="13"/>
        <v/>
      </c>
      <c r="H57" s="138" t="str">
        <f t="shared" si="9"/>
        <v/>
      </c>
      <c r="I57" s="226" t="str">
        <f t="shared" si="14"/>
        <v/>
      </c>
      <c r="J57" s="4" t="str">
        <f t="shared" si="15"/>
        <v/>
      </c>
      <c r="K57" s="138" t="str">
        <f t="shared" si="7"/>
        <v/>
      </c>
      <c r="L57" s="226" t="str">
        <f t="shared" si="8"/>
        <v/>
      </c>
      <c r="M57" s="124"/>
    </row>
    <row r="58" spans="1:13" x14ac:dyDescent="0.2">
      <c r="A58" s="139" t="str">
        <f>IF(MRes!A58="","",MRes!A58)</f>
        <v/>
      </c>
      <c r="B58" s="125" t="str">
        <f>MRes!L58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6" t="str">
        <f t="shared" si="12"/>
        <v/>
      </c>
      <c r="G58" s="4" t="str">
        <f t="shared" si="13"/>
        <v/>
      </c>
      <c r="H58" s="138" t="str">
        <f t="shared" si="9"/>
        <v/>
      </c>
      <c r="I58" s="226" t="str">
        <f t="shared" si="14"/>
        <v/>
      </c>
      <c r="J58" s="4" t="str">
        <f t="shared" si="15"/>
        <v/>
      </c>
      <c r="K58" s="138" t="str">
        <f t="shared" si="7"/>
        <v/>
      </c>
      <c r="L58" s="226" t="str">
        <f t="shared" si="8"/>
        <v/>
      </c>
      <c r="M58" s="124"/>
    </row>
    <row r="59" spans="1:13" x14ac:dyDescent="0.2">
      <c r="A59" s="139" t="str">
        <f>IF(MRes!A59="","",MRes!A59)</f>
        <v/>
      </c>
      <c r="B59" s="125" t="str">
        <f>MRes!L59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6" t="str">
        <f t="shared" si="12"/>
        <v/>
      </c>
      <c r="G59" s="4" t="str">
        <f t="shared" si="13"/>
        <v/>
      </c>
      <c r="H59" s="138" t="str">
        <f t="shared" si="9"/>
        <v/>
      </c>
      <c r="I59" s="226" t="str">
        <f t="shared" si="14"/>
        <v/>
      </c>
      <c r="J59" s="4" t="str">
        <f t="shared" si="15"/>
        <v/>
      </c>
      <c r="K59" s="138" t="str">
        <f t="shared" si="7"/>
        <v/>
      </c>
      <c r="L59" s="226" t="str">
        <f t="shared" si="8"/>
        <v/>
      </c>
      <c r="M59" s="124"/>
    </row>
    <row r="60" spans="1:13" x14ac:dyDescent="0.2">
      <c r="A60" s="139" t="str">
        <f>IF(MRes!A60="","",MRes!A60)</f>
        <v/>
      </c>
      <c r="B60" s="125" t="str">
        <f>MRes!L60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6" t="str">
        <f t="shared" si="12"/>
        <v/>
      </c>
      <c r="G60" s="4" t="str">
        <f t="shared" si="13"/>
        <v/>
      </c>
      <c r="H60" s="138" t="str">
        <f t="shared" si="9"/>
        <v/>
      </c>
      <c r="I60" s="226" t="str">
        <f t="shared" si="14"/>
        <v/>
      </c>
      <c r="J60" s="4" t="str">
        <f t="shared" si="15"/>
        <v/>
      </c>
      <c r="K60" s="138" t="str">
        <f t="shared" si="7"/>
        <v/>
      </c>
      <c r="L60" s="226" t="str">
        <f t="shared" si="8"/>
        <v/>
      </c>
      <c r="M60" s="124"/>
    </row>
    <row r="61" spans="1:13" x14ac:dyDescent="0.2">
      <c r="A61" s="139" t="str">
        <f>IF(MRes!A61="","",MRes!A61)</f>
        <v/>
      </c>
      <c r="B61" s="125" t="str">
        <f>MRes!L61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6" t="str">
        <f t="shared" si="12"/>
        <v/>
      </c>
      <c r="G61" s="4" t="str">
        <f t="shared" si="13"/>
        <v/>
      </c>
      <c r="H61" s="138" t="str">
        <f t="shared" si="9"/>
        <v/>
      </c>
      <c r="I61" s="226" t="str">
        <f t="shared" si="14"/>
        <v/>
      </c>
      <c r="J61" s="4" t="str">
        <f t="shared" si="15"/>
        <v/>
      </c>
      <c r="K61" s="138" t="str">
        <f t="shared" si="7"/>
        <v/>
      </c>
      <c r="L61" s="226" t="str">
        <f t="shared" si="8"/>
        <v/>
      </c>
      <c r="M61" s="124"/>
    </row>
    <row r="62" spans="1:13" x14ac:dyDescent="0.2">
      <c r="A62" s="139" t="str">
        <f>IF(MRes!A62="","",MRes!A62)</f>
        <v/>
      </c>
      <c r="B62" s="125" t="str">
        <f>MRes!L62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6" t="str">
        <f t="shared" si="12"/>
        <v/>
      </c>
      <c r="G62" s="4" t="str">
        <f t="shared" si="13"/>
        <v/>
      </c>
      <c r="H62" s="138" t="str">
        <f t="shared" si="9"/>
        <v/>
      </c>
      <c r="I62" s="226" t="str">
        <f t="shared" si="14"/>
        <v/>
      </c>
      <c r="J62" s="4" t="str">
        <f t="shared" si="15"/>
        <v/>
      </c>
      <c r="K62" s="138" t="str">
        <f t="shared" si="7"/>
        <v/>
      </c>
      <c r="L62" s="226" t="str">
        <f t="shared" si="8"/>
        <v/>
      </c>
      <c r="M62" s="124"/>
    </row>
    <row r="63" spans="1:13" x14ac:dyDescent="0.2">
      <c r="A63" s="139" t="str">
        <f>IF(MRes!A63="","",MRes!A63)</f>
        <v/>
      </c>
      <c r="B63" s="125" t="str">
        <f>MRes!L63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6" t="str">
        <f t="shared" si="12"/>
        <v/>
      </c>
      <c r="G63" s="4" t="str">
        <f t="shared" si="13"/>
        <v/>
      </c>
      <c r="H63" s="138" t="str">
        <f t="shared" si="9"/>
        <v/>
      </c>
      <c r="I63" s="226" t="str">
        <f t="shared" si="14"/>
        <v/>
      </c>
      <c r="J63" s="4" t="str">
        <f t="shared" si="15"/>
        <v/>
      </c>
      <c r="K63" s="138" t="str">
        <f t="shared" si="7"/>
        <v/>
      </c>
      <c r="L63" s="226" t="str">
        <f t="shared" si="8"/>
        <v/>
      </c>
      <c r="M63" s="124"/>
    </row>
    <row r="64" spans="1:13" x14ac:dyDescent="0.2">
      <c r="A64" s="139" t="str">
        <f>IF(MRes!A64="","",MRes!A64)</f>
        <v/>
      </c>
      <c r="B64" s="125" t="str">
        <f>MRes!L64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6" t="str">
        <f t="shared" si="12"/>
        <v/>
      </c>
      <c r="G64" s="4" t="str">
        <f t="shared" si="13"/>
        <v/>
      </c>
      <c r="H64" s="138" t="str">
        <f t="shared" si="9"/>
        <v/>
      </c>
      <c r="I64" s="226" t="str">
        <f t="shared" si="14"/>
        <v/>
      </c>
      <c r="J64" s="4" t="str">
        <f t="shared" si="15"/>
        <v/>
      </c>
      <c r="K64" s="138" t="str">
        <f t="shared" si="7"/>
        <v/>
      </c>
      <c r="L64" s="226" t="str">
        <f t="shared" si="8"/>
        <v/>
      </c>
      <c r="M64" s="124"/>
    </row>
    <row r="65" spans="1:13" x14ac:dyDescent="0.2">
      <c r="A65" s="139" t="str">
        <f>IF(MRes!A65="","",MRes!A65)</f>
        <v/>
      </c>
      <c r="B65" s="125" t="str">
        <f>MRes!L65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6" t="str">
        <f t="shared" si="12"/>
        <v/>
      </c>
      <c r="G65" s="4" t="str">
        <f t="shared" si="13"/>
        <v/>
      </c>
      <c r="H65" s="138" t="str">
        <f t="shared" si="9"/>
        <v/>
      </c>
      <c r="I65" s="226" t="str">
        <f t="shared" si="14"/>
        <v/>
      </c>
      <c r="J65" s="4" t="str">
        <f t="shared" si="15"/>
        <v/>
      </c>
      <c r="K65" s="138" t="str">
        <f t="shared" si="7"/>
        <v/>
      </c>
      <c r="L65" s="226" t="str">
        <f t="shared" si="8"/>
        <v/>
      </c>
      <c r="M65" s="124"/>
    </row>
    <row r="66" spans="1:13" x14ac:dyDescent="0.2">
      <c r="A66" s="139" t="str">
        <f>IF(MRes!A66="","",MRes!A66)</f>
        <v/>
      </c>
      <c r="B66" s="125" t="str">
        <f>MRes!L66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6" t="str">
        <f t="shared" si="12"/>
        <v/>
      </c>
      <c r="G66" s="4" t="str">
        <f t="shared" si="13"/>
        <v/>
      </c>
      <c r="H66" s="138" t="str">
        <f t="shared" si="9"/>
        <v/>
      </c>
      <c r="I66" s="226" t="str">
        <f t="shared" si="14"/>
        <v/>
      </c>
      <c r="J66" s="4" t="str">
        <f t="shared" si="15"/>
        <v/>
      </c>
      <c r="K66" s="138" t="str">
        <f t="shared" si="7"/>
        <v/>
      </c>
      <c r="L66" s="226" t="str">
        <f t="shared" si="8"/>
        <v/>
      </c>
      <c r="M66" s="124"/>
    </row>
    <row r="67" spans="1:13" x14ac:dyDescent="0.2">
      <c r="A67" s="139" t="str">
        <f>IF(MRes!A67="","",MRes!A67)</f>
        <v/>
      </c>
      <c r="B67" s="125" t="str">
        <f>MRes!L67</f>
        <v/>
      </c>
      <c r="C67" s="4" t="str">
        <f>IF(B67="","",C66+1)</f>
        <v/>
      </c>
      <c r="D67" s="138" t="str">
        <f t="shared" ref="D67:D102" si="16">IF(B67="","",D66*(1+B67/100))</f>
        <v/>
      </c>
      <c r="E67" s="4" t="str">
        <f>IF(D67="","",E66+1)</f>
        <v/>
      </c>
      <c r="F67" s="226" t="str">
        <f t="shared" ref="F67:F102" si="17">IF(B67="","",100*(D67^(1/C67)-1))</f>
        <v/>
      </c>
      <c r="G67" s="4" t="str">
        <f t="shared" si="13"/>
        <v/>
      </c>
      <c r="H67" s="138" t="str">
        <f t="shared" si="9"/>
        <v/>
      </c>
      <c r="I67" s="226" t="str">
        <f t="shared" si="14"/>
        <v/>
      </c>
      <c r="J67" s="4" t="str">
        <f t="shared" si="15"/>
        <v/>
      </c>
      <c r="K67" s="138" t="str">
        <f t="shared" si="7"/>
        <v/>
      </c>
      <c r="L67" s="226" t="str">
        <f t="shared" si="8"/>
        <v/>
      </c>
      <c r="M67" s="124"/>
    </row>
    <row r="68" spans="1:13" x14ac:dyDescent="0.2">
      <c r="A68" s="139" t="str">
        <f>IF(MRes!A68="","",MRes!A68)</f>
        <v/>
      </c>
      <c r="B68" s="125" t="str">
        <f>MRes!L68</f>
        <v/>
      </c>
      <c r="C68" s="4" t="str">
        <f t="shared" ref="C68:E83" si="18">IF(B68="","",C67+1)</f>
        <v/>
      </c>
      <c r="D68" s="138" t="str">
        <f t="shared" si="16"/>
        <v/>
      </c>
      <c r="E68" s="4" t="str">
        <f t="shared" si="18"/>
        <v/>
      </c>
      <c r="F68" s="226" t="str">
        <f t="shared" si="17"/>
        <v/>
      </c>
      <c r="G68" s="4" t="str">
        <f t="shared" ref="G68:G102" si="19">IF(D68="","",G67+1)</f>
        <v/>
      </c>
      <c r="H68" s="138" t="str">
        <f t="shared" si="9"/>
        <v/>
      </c>
      <c r="I68" s="226" t="str">
        <f t="shared" si="14"/>
        <v/>
      </c>
      <c r="J68" s="4" t="str">
        <f t="shared" ref="J68:J102" si="20">IF(H68="","",J67+1)</f>
        <v/>
      </c>
      <c r="K68" s="138" t="str">
        <f t="shared" si="7"/>
        <v/>
      </c>
      <c r="L68" s="226" t="str">
        <f t="shared" si="8"/>
        <v/>
      </c>
      <c r="M68" s="124"/>
    </row>
    <row r="69" spans="1:13" x14ac:dyDescent="0.2">
      <c r="A69" s="139" t="str">
        <f>IF(MRes!A69="","",MRes!A69)</f>
        <v/>
      </c>
      <c r="B69" s="125" t="str">
        <f>MRes!L69</f>
        <v/>
      </c>
      <c r="C69" s="4" t="str">
        <f t="shared" si="18"/>
        <v/>
      </c>
      <c r="D69" s="138" t="str">
        <f t="shared" si="16"/>
        <v/>
      </c>
      <c r="E69" s="4" t="str">
        <f t="shared" si="18"/>
        <v/>
      </c>
      <c r="F69" s="226" t="str">
        <f t="shared" si="17"/>
        <v/>
      </c>
      <c r="G69" s="4" t="str">
        <f t="shared" si="19"/>
        <v/>
      </c>
      <c r="H69" s="138" t="str">
        <f t="shared" si="9"/>
        <v/>
      </c>
      <c r="I69" s="226" t="str">
        <f t="shared" si="14"/>
        <v/>
      </c>
      <c r="J69" s="4" t="str">
        <f t="shared" si="20"/>
        <v/>
      </c>
      <c r="K69" s="138" t="str">
        <f t="shared" si="7"/>
        <v/>
      </c>
      <c r="L69" s="226" t="str">
        <f t="shared" si="8"/>
        <v/>
      </c>
      <c r="M69" s="124"/>
    </row>
    <row r="70" spans="1:13" x14ac:dyDescent="0.2">
      <c r="A70" s="139" t="str">
        <f>IF(MRes!A70="","",MRes!A70)</f>
        <v/>
      </c>
      <c r="B70" s="125" t="str">
        <f>MRes!L70</f>
        <v/>
      </c>
      <c r="C70" s="4" t="str">
        <f t="shared" si="18"/>
        <v/>
      </c>
      <c r="D70" s="138" t="str">
        <f t="shared" si="16"/>
        <v/>
      </c>
      <c r="E70" s="4" t="str">
        <f t="shared" si="18"/>
        <v/>
      </c>
      <c r="F70" s="226" t="str">
        <f t="shared" si="17"/>
        <v/>
      </c>
      <c r="G70" s="4" t="str">
        <f t="shared" si="19"/>
        <v/>
      </c>
      <c r="H70" s="138" t="str">
        <f t="shared" si="9"/>
        <v/>
      </c>
      <c r="I70" s="226" t="str">
        <f t="shared" si="14"/>
        <v/>
      </c>
      <c r="J70" s="4" t="str">
        <f t="shared" si="20"/>
        <v/>
      </c>
      <c r="K70" s="138" t="str">
        <f t="shared" si="7"/>
        <v/>
      </c>
      <c r="L70" s="226" t="str">
        <f t="shared" si="8"/>
        <v/>
      </c>
      <c r="M70" s="124"/>
    </row>
    <row r="71" spans="1:13" x14ac:dyDescent="0.2">
      <c r="A71" s="139" t="str">
        <f>IF(MRes!A71="","",MRes!A71)</f>
        <v/>
      </c>
      <c r="B71" s="125" t="str">
        <f>MRes!L71</f>
        <v/>
      </c>
      <c r="C71" s="4" t="str">
        <f t="shared" si="18"/>
        <v/>
      </c>
      <c r="D71" s="138" t="str">
        <f t="shared" si="16"/>
        <v/>
      </c>
      <c r="E71" s="4" t="str">
        <f t="shared" si="18"/>
        <v/>
      </c>
      <c r="F71" s="226" t="str">
        <f t="shared" si="17"/>
        <v/>
      </c>
      <c r="G71" s="4" t="str">
        <f t="shared" si="19"/>
        <v/>
      </c>
      <c r="H71" s="138" t="str">
        <f t="shared" si="9"/>
        <v/>
      </c>
      <c r="I71" s="226" t="str">
        <f t="shared" ref="I71:I102" si="21">IF(B71="","",100*(H71^(1/G71)-1))</f>
        <v/>
      </c>
      <c r="J71" s="4" t="str">
        <f t="shared" si="20"/>
        <v/>
      </c>
      <c r="K71" s="138" t="str">
        <f t="shared" si="7"/>
        <v/>
      </c>
      <c r="L71" s="226" t="str">
        <f t="shared" si="8"/>
        <v/>
      </c>
      <c r="M71" s="124"/>
    </row>
    <row r="72" spans="1:13" x14ac:dyDescent="0.2">
      <c r="A72" s="139" t="str">
        <f>IF(MRes!A72="","",MRes!A72)</f>
        <v/>
      </c>
      <c r="B72" s="125" t="str">
        <f>MRes!L72</f>
        <v/>
      </c>
      <c r="C72" s="4" t="str">
        <f t="shared" si="18"/>
        <v/>
      </c>
      <c r="D72" s="138" t="str">
        <f t="shared" si="16"/>
        <v/>
      </c>
      <c r="E72" s="4" t="str">
        <f t="shared" si="18"/>
        <v/>
      </c>
      <c r="F72" s="226" t="str">
        <f t="shared" si="17"/>
        <v/>
      </c>
      <c r="G72" s="4" t="str">
        <f t="shared" si="19"/>
        <v/>
      </c>
      <c r="H72" s="138" t="str">
        <f t="shared" si="9"/>
        <v/>
      </c>
      <c r="I72" s="226" t="str">
        <f t="shared" si="21"/>
        <v/>
      </c>
      <c r="J72" s="4" t="str">
        <f t="shared" si="20"/>
        <v/>
      </c>
      <c r="K72" s="138" t="str">
        <f t="shared" ref="K72:K102" si="22">IF(B72="","",K71*(1+B72/100))</f>
        <v/>
      </c>
      <c r="L72" s="226" t="str">
        <f t="shared" ref="L72:L102" si="23">IF(B72="","",100*(K72^(1/J72)-1))</f>
        <v/>
      </c>
      <c r="M72" s="124"/>
    </row>
    <row r="73" spans="1:13" x14ac:dyDescent="0.2">
      <c r="A73" s="139" t="str">
        <f>IF(MRes!A73="","",MRes!A73)</f>
        <v/>
      </c>
      <c r="B73" s="125" t="str">
        <f>MRes!L73</f>
        <v/>
      </c>
      <c r="C73" s="4" t="str">
        <f t="shared" si="18"/>
        <v/>
      </c>
      <c r="D73" s="138" t="str">
        <f t="shared" si="16"/>
        <v/>
      </c>
      <c r="E73" s="4" t="str">
        <f t="shared" si="18"/>
        <v/>
      </c>
      <c r="F73" s="226" t="str">
        <f t="shared" si="17"/>
        <v/>
      </c>
      <c r="G73" s="4" t="str">
        <f t="shared" si="19"/>
        <v/>
      </c>
      <c r="H73" s="138" t="str">
        <f t="shared" ref="H73:H102" si="24">IF(B73="","",H72*(1+B73/100))</f>
        <v/>
      </c>
      <c r="I73" s="226" t="str">
        <f t="shared" si="21"/>
        <v/>
      </c>
      <c r="J73" s="4" t="str">
        <f t="shared" si="20"/>
        <v/>
      </c>
      <c r="K73" s="138" t="str">
        <f t="shared" si="22"/>
        <v/>
      </c>
      <c r="L73" s="226" t="str">
        <f t="shared" si="23"/>
        <v/>
      </c>
      <c r="M73" s="124"/>
    </row>
    <row r="74" spans="1:13" x14ac:dyDescent="0.2">
      <c r="A74" s="139" t="str">
        <f>IF(MRes!A74="","",MRes!A74)</f>
        <v/>
      </c>
      <c r="B74" s="125" t="str">
        <f>MRes!L74</f>
        <v/>
      </c>
      <c r="C74" s="4" t="str">
        <f t="shared" si="18"/>
        <v/>
      </c>
      <c r="D74" s="138" t="str">
        <f t="shared" si="16"/>
        <v/>
      </c>
      <c r="E74" s="4" t="str">
        <f t="shared" si="18"/>
        <v/>
      </c>
      <c r="F74" s="226" t="str">
        <f t="shared" si="17"/>
        <v/>
      </c>
      <c r="G74" s="4" t="str">
        <f t="shared" si="19"/>
        <v/>
      </c>
      <c r="H74" s="138" t="str">
        <f t="shared" si="24"/>
        <v/>
      </c>
      <c r="I74" s="226" t="str">
        <f t="shared" si="21"/>
        <v/>
      </c>
      <c r="J74" s="4" t="str">
        <f t="shared" si="20"/>
        <v/>
      </c>
      <c r="K74" s="138" t="str">
        <f t="shared" si="22"/>
        <v/>
      </c>
      <c r="L74" s="226" t="str">
        <f t="shared" si="23"/>
        <v/>
      </c>
      <c r="M74" s="124"/>
    </row>
    <row r="75" spans="1:13" x14ac:dyDescent="0.2">
      <c r="A75" s="139" t="str">
        <f>IF(MRes!A75="","",MRes!A75)</f>
        <v/>
      </c>
      <c r="B75" s="125" t="str">
        <f>MRes!L75</f>
        <v/>
      </c>
      <c r="C75" s="4" t="str">
        <f t="shared" si="18"/>
        <v/>
      </c>
      <c r="D75" s="138" t="str">
        <f t="shared" si="16"/>
        <v/>
      </c>
      <c r="E75" s="4" t="str">
        <f t="shared" si="18"/>
        <v/>
      </c>
      <c r="F75" s="226" t="str">
        <f t="shared" si="17"/>
        <v/>
      </c>
      <c r="G75" s="4" t="str">
        <f t="shared" si="19"/>
        <v/>
      </c>
      <c r="H75" s="138" t="str">
        <f t="shared" si="24"/>
        <v/>
      </c>
      <c r="I75" s="226" t="str">
        <f t="shared" si="21"/>
        <v/>
      </c>
      <c r="J75" s="4" t="str">
        <f t="shared" si="20"/>
        <v/>
      </c>
      <c r="K75" s="138" t="str">
        <f t="shared" si="22"/>
        <v/>
      </c>
      <c r="L75" s="226" t="str">
        <f t="shared" si="23"/>
        <v/>
      </c>
      <c r="M75" s="124"/>
    </row>
    <row r="76" spans="1:13" x14ac:dyDescent="0.2">
      <c r="A76" s="139" t="str">
        <f>IF(MRes!A76="","",MRes!A76)</f>
        <v/>
      </c>
      <c r="B76" s="125" t="str">
        <f>MRes!L76</f>
        <v/>
      </c>
      <c r="C76" s="4" t="str">
        <f t="shared" si="18"/>
        <v/>
      </c>
      <c r="D76" s="138" t="str">
        <f t="shared" si="16"/>
        <v/>
      </c>
      <c r="E76" s="4" t="str">
        <f t="shared" si="18"/>
        <v/>
      </c>
      <c r="F76" s="226" t="str">
        <f t="shared" si="17"/>
        <v/>
      </c>
      <c r="G76" s="4" t="str">
        <f t="shared" si="19"/>
        <v/>
      </c>
      <c r="H76" s="138" t="str">
        <f t="shared" si="24"/>
        <v/>
      </c>
      <c r="I76" s="226" t="str">
        <f t="shared" si="21"/>
        <v/>
      </c>
      <c r="J76" s="4" t="str">
        <f t="shared" si="20"/>
        <v/>
      </c>
      <c r="K76" s="138" t="str">
        <f t="shared" si="22"/>
        <v/>
      </c>
      <c r="L76" s="226" t="str">
        <f t="shared" si="23"/>
        <v/>
      </c>
      <c r="M76" s="124"/>
    </row>
    <row r="77" spans="1:13" x14ac:dyDescent="0.2">
      <c r="A77" s="139" t="str">
        <f>IF(MRes!A77="","",MRes!A77)</f>
        <v/>
      </c>
      <c r="B77" s="125" t="str">
        <f>MRes!L77</f>
        <v/>
      </c>
      <c r="C77" s="4" t="str">
        <f t="shared" si="18"/>
        <v/>
      </c>
      <c r="D77" s="138" t="str">
        <f t="shared" si="16"/>
        <v/>
      </c>
      <c r="E77" s="4" t="str">
        <f t="shared" si="18"/>
        <v/>
      </c>
      <c r="F77" s="226" t="str">
        <f t="shared" si="17"/>
        <v/>
      </c>
      <c r="G77" s="4" t="str">
        <f t="shared" si="19"/>
        <v/>
      </c>
      <c r="H77" s="138" t="str">
        <f t="shared" si="24"/>
        <v/>
      </c>
      <c r="I77" s="226" t="str">
        <f t="shared" si="21"/>
        <v/>
      </c>
      <c r="J77" s="4" t="str">
        <f t="shared" si="20"/>
        <v/>
      </c>
      <c r="K77" s="138" t="str">
        <f t="shared" si="22"/>
        <v/>
      </c>
      <c r="L77" s="226" t="str">
        <f t="shared" si="23"/>
        <v/>
      </c>
      <c r="M77" s="124"/>
    </row>
    <row r="78" spans="1:13" x14ac:dyDescent="0.2">
      <c r="A78" s="139" t="str">
        <f>IF(MRes!A78="","",MRes!A78)</f>
        <v/>
      </c>
      <c r="B78" s="125" t="str">
        <f>MRes!L78</f>
        <v/>
      </c>
      <c r="C78" s="4" t="str">
        <f t="shared" si="18"/>
        <v/>
      </c>
      <c r="D78" s="138" t="str">
        <f t="shared" si="16"/>
        <v/>
      </c>
      <c r="E78" s="4" t="str">
        <f t="shared" si="18"/>
        <v/>
      </c>
      <c r="F78" s="226" t="str">
        <f t="shared" si="17"/>
        <v/>
      </c>
      <c r="G78" s="4" t="str">
        <f t="shared" si="19"/>
        <v/>
      </c>
      <c r="H78" s="138" t="str">
        <f t="shared" si="24"/>
        <v/>
      </c>
      <c r="I78" s="226" t="str">
        <f t="shared" si="21"/>
        <v/>
      </c>
      <c r="J78" s="4" t="str">
        <f t="shared" si="20"/>
        <v/>
      </c>
      <c r="K78" s="138" t="str">
        <f t="shared" si="22"/>
        <v/>
      </c>
      <c r="L78" s="226" t="str">
        <f t="shared" si="23"/>
        <v/>
      </c>
      <c r="M78" s="124"/>
    </row>
    <row r="79" spans="1:13" x14ac:dyDescent="0.2">
      <c r="A79" s="139" t="str">
        <f>IF(MRes!A79="","",MRes!A79)</f>
        <v/>
      </c>
      <c r="B79" s="125" t="str">
        <f>MRes!L79</f>
        <v/>
      </c>
      <c r="C79" s="4" t="str">
        <f t="shared" si="18"/>
        <v/>
      </c>
      <c r="D79" s="138" t="str">
        <f t="shared" si="16"/>
        <v/>
      </c>
      <c r="E79" s="4" t="str">
        <f t="shared" si="18"/>
        <v/>
      </c>
      <c r="F79" s="226" t="str">
        <f t="shared" si="17"/>
        <v/>
      </c>
      <c r="G79" s="4" t="str">
        <f t="shared" si="19"/>
        <v/>
      </c>
      <c r="H79" s="138" t="str">
        <f t="shared" si="24"/>
        <v/>
      </c>
      <c r="I79" s="226" t="str">
        <f t="shared" si="21"/>
        <v/>
      </c>
      <c r="J79" s="4" t="str">
        <f t="shared" si="20"/>
        <v/>
      </c>
      <c r="K79" s="138" t="str">
        <f t="shared" si="22"/>
        <v/>
      </c>
      <c r="L79" s="226" t="str">
        <f t="shared" si="23"/>
        <v/>
      </c>
      <c r="M79" s="124"/>
    </row>
    <row r="80" spans="1:13" x14ac:dyDescent="0.2">
      <c r="A80" s="139" t="str">
        <f>IF(MRes!A80="","",MRes!A80)</f>
        <v/>
      </c>
      <c r="B80" s="125" t="str">
        <f>MRes!L80</f>
        <v/>
      </c>
      <c r="C80" s="4" t="str">
        <f t="shared" si="18"/>
        <v/>
      </c>
      <c r="D80" s="138" t="str">
        <f t="shared" si="16"/>
        <v/>
      </c>
      <c r="E80" s="4" t="str">
        <f t="shared" si="18"/>
        <v/>
      </c>
      <c r="F80" s="226" t="str">
        <f t="shared" si="17"/>
        <v/>
      </c>
      <c r="G80" s="4" t="str">
        <f t="shared" si="19"/>
        <v/>
      </c>
      <c r="H80" s="138" t="str">
        <f t="shared" si="24"/>
        <v/>
      </c>
      <c r="I80" s="226" t="str">
        <f t="shared" si="21"/>
        <v/>
      </c>
      <c r="J80" s="4" t="str">
        <f t="shared" si="20"/>
        <v/>
      </c>
      <c r="K80" s="138" t="str">
        <f t="shared" si="22"/>
        <v/>
      </c>
      <c r="L80" s="226" t="str">
        <f t="shared" si="23"/>
        <v/>
      </c>
      <c r="M80" s="124"/>
    </row>
    <row r="81" spans="1:13" x14ac:dyDescent="0.2">
      <c r="A81" s="139" t="str">
        <f>IF(MRes!A81="","",MRes!A81)</f>
        <v/>
      </c>
      <c r="B81" s="125" t="str">
        <f>MRes!L81</f>
        <v/>
      </c>
      <c r="C81" s="4" t="str">
        <f t="shared" si="18"/>
        <v/>
      </c>
      <c r="D81" s="138" t="str">
        <f t="shared" si="16"/>
        <v/>
      </c>
      <c r="E81" s="4" t="str">
        <f t="shared" si="18"/>
        <v/>
      </c>
      <c r="F81" s="226" t="str">
        <f t="shared" si="17"/>
        <v/>
      </c>
      <c r="G81" s="4" t="str">
        <f t="shared" si="19"/>
        <v/>
      </c>
      <c r="H81" s="138" t="str">
        <f t="shared" si="24"/>
        <v/>
      </c>
      <c r="I81" s="226" t="str">
        <f t="shared" si="21"/>
        <v/>
      </c>
      <c r="J81" s="4" t="str">
        <f t="shared" si="20"/>
        <v/>
      </c>
      <c r="K81" s="138" t="str">
        <f t="shared" si="22"/>
        <v/>
      </c>
      <c r="L81" s="226" t="str">
        <f t="shared" si="23"/>
        <v/>
      </c>
      <c r="M81" s="124"/>
    </row>
    <row r="82" spans="1:13" x14ac:dyDescent="0.2">
      <c r="A82" s="139" t="str">
        <f>IF(MRes!A82="","",MRes!A82)</f>
        <v/>
      </c>
      <c r="B82" s="125" t="str">
        <f>MRes!L82</f>
        <v/>
      </c>
      <c r="C82" s="4" t="str">
        <f t="shared" si="18"/>
        <v/>
      </c>
      <c r="D82" s="138" t="str">
        <f t="shared" si="16"/>
        <v/>
      </c>
      <c r="E82" s="4" t="str">
        <f t="shared" si="18"/>
        <v/>
      </c>
      <c r="F82" s="226" t="str">
        <f t="shared" si="17"/>
        <v/>
      </c>
      <c r="G82" s="4" t="str">
        <f t="shared" si="19"/>
        <v/>
      </c>
      <c r="H82" s="138" t="str">
        <f t="shared" si="24"/>
        <v/>
      </c>
      <c r="I82" s="226" t="str">
        <f t="shared" si="21"/>
        <v/>
      </c>
      <c r="J82" s="4" t="str">
        <f t="shared" si="20"/>
        <v/>
      </c>
      <c r="K82" s="138" t="str">
        <f t="shared" si="22"/>
        <v/>
      </c>
      <c r="L82" s="226" t="str">
        <f t="shared" si="23"/>
        <v/>
      </c>
      <c r="M82" s="124"/>
    </row>
    <row r="83" spans="1:13" x14ac:dyDescent="0.2">
      <c r="A83" s="139" t="str">
        <f>IF(MRes!A83="","",MRes!A83)</f>
        <v/>
      </c>
      <c r="B83" s="125" t="str">
        <f>MRes!L83</f>
        <v/>
      </c>
      <c r="C83" s="4" t="str">
        <f t="shared" si="18"/>
        <v/>
      </c>
      <c r="D83" s="138" t="str">
        <f t="shared" si="16"/>
        <v/>
      </c>
      <c r="E83" s="4" t="str">
        <f t="shared" si="18"/>
        <v/>
      </c>
      <c r="F83" s="226" t="str">
        <f t="shared" si="17"/>
        <v/>
      </c>
      <c r="G83" s="4" t="str">
        <f t="shared" si="19"/>
        <v/>
      </c>
      <c r="H83" s="138" t="str">
        <f t="shared" si="24"/>
        <v/>
      </c>
      <c r="I83" s="226" t="str">
        <f t="shared" si="21"/>
        <v/>
      </c>
      <c r="J83" s="4" t="str">
        <f t="shared" si="20"/>
        <v/>
      </c>
      <c r="K83" s="138" t="str">
        <f t="shared" si="22"/>
        <v/>
      </c>
      <c r="L83" s="226" t="str">
        <f t="shared" si="23"/>
        <v/>
      </c>
      <c r="M83" s="124"/>
    </row>
    <row r="84" spans="1:13" x14ac:dyDescent="0.2">
      <c r="A84" s="139" t="str">
        <f>IF(MRes!A84="","",MRes!A84)</f>
        <v/>
      </c>
      <c r="B84" s="125" t="str">
        <f>MRes!L84</f>
        <v/>
      </c>
      <c r="C84" s="4" t="str">
        <f t="shared" ref="C84:E99" si="25">IF(B84="","",C83+1)</f>
        <v/>
      </c>
      <c r="D84" s="138" t="str">
        <f t="shared" si="16"/>
        <v/>
      </c>
      <c r="E84" s="4" t="str">
        <f t="shared" si="25"/>
        <v/>
      </c>
      <c r="F84" s="226" t="str">
        <f t="shared" si="17"/>
        <v/>
      </c>
      <c r="G84" s="4" t="str">
        <f t="shared" si="19"/>
        <v/>
      </c>
      <c r="H84" s="138" t="str">
        <f t="shared" si="24"/>
        <v/>
      </c>
      <c r="I84" s="226" t="str">
        <f t="shared" si="21"/>
        <v/>
      </c>
      <c r="J84" s="4" t="str">
        <f t="shared" si="20"/>
        <v/>
      </c>
      <c r="K84" s="138" t="str">
        <f t="shared" si="22"/>
        <v/>
      </c>
      <c r="L84" s="226" t="str">
        <f t="shared" si="23"/>
        <v/>
      </c>
      <c r="M84" s="124"/>
    </row>
    <row r="85" spans="1:13" x14ac:dyDescent="0.2">
      <c r="A85" s="139" t="str">
        <f>IF(MRes!A85="","",MRes!A85)</f>
        <v/>
      </c>
      <c r="B85" s="125" t="str">
        <f>MRes!L85</f>
        <v/>
      </c>
      <c r="C85" s="4" t="str">
        <f t="shared" si="25"/>
        <v/>
      </c>
      <c r="D85" s="138" t="str">
        <f t="shared" si="16"/>
        <v/>
      </c>
      <c r="E85" s="4" t="str">
        <f t="shared" si="25"/>
        <v/>
      </c>
      <c r="F85" s="226" t="str">
        <f t="shared" si="17"/>
        <v/>
      </c>
      <c r="G85" s="4" t="str">
        <f t="shared" si="19"/>
        <v/>
      </c>
      <c r="H85" s="138" t="str">
        <f t="shared" si="24"/>
        <v/>
      </c>
      <c r="I85" s="226" t="str">
        <f t="shared" si="21"/>
        <v/>
      </c>
      <c r="J85" s="4" t="str">
        <f t="shared" si="20"/>
        <v/>
      </c>
      <c r="K85" s="138" t="str">
        <f t="shared" si="22"/>
        <v/>
      </c>
      <c r="L85" s="226" t="str">
        <f t="shared" si="23"/>
        <v/>
      </c>
      <c r="M85" s="124"/>
    </row>
    <row r="86" spans="1:13" x14ac:dyDescent="0.2">
      <c r="A86" s="139" t="str">
        <f>IF(MRes!A86="","",MRes!A86)</f>
        <v/>
      </c>
      <c r="B86" s="125" t="str">
        <f>MRes!L86</f>
        <v/>
      </c>
      <c r="C86" s="4" t="str">
        <f t="shared" si="25"/>
        <v/>
      </c>
      <c r="D86" s="138" t="str">
        <f t="shared" si="16"/>
        <v/>
      </c>
      <c r="E86" s="4" t="str">
        <f t="shared" si="25"/>
        <v/>
      </c>
      <c r="F86" s="226" t="str">
        <f t="shared" si="17"/>
        <v/>
      </c>
      <c r="G86" s="4" t="str">
        <f t="shared" si="19"/>
        <v/>
      </c>
      <c r="H86" s="138" t="str">
        <f t="shared" si="24"/>
        <v/>
      </c>
      <c r="I86" s="226" t="str">
        <f t="shared" si="21"/>
        <v/>
      </c>
      <c r="J86" s="4" t="str">
        <f t="shared" si="20"/>
        <v/>
      </c>
      <c r="K86" s="138" t="str">
        <f t="shared" si="22"/>
        <v/>
      </c>
      <c r="L86" s="226" t="str">
        <f t="shared" si="23"/>
        <v/>
      </c>
      <c r="M86" s="124"/>
    </row>
    <row r="87" spans="1:13" x14ac:dyDescent="0.2">
      <c r="A87" s="139" t="str">
        <f>IF(MRes!A87="","",MRes!A87)</f>
        <v/>
      </c>
      <c r="B87" s="125" t="str">
        <f>MRes!L87</f>
        <v/>
      </c>
      <c r="C87" s="4" t="str">
        <f t="shared" si="25"/>
        <v/>
      </c>
      <c r="D87" s="138" t="str">
        <f t="shared" si="16"/>
        <v/>
      </c>
      <c r="E87" s="4" t="str">
        <f t="shared" si="25"/>
        <v/>
      </c>
      <c r="F87" s="226" t="str">
        <f t="shared" si="17"/>
        <v/>
      </c>
      <c r="G87" s="4" t="str">
        <f t="shared" si="19"/>
        <v/>
      </c>
      <c r="H87" s="138" t="str">
        <f t="shared" si="24"/>
        <v/>
      </c>
      <c r="I87" s="226" t="str">
        <f t="shared" si="21"/>
        <v/>
      </c>
      <c r="J87" s="4" t="str">
        <f t="shared" si="20"/>
        <v/>
      </c>
      <c r="K87" s="138" t="str">
        <f t="shared" si="22"/>
        <v/>
      </c>
      <c r="L87" s="226" t="str">
        <f t="shared" si="23"/>
        <v/>
      </c>
      <c r="M87" s="124"/>
    </row>
    <row r="88" spans="1:13" x14ac:dyDescent="0.2">
      <c r="A88" s="139" t="str">
        <f>IF(MRes!A88="","",MRes!A88)</f>
        <v/>
      </c>
      <c r="B88" s="125" t="str">
        <f>MRes!L88</f>
        <v/>
      </c>
      <c r="C88" s="4" t="str">
        <f t="shared" si="25"/>
        <v/>
      </c>
      <c r="D88" s="138" t="str">
        <f t="shared" si="16"/>
        <v/>
      </c>
      <c r="E88" s="4" t="str">
        <f t="shared" si="25"/>
        <v/>
      </c>
      <c r="F88" s="226" t="str">
        <f t="shared" si="17"/>
        <v/>
      </c>
      <c r="G88" s="4" t="str">
        <f t="shared" si="19"/>
        <v/>
      </c>
      <c r="H88" s="138" t="str">
        <f t="shared" si="24"/>
        <v/>
      </c>
      <c r="I88" s="226" t="str">
        <f t="shared" si="21"/>
        <v/>
      </c>
      <c r="J88" s="4" t="str">
        <f t="shared" si="20"/>
        <v/>
      </c>
      <c r="K88" s="138" t="str">
        <f t="shared" si="22"/>
        <v/>
      </c>
      <c r="L88" s="226" t="str">
        <f t="shared" si="23"/>
        <v/>
      </c>
      <c r="M88" s="124"/>
    </row>
    <row r="89" spans="1:13" x14ac:dyDescent="0.2">
      <c r="A89" s="139" t="str">
        <f>IF(MRes!A89="","",MRes!A89)</f>
        <v/>
      </c>
      <c r="B89" s="125" t="str">
        <f>MRes!L89</f>
        <v/>
      </c>
      <c r="C89" s="4" t="str">
        <f t="shared" si="25"/>
        <v/>
      </c>
      <c r="D89" s="138" t="str">
        <f t="shared" si="16"/>
        <v/>
      </c>
      <c r="E89" s="4" t="str">
        <f t="shared" si="25"/>
        <v/>
      </c>
      <c r="F89" s="226" t="str">
        <f t="shared" si="17"/>
        <v/>
      </c>
      <c r="G89" s="4" t="str">
        <f t="shared" si="19"/>
        <v/>
      </c>
      <c r="H89" s="138" t="str">
        <f t="shared" si="24"/>
        <v/>
      </c>
      <c r="I89" s="226" t="str">
        <f t="shared" si="21"/>
        <v/>
      </c>
      <c r="J89" s="4" t="str">
        <f t="shared" si="20"/>
        <v/>
      </c>
      <c r="K89" s="138" t="str">
        <f t="shared" si="22"/>
        <v/>
      </c>
      <c r="L89" s="226" t="str">
        <f t="shared" si="23"/>
        <v/>
      </c>
      <c r="M89" s="124"/>
    </row>
    <row r="90" spans="1:13" x14ac:dyDescent="0.2">
      <c r="A90" s="139" t="str">
        <f>IF(MRes!A90="","",MRes!A90)</f>
        <v/>
      </c>
      <c r="B90" s="125" t="str">
        <f>MRes!L90</f>
        <v/>
      </c>
      <c r="C90" s="4" t="str">
        <f t="shared" si="25"/>
        <v/>
      </c>
      <c r="D90" s="138" t="str">
        <f t="shared" si="16"/>
        <v/>
      </c>
      <c r="E90" s="4" t="str">
        <f t="shared" si="25"/>
        <v/>
      </c>
      <c r="F90" s="226" t="str">
        <f t="shared" si="17"/>
        <v/>
      </c>
      <c r="G90" s="4" t="str">
        <f t="shared" si="19"/>
        <v/>
      </c>
      <c r="H90" s="138" t="str">
        <f t="shared" si="24"/>
        <v/>
      </c>
      <c r="I90" s="226" t="str">
        <f t="shared" si="21"/>
        <v/>
      </c>
      <c r="J90" s="4" t="str">
        <f t="shared" si="20"/>
        <v/>
      </c>
      <c r="K90" s="138" t="str">
        <f t="shared" si="22"/>
        <v/>
      </c>
      <c r="L90" s="226" t="str">
        <f t="shared" si="23"/>
        <v/>
      </c>
      <c r="M90" s="124"/>
    </row>
    <row r="91" spans="1:13" x14ac:dyDescent="0.2">
      <c r="A91" s="139" t="str">
        <f>IF(MRes!A91="","",MRes!A91)</f>
        <v/>
      </c>
      <c r="B91" s="125" t="str">
        <f>MRes!L91</f>
        <v/>
      </c>
      <c r="C91" s="4" t="str">
        <f t="shared" si="25"/>
        <v/>
      </c>
      <c r="D91" s="138" t="str">
        <f t="shared" si="16"/>
        <v/>
      </c>
      <c r="E91" s="4" t="str">
        <f t="shared" si="25"/>
        <v/>
      </c>
      <c r="F91" s="226" t="str">
        <f t="shared" si="17"/>
        <v/>
      </c>
      <c r="G91" s="4" t="str">
        <f t="shared" si="19"/>
        <v/>
      </c>
      <c r="H91" s="138" t="str">
        <f t="shared" si="24"/>
        <v/>
      </c>
      <c r="I91" s="226" t="str">
        <f t="shared" si="21"/>
        <v/>
      </c>
      <c r="J91" s="4" t="str">
        <f t="shared" si="20"/>
        <v/>
      </c>
      <c r="K91" s="138" t="str">
        <f t="shared" si="22"/>
        <v/>
      </c>
      <c r="L91" s="226" t="str">
        <f t="shared" si="23"/>
        <v/>
      </c>
      <c r="M91" s="124"/>
    </row>
    <row r="92" spans="1:13" x14ac:dyDescent="0.2">
      <c r="A92" s="139" t="str">
        <f>IF(MRes!A92="","",MRes!A92)</f>
        <v/>
      </c>
      <c r="B92" s="125" t="str">
        <f>MRes!L92</f>
        <v/>
      </c>
      <c r="C92" s="4" t="str">
        <f t="shared" si="25"/>
        <v/>
      </c>
      <c r="D92" s="138" t="str">
        <f t="shared" si="16"/>
        <v/>
      </c>
      <c r="E92" s="4" t="str">
        <f t="shared" si="25"/>
        <v/>
      </c>
      <c r="F92" s="226" t="str">
        <f t="shared" si="17"/>
        <v/>
      </c>
      <c r="G92" s="4" t="str">
        <f t="shared" si="19"/>
        <v/>
      </c>
      <c r="H92" s="138" t="str">
        <f t="shared" si="24"/>
        <v/>
      </c>
      <c r="I92" s="226" t="str">
        <f t="shared" si="21"/>
        <v/>
      </c>
      <c r="J92" s="4" t="str">
        <f t="shared" si="20"/>
        <v/>
      </c>
      <c r="K92" s="138" t="str">
        <f t="shared" si="22"/>
        <v/>
      </c>
      <c r="L92" s="226" t="str">
        <f t="shared" si="23"/>
        <v/>
      </c>
      <c r="M92" s="124"/>
    </row>
    <row r="93" spans="1:13" x14ac:dyDescent="0.2">
      <c r="A93" s="139" t="str">
        <f>IF(MRes!A93="","",MRes!A93)</f>
        <v/>
      </c>
      <c r="B93" s="125" t="str">
        <f>MRes!L93</f>
        <v/>
      </c>
      <c r="C93" s="4" t="str">
        <f t="shared" si="25"/>
        <v/>
      </c>
      <c r="D93" s="138" t="str">
        <f t="shared" si="16"/>
        <v/>
      </c>
      <c r="E93" s="4" t="str">
        <f t="shared" si="25"/>
        <v/>
      </c>
      <c r="F93" s="226" t="str">
        <f t="shared" si="17"/>
        <v/>
      </c>
      <c r="G93" s="4" t="str">
        <f t="shared" si="19"/>
        <v/>
      </c>
      <c r="H93" s="138" t="str">
        <f t="shared" si="24"/>
        <v/>
      </c>
      <c r="I93" s="226" t="str">
        <f t="shared" si="21"/>
        <v/>
      </c>
      <c r="J93" s="4" t="str">
        <f t="shared" si="20"/>
        <v/>
      </c>
      <c r="K93" s="138" t="str">
        <f t="shared" si="22"/>
        <v/>
      </c>
      <c r="L93" s="226" t="str">
        <f t="shared" si="23"/>
        <v/>
      </c>
      <c r="M93" s="124"/>
    </row>
    <row r="94" spans="1:13" x14ac:dyDescent="0.2">
      <c r="A94" s="139" t="str">
        <f>IF(MRes!A94="","",MRes!A94)</f>
        <v/>
      </c>
      <c r="B94" s="125" t="str">
        <f>MRes!L94</f>
        <v/>
      </c>
      <c r="C94" s="4" t="str">
        <f t="shared" si="25"/>
        <v/>
      </c>
      <c r="D94" s="138" t="str">
        <f t="shared" si="16"/>
        <v/>
      </c>
      <c r="E94" s="4" t="str">
        <f t="shared" si="25"/>
        <v/>
      </c>
      <c r="F94" s="226" t="str">
        <f t="shared" si="17"/>
        <v/>
      </c>
      <c r="G94" s="4" t="str">
        <f t="shared" si="19"/>
        <v/>
      </c>
      <c r="H94" s="138" t="str">
        <f t="shared" si="24"/>
        <v/>
      </c>
      <c r="I94" s="226" t="str">
        <f t="shared" si="21"/>
        <v/>
      </c>
      <c r="J94" s="4" t="str">
        <f t="shared" si="20"/>
        <v/>
      </c>
      <c r="K94" s="138" t="str">
        <f t="shared" si="22"/>
        <v/>
      </c>
      <c r="L94" s="226" t="str">
        <f t="shared" si="23"/>
        <v/>
      </c>
      <c r="M94" s="124"/>
    </row>
    <row r="95" spans="1:13" x14ac:dyDescent="0.2">
      <c r="A95" s="139" t="str">
        <f>IF(MRes!A95="","",MRes!A95)</f>
        <v/>
      </c>
      <c r="B95" s="125" t="str">
        <f>MRes!L95</f>
        <v/>
      </c>
      <c r="C95" s="4" t="str">
        <f t="shared" si="25"/>
        <v/>
      </c>
      <c r="D95" s="138" t="str">
        <f t="shared" si="16"/>
        <v/>
      </c>
      <c r="E95" s="4" t="str">
        <f t="shared" si="25"/>
        <v/>
      </c>
      <c r="F95" s="226" t="str">
        <f t="shared" si="17"/>
        <v/>
      </c>
      <c r="G95" s="4" t="str">
        <f t="shared" si="19"/>
        <v/>
      </c>
      <c r="H95" s="138" t="str">
        <f t="shared" si="24"/>
        <v/>
      </c>
      <c r="I95" s="226" t="str">
        <f t="shared" si="21"/>
        <v/>
      </c>
      <c r="J95" s="4" t="str">
        <f t="shared" si="20"/>
        <v/>
      </c>
      <c r="K95" s="138" t="str">
        <f t="shared" si="22"/>
        <v/>
      </c>
      <c r="L95" s="226" t="str">
        <f t="shared" si="23"/>
        <v/>
      </c>
      <c r="M95" s="124"/>
    </row>
    <row r="96" spans="1:13" x14ac:dyDescent="0.2">
      <c r="A96" s="139" t="str">
        <f>IF(MRes!A96="","",MRes!A96)</f>
        <v/>
      </c>
      <c r="B96" s="125" t="str">
        <f>MRes!L96</f>
        <v/>
      </c>
      <c r="C96" s="4" t="str">
        <f t="shared" si="25"/>
        <v/>
      </c>
      <c r="D96" s="138" t="str">
        <f t="shared" si="16"/>
        <v/>
      </c>
      <c r="E96" s="4" t="str">
        <f t="shared" si="25"/>
        <v/>
      </c>
      <c r="F96" s="226" t="str">
        <f t="shared" si="17"/>
        <v/>
      </c>
      <c r="G96" s="4" t="str">
        <f t="shared" si="19"/>
        <v/>
      </c>
      <c r="H96" s="138" t="str">
        <f t="shared" si="24"/>
        <v/>
      </c>
      <c r="I96" s="226" t="str">
        <f t="shared" si="21"/>
        <v/>
      </c>
      <c r="J96" s="4" t="str">
        <f t="shared" si="20"/>
        <v/>
      </c>
      <c r="K96" s="138" t="str">
        <f t="shared" si="22"/>
        <v/>
      </c>
      <c r="L96" s="226" t="str">
        <f t="shared" si="23"/>
        <v/>
      </c>
      <c r="M96" s="124"/>
    </row>
    <row r="97" spans="1:13" x14ac:dyDescent="0.2">
      <c r="A97" s="139" t="str">
        <f>IF(MRes!A97="","",MRes!A97)</f>
        <v/>
      </c>
      <c r="B97" s="125" t="str">
        <f>MRes!L97</f>
        <v/>
      </c>
      <c r="C97" s="4" t="str">
        <f t="shared" si="25"/>
        <v/>
      </c>
      <c r="D97" s="138" t="str">
        <f t="shared" si="16"/>
        <v/>
      </c>
      <c r="E97" s="4" t="str">
        <f t="shared" si="25"/>
        <v/>
      </c>
      <c r="F97" s="226" t="str">
        <f t="shared" si="17"/>
        <v/>
      </c>
      <c r="G97" s="4" t="str">
        <f t="shared" si="19"/>
        <v/>
      </c>
      <c r="H97" s="138" t="str">
        <f t="shared" si="24"/>
        <v/>
      </c>
      <c r="I97" s="226" t="str">
        <f t="shared" si="21"/>
        <v/>
      </c>
      <c r="J97" s="4" t="str">
        <f t="shared" si="20"/>
        <v/>
      </c>
      <c r="K97" s="138" t="str">
        <f t="shared" si="22"/>
        <v/>
      </c>
      <c r="L97" s="226" t="str">
        <f t="shared" si="23"/>
        <v/>
      </c>
      <c r="M97" s="124"/>
    </row>
    <row r="98" spans="1:13" x14ac:dyDescent="0.2">
      <c r="A98" s="139" t="str">
        <f>IF(MRes!A98="","",MRes!A98)</f>
        <v/>
      </c>
      <c r="B98" s="125" t="str">
        <f>MRes!L98</f>
        <v/>
      </c>
      <c r="C98" s="4" t="str">
        <f t="shared" si="25"/>
        <v/>
      </c>
      <c r="D98" s="138" t="str">
        <f t="shared" si="16"/>
        <v/>
      </c>
      <c r="E98" s="4" t="str">
        <f t="shared" si="25"/>
        <v/>
      </c>
      <c r="F98" s="226" t="str">
        <f t="shared" si="17"/>
        <v/>
      </c>
      <c r="G98" s="4" t="str">
        <f t="shared" si="19"/>
        <v/>
      </c>
      <c r="H98" s="138" t="str">
        <f t="shared" si="24"/>
        <v/>
      </c>
      <c r="I98" s="226" t="str">
        <f t="shared" si="21"/>
        <v/>
      </c>
      <c r="J98" s="4" t="str">
        <f t="shared" si="20"/>
        <v/>
      </c>
      <c r="K98" s="138" t="str">
        <f t="shared" si="22"/>
        <v/>
      </c>
      <c r="L98" s="226" t="str">
        <f t="shared" si="23"/>
        <v/>
      </c>
      <c r="M98" s="124"/>
    </row>
    <row r="99" spans="1:13" x14ac:dyDescent="0.2">
      <c r="A99" s="139" t="str">
        <f>IF(MRes!A99="","",MRes!A99)</f>
        <v/>
      </c>
      <c r="B99" s="125" t="str">
        <f>MRes!L99</f>
        <v/>
      </c>
      <c r="C99" s="4" t="str">
        <f t="shared" si="25"/>
        <v/>
      </c>
      <c r="D99" s="138" t="str">
        <f t="shared" si="16"/>
        <v/>
      </c>
      <c r="E99" s="4" t="str">
        <f t="shared" si="25"/>
        <v/>
      </c>
      <c r="F99" s="226" t="str">
        <f t="shared" si="17"/>
        <v/>
      </c>
      <c r="G99" s="4" t="str">
        <f t="shared" si="19"/>
        <v/>
      </c>
      <c r="H99" s="138" t="str">
        <f t="shared" si="24"/>
        <v/>
      </c>
      <c r="I99" s="226" t="str">
        <f t="shared" si="21"/>
        <v/>
      </c>
      <c r="J99" s="4" t="str">
        <f t="shared" si="20"/>
        <v/>
      </c>
      <c r="K99" s="138" t="str">
        <f t="shared" si="22"/>
        <v/>
      </c>
      <c r="L99" s="226" t="str">
        <f t="shared" si="23"/>
        <v/>
      </c>
      <c r="M99" s="124"/>
    </row>
    <row r="100" spans="1:13" x14ac:dyDescent="0.2">
      <c r="A100" s="139" t="str">
        <f>IF(MRes!A100="","",MRes!A100)</f>
        <v/>
      </c>
      <c r="B100" s="125" t="str">
        <f>MRes!L100</f>
        <v/>
      </c>
      <c r="C100" s="4" t="str">
        <f t="shared" ref="C100:E102" si="26">IF(B100="","",C99+1)</f>
        <v/>
      </c>
      <c r="D100" s="138" t="str">
        <f t="shared" si="16"/>
        <v/>
      </c>
      <c r="E100" s="4" t="str">
        <f t="shared" si="26"/>
        <v/>
      </c>
      <c r="F100" s="226" t="str">
        <f t="shared" si="17"/>
        <v/>
      </c>
      <c r="G100" s="4" t="str">
        <f t="shared" si="19"/>
        <v/>
      </c>
      <c r="H100" s="138" t="str">
        <f t="shared" si="24"/>
        <v/>
      </c>
      <c r="I100" s="226" t="str">
        <f t="shared" si="21"/>
        <v/>
      </c>
      <c r="J100" s="4" t="str">
        <f t="shared" si="20"/>
        <v/>
      </c>
      <c r="K100" s="138" t="str">
        <f t="shared" si="22"/>
        <v/>
      </c>
      <c r="L100" s="226" t="str">
        <f t="shared" si="23"/>
        <v/>
      </c>
      <c r="M100" s="124"/>
    </row>
    <row r="101" spans="1:13" x14ac:dyDescent="0.2">
      <c r="A101" s="139" t="str">
        <f>IF(MRes!A101="","",MRes!A101)</f>
        <v/>
      </c>
      <c r="B101" s="125" t="str">
        <f>MRes!L101</f>
        <v/>
      </c>
      <c r="C101" s="4" t="str">
        <f t="shared" si="26"/>
        <v/>
      </c>
      <c r="D101" s="138" t="str">
        <f t="shared" si="16"/>
        <v/>
      </c>
      <c r="E101" s="4" t="str">
        <f t="shared" si="26"/>
        <v/>
      </c>
      <c r="F101" s="226" t="str">
        <f t="shared" si="17"/>
        <v/>
      </c>
      <c r="G101" s="4" t="str">
        <f t="shared" si="19"/>
        <v/>
      </c>
      <c r="H101" s="138" t="str">
        <f t="shared" si="24"/>
        <v/>
      </c>
      <c r="I101" s="226" t="str">
        <f t="shared" si="21"/>
        <v/>
      </c>
      <c r="J101" s="4" t="str">
        <f t="shared" si="20"/>
        <v/>
      </c>
      <c r="K101" s="138" t="str">
        <f t="shared" si="22"/>
        <v/>
      </c>
      <c r="L101" s="226" t="str">
        <f t="shared" si="23"/>
        <v/>
      </c>
      <c r="M101" s="124"/>
    </row>
    <row r="102" spans="1:13" x14ac:dyDescent="0.2">
      <c r="A102" s="139" t="str">
        <f>IF(MRes!A102="","",MRes!A102)</f>
        <v/>
      </c>
      <c r="B102" s="125" t="str">
        <f>MRes!L102</f>
        <v/>
      </c>
      <c r="C102" s="4" t="str">
        <f t="shared" si="26"/>
        <v/>
      </c>
      <c r="D102" s="138" t="str">
        <f t="shared" si="16"/>
        <v/>
      </c>
      <c r="E102" s="4" t="str">
        <f t="shared" si="26"/>
        <v/>
      </c>
      <c r="F102" s="226" t="str">
        <f t="shared" si="17"/>
        <v/>
      </c>
      <c r="G102" s="4" t="str">
        <f t="shared" si="19"/>
        <v/>
      </c>
      <c r="H102" s="138" t="str">
        <f t="shared" si="24"/>
        <v/>
      </c>
      <c r="I102" s="226" t="str">
        <f t="shared" si="21"/>
        <v/>
      </c>
      <c r="J102" s="4" t="str">
        <f t="shared" si="20"/>
        <v/>
      </c>
      <c r="K102" s="138" t="str">
        <f t="shared" si="22"/>
        <v/>
      </c>
      <c r="L102" s="226" t="str">
        <f t="shared" si="23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G4" sqref="G4"/>
    </sheetView>
  </sheetViews>
  <sheetFormatPr defaultColWidth="7.28515625" defaultRowHeight="12.75" x14ac:dyDescent="0.2"/>
  <cols>
    <col min="1" max="1" width="7.42578125" bestFit="1" customWidth="1"/>
    <col min="2" max="2" width="6" style="115" customWidth="1"/>
    <col min="3" max="3" width="13.85546875" style="116" bestFit="1" customWidth="1"/>
    <col min="4" max="4" width="15" style="116" bestFit="1" customWidth="1"/>
    <col min="5" max="5" width="13.42578125" style="116" bestFit="1" customWidth="1"/>
    <col min="6" max="6" width="25.7109375" style="117" bestFit="1" customWidth="1"/>
    <col min="7" max="7" width="9.42578125" style="117" customWidth="1"/>
    <col min="8" max="8" width="5.7109375" customWidth="1"/>
    <col min="9" max="9" width="15.7109375" customWidth="1"/>
    <col min="10" max="10" width="19.140625" bestFit="1" customWidth="1"/>
  </cols>
  <sheetData>
    <row r="1" spans="1:10" s="85" customFormat="1" ht="13.5" thickBot="1" x14ac:dyDescent="0.25">
      <c r="A1" s="521" t="s">
        <v>74</v>
      </c>
      <c r="B1" s="522"/>
      <c r="C1" s="523" t="s">
        <v>75</v>
      </c>
      <c r="D1" s="524"/>
      <c r="E1" s="525"/>
      <c r="G1" s="86"/>
    </row>
    <row r="2" spans="1:10" s="85" customFormat="1" ht="13.5" thickBot="1" x14ac:dyDescent="0.25">
      <c r="A2" s="87" t="s">
        <v>76</v>
      </c>
      <c r="B2" s="84" t="s">
        <v>77</v>
      </c>
      <c r="C2" s="88" t="s">
        <v>35</v>
      </c>
      <c r="D2" s="88" t="s">
        <v>8</v>
      </c>
      <c r="E2" s="89" t="s">
        <v>78</v>
      </c>
    </row>
    <row r="3" spans="1:10" s="85" customFormat="1" ht="13.5" thickBot="1" x14ac:dyDescent="0.25">
      <c r="A3" s="526">
        <v>2017</v>
      </c>
      <c r="B3" s="90">
        <v>40179</v>
      </c>
      <c r="C3" s="91">
        <f>E3</f>
        <v>33112.58</v>
      </c>
      <c r="D3" s="92">
        <f>C3*$G$5</f>
        <v>992.58215292459465</v>
      </c>
      <c r="E3" s="93">
        <v>33112.58</v>
      </c>
    </row>
    <row r="4" spans="1:10" s="85" customFormat="1" ht="13.5" thickBot="1" x14ac:dyDescent="0.25">
      <c r="A4" s="527"/>
      <c r="B4" s="90">
        <f>DATE(YEAR(B3),MONTH(B3)+1,DAY(B3))</f>
        <v>40210</v>
      </c>
      <c r="C4" s="92">
        <f>C3+D3+E4</f>
        <v>34105.162152924597</v>
      </c>
      <c r="D4" s="92">
        <f t="shared" ref="D4:D62" si="0">C4*$G$5</f>
        <v>1022.3357791990928</v>
      </c>
      <c r="E4" s="94">
        <v>0</v>
      </c>
      <c r="F4" s="83" t="s">
        <v>79</v>
      </c>
      <c r="G4" s="393">
        <f>Cy!$Q$9</f>
        <v>0.69154149823413835</v>
      </c>
    </row>
    <row r="5" spans="1:10" s="85" customFormat="1" ht="13.5" thickBot="1" x14ac:dyDescent="0.25">
      <c r="A5" s="527"/>
      <c r="B5" s="90">
        <f>DATE(YEAR(B4),MONTH(B4)+1,DAY(B4))</f>
        <v>40238</v>
      </c>
      <c r="C5" s="92">
        <f>C4+D4+E5</f>
        <v>35127.49793212369</v>
      </c>
      <c r="D5" s="92">
        <f t="shared" si="0"/>
        <v>1052.9812996849407</v>
      </c>
      <c r="E5" s="94">
        <v>0</v>
      </c>
      <c r="F5" s="83" t="s">
        <v>80</v>
      </c>
      <c r="G5" s="95">
        <f>(1+G4/100)^(30/7)-1</f>
        <v>2.9975983536305373E-2</v>
      </c>
    </row>
    <row r="6" spans="1:10" s="85" customFormat="1" ht="13.5" thickBot="1" x14ac:dyDescent="0.25">
      <c r="A6" s="527"/>
      <c r="B6" s="90">
        <f t="shared" ref="B6:B62" si="1">DATE(YEAR(B5),MONTH(B5)+1,DAY(B5))</f>
        <v>40269</v>
      </c>
      <c r="C6" s="92">
        <f t="shared" ref="C6:C62" si="2">C5+D5+E6</f>
        <v>36180.479231808633</v>
      </c>
      <c r="D6" s="92">
        <f t="shared" si="0"/>
        <v>1084.5454497883341</v>
      </c>
      <c r="E6" s="94">
        <v>0</v>
      </c>
      <c r="F6" s="83" t="s">
        <v>81</v>
      </c>
      <c r="G6" s="96">
        <v>3.2</v>
      </c>
    </row>
    <row r="7" spans="1:10" s="85" customFormat="1" ht="13.5" thickBot="1" x14ac:dyDescent="0.25">
      <c r="A7" s="527"/>
      <c r="B7" s="90">
        <f t="shared" si="1"/>
        <v>40299</v>
      </c>
      <c r="C7" s="92">
        <f t="shared" si="2"/>
        <v>37265.024681596966</v>
      </c>
      <c r="D7" s="92">
        <f t="shared" si="0"/>
        <v>1117.0557663355639</v>
      </c>
      <c r="E7" s="94">
        <v>0</v>
      </c>
      <c r="F7" s="83" t="s">
        <v>82</v>
      </c>
      <c r="G7" s="97">
        <v>25</v>
      </c>
    </row>
    <row r="8" spans="1:10" s="85" customFormat="1" ht="13.5" thickBot="1" x14ac:dyDescent="0.25">
      <c r="A8" s="527"/>
      <c r="B8" s="90">
        <f t="shared" si="1"/>
        <v>40330</v>
      </c>
      <c r="C8" s="92">
        <f t="shared" si="2"/>
        <v>38382.080447932531</v>
      </c>
      <c r="D8" s="92">
        <f t="shared" si="0"/>
        <v>1150.540611596374</v>
      </c>
      <c r="E8" s="94">
        <v>0</v>
      </c>
      <c r="F8" s="83" t="s">
        <v>83</v>
      </c>
      <c r="G8" s="98">
        <v>0.15</v>
      </c>
    </row>
    <row r="9" spans="1:10" s="85" customFormat="1" x14ac:dyDescent="0.2">
      <c r="A9" s="527"/>
      <c r="B9" s="90">
        <f t="shared" si="1"/>
        <v>40360</v>
      </c>
      <c r="C9" s="92">
        <f t="shared" si="2"/>
        <v>39532.621059528901</v>
      </c>
      <c r="D9" s="92">
        <f t="shared" si="0"/>
        <v>1185.0291980274374</v>
      </c>
      <c r="E9" s="94">
        <v>0</v>
      </c>
      <c r="F9" s="86"/>
      <c r="G9" s="86"/>
      <c r="I9" s="99" t="s">
        <v>84</v>
      </c>
      <c r="J9" s="99"/>
    </row>
    <row r="10" spans="1:10" s="85" customFormat="1" x14ac:dyDescent="0.2">
      <c r="A10" s="527"/>
      <c r="B10" s="90">
        <f t="shared" si="1"/>
        <v>40391</v>
      </c>
      <c r="C10" s="92">
        <f t="shared" si="2"/>
        <v>40717.650257556335</v>
      </c>
      <c r="D10" s="92">
        <f t="shared" si="0"/>
        <v>1220.5516137575489</v>
      </c>
      <c r="E10" s="94">
        <v>0</v>
      </c>
      <c r="F10" s="86"/>
      <c r="G10" s="86"/>
      <c r="I10" s="99" t="s">
        <v>85</v>
      </c>
      <c r="J10" s="99"/>
    </row>
    <row r="11" spans="1:10" s="85" customFormat="1" x14ac:dyDescent="0.2">
      <c r="A11" s="527"/>
      <c r="B11" s="90">
        <f t="shared" si="1"/>
        <v>40422</v>
      </c>
      <c r="C11" s="92">
        <f t="shared" si="2"/>
        <v>41938.201871313882</v>
      </c>
      <c r="D11" s="92">
        <f t="shared" si="0"/>
        <v>1257.1388488367561</v>
      </c>
      <c r="E11" s="94">
        <v>0</v>
      </c>
      <c r="F11" s="86"/>
      <c r="G11" s="86"/>
      <c r="I11" s="99" t="s">
        <v>86</v>
      </c>
      <c r="J11" s="99"/>
    </row>
    <row r="12" spans="1:10" s="85" customFormat="1" ht="13.5" thickBot="1" x14ac:dyDescent="0.25">
      <c r="A12" s="527"/>
      <c r="B12" s="90">
        <f t="shared" si="1"/>
        <v>40452</v>
      </c>
      <c r="C12" s="92">
        <f t="shared" si="2"/>
        <v>43195.340720150642</v>
      </c>
      <c r="D12" s="92">
        <f t="shared" si="0"/>
        <v>1294.8228222723367</v>
      </c>
      <c r="E12" s="94">
        <v>0</v>
      </c>
      <c r="F12" s="86"/>
      <c r="G12" s="86"/>
    </row>
    <row r="13" spans="1:10" s="85" customFormat="1" ht="13.5" thickBot="1" x14ac:dyDescent="0.25">
      <c r="A13" s="527"/>
      <c r="B13" s="90">
        <f t="shared" si="1"/>
        <v>40483</v>
      </c>
      <c r="C13" s="92">
        <f t="shared" si="2"/>
        <v>44490.163542422975</v>
      </c>
      <c r="D13" s="92">
        <f t="shared" si="0"/>
        <v>1333.6364098752047</v>
      </c>
      <c r="E13" s="94">
        <v>0</v>
      </c>
      <c r="F13" s="516" t="s">
        <v>87</v>
      </c>
      <c r="G13" s="517"/>
    </row>
    <row r="14" spans="1:10" s="85" customFormat="1" ht="12.75" customHeight="1" thickBot="1" x14ac:dyDescent="0.25">
      <c r="A14" s="528"/>
      <c r="B14" s="90">
        <f t="shared" si="1"/>
        <v>40513</v>
      </c>
      <c r="C14" s="92">
        <f t="shared" si="2"/>
        <v>45823.799952298177</v>
      </c>
      <c r="D14" s="92">
        <f t="shared" si="0"/>
        <v>1373.613472941041</v>
      </c>
      <c r="E14" s="100">
        <v>0</v>
      </c>
      <c r="F14" s="101" t="s">
        <v>75</v>
      </c>
      <c r="G14" s="102" t="s">
        <v>88</v>
      </c>
    </row>
    <row r="15" spans="1:10" s="85" customFormat="1" ht="12.75" customHeight="1" x14ac:dyDescent="0.2">
      <c r="A15" s="518">
        <f>A3+1</f>
        <v>2018</v>
      </c>
      <c r="B15" s="103">
        <f t="shared" si="1"/>
        <v>40544</v>
      </c>
      <c r="C15" s="104">
        <f t="shared" si="2"/>
        <v>46854.010057003958</v>
      </c>
      <c r="D15" s="104">
        <f t="shared" si="0"/>
        <v>1404.495034078637</v>
      </c>
      <c r="E15" s="105">
        <f t="shared" ref="E15:E62" si="3">-D14*$G$7/100</f>
        <v>-343.4033682352603</v>
      </c>
      <c r="F15" s="106">
        <f>-(E15-$G$8*E15)*$G$6</f>
        <v>934.05716159990811</v>
      </c>
      <c r="G15" s="107"/>
    </row>
    <row r="16" spans="1:10" s="85" customFormat="1" x14ac:dyDescent="0.2">
      <c r="A16" s="519"/>
      <c r="B16" s="90">
        <f t="shared" si="1"/>
        <v>40575</v>
      </c>
      <c r="C16" s="92">
        <f t="shared" si="2"/>
        <v>47907.381332562938</v>
      </c>
      <c r="D16" s="92">
        <f t="shared" si="0"/>
        <v>1436.0708740924099</v>
      </c>
      <c r="E16" s="108">
        <f t="shared" si="3"/>
        <v>-351.12375851965925</v>
      </c>
      <c r="F16" s="106">
        <f t="shared" ref="F16:F62" si="4">-(E16-$G$8*E16)*$G$6</f>
        <v>955.05662317347333</v>
      </c>
      <c r="G16" s="109"/>
    </row>
    <row r="17" spans="1:7" s="85" customFormat="1" x14ac:dyDescent="0.2">
      <c r="A17" s="519"/>
      <c r="B17" s="90">
        <f t="shared" si="1"/>
        <v>40603</v>
      </c>
      <c r="C17" s="92">
        <f t="shared" si="2"/>
        <v>48984.434488132247</v>
      </c>
      <c r="D17" s="92">
        <f t="shared" si="0"/>
        <v>1468.3566017514813</v>
      </c>
      <c r="E17" s="108">
        <f t="shared" si="3"/>
        <v>-359.01771852310247</v>
      </c>
      <c r="F17" s="106">
        <f t="shared" si="4"/>
        <v>976.52819438283882</v>
      </c>
      <c r="G17" s="109"/>
    </row>
    <row r="18" spans="1:7" s="85" customFormat="1" x14ac:dyDescent="0.2">
      <c r="A18" s="519"/>
      <c r="B18" s="90">
        <f t="shared" si="1"/>
        <v>40634</v>
      </c>
      <c r="C18" s="92">
        <f t="shared" si="2"/>
        <v>50085.701939445862</v>
      </c>
      <c r="D18" s="92">
        <f t="shared" si="0"/>
        <v>1501.3681767411272</v>
      </c>
      <c r="E18" s="108">
        <f t="shared" si="3"/>
        <v>-367.08915043787033</v>
      </c>
      <c r="F18" s="106">
        <f t="shared" si="4"/>
        <v>998.4824891910074</v>
      </c>
      <c r="G18" s="109"/>
    </row>
    <row r="19" spans="1:7" s="85" customFormat="1" x14ac:dyDescent="0.2">
      <c r="A19" s="519"/>
      <c r="B19" s="90">
        <f t="shared" si="1"/>
        <v>40664</v>
      </c>
      <c r="C19" s="92">
        <f t="shared" si="2"/>
        <v>51211.728072001708</v>
      </c>
      <c r="D19" s="92">
        <f t="shared" si="0"/>
        <v>1535.121917552071</v>
      </c>
      <c r="E19" s="108">
        <f t="shared" si="3"/>
        <v>-375.34204418528179</v>
      </c>
      <c r="F19" s="106">
        <f t="shared" si="4"/>
        <v>1020.9303601839665</v>
      </c>
      <c r="G19" s="109"/>
    </row>
    <row r="20" spans="1:7" s="85" customFormat="1" x14ac:dyDescent="0.2">
      <c r="A20" s="519"/>
      <c r="B20" s="90">
        <f t="shared" si="1"/>
        <v>40695</v>
      </c>
      <c r="C20" s="92">
        <f t="shared" si="2"/>
        <v>52363.069510165762</v>
      </c>
      <c r="D20" s="92">
        <f t="shared" si="0"/>
        <v>1569.6345095471427</v>
      </c>
      <c r="E20" s="108">
        <f t="shared" si="3"/>
        <v>-383.78047938801768</v>
      </c>
      <c r="F20" s="106">
        <f t="shared" si="4"/>
        <v>1043.8829039354082</v>
      </c>
      <c r="G20" s="109"/>
    </row>
    <row r="21" spans="1:7" s="85" customFormat="1" x14ac:dyDescent="0.2">
      <c r="A21" s="519"/>
      <c r="B21" s="90">
        <f t="shared" si="1"/>
        <v>40725</v>
      </c>
      <c r="C21" s="92">
        <f t="shared" si="2"/>
        <v>53540.295392326116</v>
      </c>
      <c r="D21" s="92">
        <f t="shared" si="0"/>
        <v>1604.9230132092941</v>
      </c>
      <c r="E21" s="108">
        <f t="shared" si="3"/>
        <v>-392.40862738678567</v>
      </c>
      <c r="F21" s="106">
        <f t="shared" si="4"/>
        <v>1067.3514664920572</v>
      </c>
      <c r="G21" s="109"/>
    </row>
    <row r="22" spans="1:7" s="85" customFormat="1" x14ac:dyDescent="0.2">
      <c r="A22" s="519"/>
      <c r="B22" s="90">
        <f t="shared" si="1"/>
        <v>40756</v>
      </c>
      <c r="C22" s="92">
        <f t="shared" si="2"/>
        <v>54743.987652233081</v>
      </c>
      <c r="D22" s="92">
        <f t="shared" si="0"/>
        <v>1641.0048725750435</v>
      </c>
      <c r="E22" s="108">
        <f t="shared" si="3"/>
        <v>-401.23075330232348</v>
      </c>
      <c r="F22" s="106">
        <f t="shared" si="4"/>
        <v>1091.3476489823199</v>
      </c>
      <c r="G22" s="109"/>
    </row>
    <row r="23" spans="1:7" s="85" customFormat="1" x14ac:dyDescent="0.2">
      <c r="A23" s="519"/>
      <c r="B23" s="90">
        <f t="shared" si="1"/>
        <v>40787</v>
      </c>
      <c r="C23" s="92">
        <f t="shared" si="2"/>
        <v>55974.741306664364</v>
      </c>
      <c r="D23" s="92">
        <f t="shared" si="0"/>
        <v>1677.8979238575232</v>
      </c>
      <c r="E23" s="108">
        <f t="shared" si="3"/>
        <v>-410.25121814376087</v>
      </c>
      <c r="F23" s="106">
        <f t="shared" si="4"/>
        <v>1115.8833133510295</v>
      </c>
      <c r="G23" s="109"/>
    </row>
    <row r="24" spans="1:7" s="85" customFormat="1" x14ac:dyDescent="0.2">
      <c r="A24" s="519"/>
      <c r="B24" s="90">
        <f t="shared" si="1"/>
        <v>40817</v>
      </c>
      <c r="C24" s="92">
        <f t="shared" si="2"/>
        <v>57233.164749557509</v>
      </c>
      <c r="D24" s="92">
        <f t="shared" si="0"/>
        <v>1715.620404263389</v>
      </c>
      <c r="E24" s="108">
        <f t="shared" si="3"/>
        <v>-419.4744809643808</v>
      </c>
      <c r="F24" s="106">
        <f t="shared" si="4"/>
        <v>1140.9705882231158</v>
      </c>
      <c r="G24" s="109"/>
    </row>
    <row r="25" spans="1:7" s="85" customFormat="1" x14ac:dyDescent="0.2">
      <c r="A25" s="519"/>
      <c r="B25" s="90">
        <f t="shared" si="1"/>
        <v>40848</v>
      </c>
      <c r="C25" s="92">
        <f t="shared" si="2"/>
        <v>58519.880052755056</v>
      </c>
      <c r="D25" s="92">
        <f t="shared" si="0"/>
        <v>1754.1909610079508</v>
      </c>
      <c r="E25" s="108">
        <f t="shared" si="3"/>
        <v>-428.90510106584725</v>
      </c>
      <c r="F25" s="106">
        <f t="shared" si="4"/>
        <v>1166.6218748991046</v>
      </c>
      <c r="G25" s="109"/>
    </row>
    <row r="26" spans="1:7" s="85" customFormat="1" ht="12.75" customHeight="1" thickBot="1" x14ac:dyDescent="0.25">
      <c r="A26" s="520"/>
      <c r="B26" s="110">
        <f t="shared" si="1"/>
        <v>40878</v>
      </c>
      <c r="C26" s="111">
        <f t="shared" si="2"/>
        <v>59835.523273511018</v>
      </c>
      <c r="D26" s="111">
        <f t="shared" si="0"/>
        <v>1793.6286605329833</v>
      </c>
      <c r="E26" s="112">
        <f t="shared" si="3"/>
        <v>-438.5477402519877</v>
      </c>
      <c r="F26" s="113">
        <f t="shared" si="4"/>
        <v>1192.8498534854066</v>
      </c>
      <c r="G26" s="114"/>
    </row>
    <row r="27" spans="1:7" s="85" customFormat="1" x14ac:dyDescent="0.2">
      <c r="A27" s="518">
        <f>A15+1</f>
        <v>2019</v>
      </c>
      <c r="B27" s="103">
        <f t="shared" si="1"/>
        <v>40909</v>
      </c>
      <c r="C27" s="104">
        <f t="shared" si="2"/>
        <v>61180.74476891075</v>
      </c>
      <c r="D27" s="104">
        <f t="shared" si="0"/>
        <v>1833.9529979317697</v>
      </c>
      <c r="E27" s="105">
        <f t="shared" si="3"/>
        <v>-448.40716513324583</v>
      </c>
      <c r="F27" s="106">
        <f t="shared" si="4"/>
        <v>1219.6674891624286</v>
      </c>
      <c r="G27" s="109"/>
    </row>
    <row r="28" spans="1:7" s="85" customFormat="1" x14ac:dyDescent="0.2">
      <c r="A28" s="519"/>
      <c r="B28" s="90">
        <f t="shared" si="1"/>
        <v>40940</v>
      </c>
      <c r="C28" s="92">
        <f t="shared" si="2"/>
        <v>62556.209517359574</v>
      </c>
      <c r="D28" s="92">
        <f t="shared" si="0"/>
        <v>1875.1839065860399</v>
      </c>
      <c r="E28" s="108">
        <f t="shared" si="3"/>
        <v>-458.48824948294242</v>
      </c>
      <c r="F28" s="106">
        <f t="shared" si="4"/>
        <v>1247.0880385936034</v>
      </c>
      <c r="G28" s="109"/>
    </row>
    <row r="29" spans="1:7" s="85" customFormat="1" x14ac:dyDescent="0.2">
      <c r="A29" s="519"/>
      <c r="B29" s="90">
        <f t="shared" si="1"/>
        <v>40969</v>
      </c>
      <c r="C29" s="92">
        <f t="shared" si="2"/>
        <v>63962.597447299107</v>
      </c>
      <c r="D29" s="92">
        <f t="shared" si="0"/>
        <v>1917.3417680195662</v>
      </c>
      <c r="E29" s="108">
        <f t="shared" si="3"/>
        <v>-468.79597664650993</v>
      </c>
      <c r="F29" s="106">
        <f t="shared" si="4"/>
        <v>1275.1250564785071</v>
      </c>
      <c r="G29" s="109"/>
    </row>
    <row r="30" spans="1:7" s="85" customFormat="1" x14ac:dyDescent="0.2">
      <c r="A30" s="519"/>
      <c r="B30" s="90">
        <f t="shared" si="1"/>
        <v>41000</v>
      </c>
      <c r="C30" s="92">
        <f t="shared" si="2"/>
        <v>65400.603773313785</v>
      </c>
      <c r="D30" s="92">
        <f t="shared" si="0"/>
        <v>1960.4474219732851</v>
      </c>
      <c r="E30" s="108">
        <f t="shared" si="3"/>
        <v>-479.33544200489155</v>
      </c>
      <c r="F30" s="106">
        <f t="shared" si="4"/>
        <v>1303.7924022533052</v>
      </c>
      <c r="G30" s="109"/>
    </row>
    <row r="31" spans="1:7" s="85" customFormat="1" x14ac:dyDescent="0.2">
      <c r="A31" s="519"/>
      <c r="B31" s="90">
        <f t="shared" si="1"/>
        <v>41030</v>
      </c>
      <c r="C31" s="92">
        <f t="shared" si="2"/>
        <v>66870.939339793753</v>
      </c>
      <c r="D31" s="92">
        <f t="shared" si="0"/>
        <v>2004.5221767069329</v>
      </c>
      <c r="E31" s="108">
        <f t="shared" si="3"/>
        <v>-490.11185549332129</v>
      </c>
      <c r="F31" s="106">
        <f t="shared" si="4"/>
        <v>1333.1042469418339</v>
      </c>
      <c r="G31" s="109"/>
    </row>
    <row r="32" spans="1:7" s="85" customFormat="1" x14ac:dyDescent="0.2">
      <c r="A32" s="519"/>
      <c r="B32" s="90">
        <f t="shared" si="1"/>
        <v>41061</v>
      </c>
      <c r="C32" s="92">
        <f t="shared" si="2"/>
        <v>68374.330972323951</v>
      </c>
      <c r="D32" s="92">
        <f t="shared" si="0"/>
        <v>2049.5878195322771</v>
      </c>
      <c r="E32" s="108">
        <f t="shared" si="3"/>
        <v>-501.13054417673322</v>
      </c>
      <c r="F32" s="106">
        <f t="shared" si="4"/>
        <v>1363.0750801607146</v>
      </c>
      <c r="G32" s="109"/>
    </row>
    <row r="33" spans="1:7" s="85" customFormat="1" x14ac:dyDescent="0.2">
      <c r="A33" s="519"/>
      <c r="B33" s="90">
        <f t="shared" si="1"/>
        <v>41091</v>
      </c>
      <c r="C33" s="92">
        <f t="shared" si="2"/>
        <v>69911.521836973159</v>
      </c>
      <c r="D33" s="92">
        <f t="shared" si="0"/>
        <v>2095.6666275831608</v>
      </c>
      <c r="E33" s="108">
        <f t="shared" si="3"/>
        <v>-512.39695488306927</v>
      </c>
      <c r="F33" s="106">
        <f t="shared" si="4"/>
        <v>1393.7197172819485</v>
      </c>
      <c r="G33" s="109"/>
    </row>
    <row r="34" spans="1:7" s="85" customFormat="1" x14ac:dyDescent="0.2">
      <c r="A34" s="519"/>
      <c r="B34" s="90">
        <f t="shared" si="1"/>
        <v>41122</v>
      </c>
      <c r="C34" s="92">
        <f t="shared" si="2"/>
        <v>71483.271807660538</v>
      </c>
      <c r="D34" s="92">
        <f t="shared" si="0"/>
        <v>2142.7813788276744</v>
      </c>
      <c r="E34" s="108">
        <f t="shared" si="3"/>
        <v>-523.9166568957902</v>
      </c>
      <c r="F34" s="106">
        <f t="shared" si="4"/>
        <v>1425.0533067565493</v>
      </c>
      <c r="G34" s="109"/>
    </row>
    <row r="35" spans="1:7" s="85" customFormat="1" x14ac:dyDescent="0.2">
      <c r="A35" s="519"/>
      <c r="B35" s="90">
        <f t="shared" si="1"/>
        <v>41153</v>
      </c>
      <c r="C35" s="92">
        <f t="shared" si="2"/>
        <v>73090.357841781282</v>
      </c>
      <c r="D35" s="92">
        <f t="shared" si="0"/>
        <v>2190.9553633279038</v>
      </c>
      <c r="E35" s="108">
        <f t="shared" si="3"/>
        <v>-535.6953447069186</v>
      </c>
      <c r="F35" s="106">
        <f t="shared" si="4"/>
        <v>1457.0913376028186</v>
      </c>
      <c r="G35" s="109"/>
    </row>
    <row r="36" spans="1:7" s="85" customFormat="1" x14ac:dyDescent="0.2">
      <c r="A36" s="519"/>
      <c r="B36" s="90">
        <f t="shared" si="1"/>
        <v>41183</v>
      </c>
      <c r="C36" s="92">
        <f t="shared" si="2"/>
        <v>74733.574364277199</v>
      </c>
      <c r="D36" s="92">
        <f t="shared" si="0"/>
        <v>2240.2123947528266</v>
      </c>
      <c r="E36" s="108">
        <f t="shared" si="3"/>
        <v>-547.73884083197595</v>
      </c>
      <c r="F36" s="106">
        <f t="shared" si="4"/>
        <v>1489.8496470629748</v>
      </c>
      <c r="G36" s="109"/>
    </row>
    <row r="37" spans="1:7" s="85" customFormat="1" x14ac:dyDescent="0.2">
      <c r="A37" s="519"/>
      <c r="B37" s="90">
        <f t="shared" si="1"/>
        <v>41214</v>
      </c>
      <c r="C37" s="92">
        <f t="shared" si="2"/>
        <v>76413.733660341823</v>
      </c>
      <c r="D37" s="92">
        <f t="shared" si="0"/>
        <v>2290.5768221500302</v>
      </c>
      <c r="E37" s="108">
        <f t="shared" si="3"/>
        <v>-560.05309868820666</v>
      </c>
      <c r="F37" s="106">
        <f t="shared" si="4"/>
        <v>1523.3444284319221</v>
      </c>
      <c r="G37" s="109"/>
    </row>
    <row r="38" spans="1:7" s="85" customFormat="1" ht="13.5" thickBot="1" x14ac:dyDescent="0.25">
      <c r="A38" s="520"/>
      <c r="B38" s="110">
        <f t="shared" si="1"/>
        <v>41244</v>
      </c>
      <c r="C38" s="111">
        <f t="shared" si="2"/>
        <v>78131.666276954347</v>
      </c>
      <c r="D38" s="111">
        <f t="shared" si="0"/>
        <v>2342.0735419820894</v>
      </c>
      <c r="E38" s="112">
        <f t="shared" si="3"/>
        <v>-572.64420553750756</v>
      </c>
      <c r="F38" s="113">
        <f t="shared" si="4"/>
        <v>1557.5922390620208</v>
      </c>
      <c r="G38" s="114"/>
    </row>
    <row r="39" spans="1:7" s="85" customFormat="1" x14ac:dyDescent="0.2">
      <c r="A39" s="518">
        <f>A27+1</f>
        <v>2020</v>
      </c>
      <c r="B39" s="90">
        <f t="shared" si="1"/>
        <v>41275</v>
      </c>
      <c r="C39" s="92">
        <f t="shared" si="2"/>
        <v>79888.221433440907</v>
      </c>
      <c r="D39" s="92">
        <f t="shared" si="0"/>
        <v>2394.7280104335427</v>
      </c>
      <c r="E39" s="105">
        <f t="shared" si="3"/>
        <v>-585.51838549552235</v>
      </c>
      <c r="F39" s="106">
        <f t="shared" si="4"/>
        <v>1592.6100085478211</v>
      </c>
      <c r="G39" s="109"/>
    </row>
    <row r="40" spans="1:7" s="85" customFormat="1" ht="12.75" customHeight="1" x14ac:dyDescent="0.2">
      <c r="A40" s="519"/>
      <c r="B40" s="90">
        <f t="shared" si="1"/>
        <v>41306</v>
      </c>
      <c r="C40" s="92">
        <f t="shared" si="2"/>
        <v>81684.267441266056</v>
      </c>
      <c r="D40" s="92">
        <f t="shared" si="0"/>
        <v>2448.5662559945563</v>
      </c>
      <c r="E40" s="108">
        <f t="shared" si="3"/>
        <v>-598.68200260838569</v>
      </c>
      <c r="F40" s="106">
        <f t="shared" si="4"/>
        <v>1628.4150470948091</v>
      </c>
      <c r="G40" s="109"/>
    </row>
    <row r="41" spans="1:7" s="85" customFormat="1" x14ac:dyDescent="0.2">
      <c r="A41" s="519"/>
      <c r="B41" s="90">
        <f t="shared" si="1"/>
        <v>41334</v>
      </c>
      <c r="C41" s="92">
        <f t="shared" si="2"/>
        <v>83520.692133261982</v>
      </c>
      <c r="D41" s="92">
        <f t="shared" si="0"/>
        <v>2503.6148923274909</v>
      </c>
      <c r="E41" s="108">
        <f t="shared" si="3"/>
        <v>-612.14156399863907</v>
      </c>
      <c r="F41" s="106">
        <f t="shared" si="4"/>
        <v>1665.0250540762984</v>
      </c>
      <c r="G41" s="109"/>
    </row>
    <row r="42" spans="1:7" s="85" customFormat="1" x14ac:dyDescent="0.2">
      <c r="A42" s="519"/>
      <c r="B42" s="90">
        <f t="shared" si="1"/>
        <v>41365</v>
      </c>
      <c r="C42" s="92">
        <f t="shared" si="2"/>
        <v>85398.403302507591</v>
      </c>
      <c r="D42" s="92">
        <f t="shared" si="0"/>
        <v>2559.9011314227341</v>
      </c>
      <c r="E42" s="108">
        <f t="shared" si="3"/>
        <v>-625.90372308187273</v>
      </c>
      <c r="F42" s="106">
        <f t="shared" si="4"/>
        <v>1702.4581267826941</v>
      </c>
      <c r="G42" s="109"/>
    </row>
    <row r="43" spans="1:7" s="85" customFormat="1" x14ac:dyDescent="0.2">
      <c r="A43" s="519"/>
      <c r="B43" s="90">
        <f t="shared" si="1"/>
        <v>41395</v>
      </c>
      <c r="C43" s="92">
        <f t="shared" si="2"/>
        <v>87318.329151074649</v>
      </c>
      <c r="D43" s="92">
        <f t="shared" si="0"/>
        <v>2617.4527970503073</v>
      </c>
      <c r="E43" s="108">
        <f t="shared" si="3"/>
        <v>-639.97528285568353</v>
      </c>
      <c r="F43" s="106">
        <f t="shared" si="4"/>
        <v>1740.7327693674595</v>
      </c>
      <c r="G43" s="109"/>
    </row>
    <row r="44" spans="1:7" s="85" customFormat="1" x14ac:dyDescent="0.2">
      <c r="A44" s="519"/>
      <c r="B44" s="90">
        <f t="shared" si="1"/>
        <v>41426</v>
      </c>
      <c r="C44" s="92">
        <f t="shared" si="2"/>
        <v>89281.418748862387</v>
      </c>
      <c r="D44" s="92">
        <f t="shared" si="0"/>
        <v>2676.2983385138846</v>
      </c>
      <c r="E44" s="108">
        <f t="shared" si="3"/>
        <v>-654.36319926257681</v>
      </c>
      <c r="F44" s="106">
        <f t="shared" si="4"/>
        <v>1779.8679019942092</v>
      </c>
      <c r="G44" s="109"/>
    </row>
    <row r="45" spans="1:7" s="85" customFormat="1" x14ac:dyDescent="0.2">
      <c r="A45" s="519"/>
      <c r="B45" s="90">
        <f t="shared" si="1"/>
        <v>41456</v>
      </c>
      <c r="C45" s="92">
        <f t="shared" si="2"/>
        <v>91288.642502747796</v>
      </c>
      <c r="D45" s="92">
        <f t="shared" si="0"/>
        <v>2736.4668447140348</v>
      </c>
      <c r="E45" s="108">
        <f t="shared" si="3"/>
        <v>-669.07458462847126</v>
      </c>
      <c r="F45" s="106">
        <f t="shared" si="4"/>
        <v>1819.8828701894417</v>
      </c>
      <c r="G45" s="109"/>
    </row>
    <row r="46" spans="1:7" s="85" customFormat="1" x14ac:dyDescent="0.2">
      <c r="A46" s="519"/>
      <c r="B46" s="90">
        <f t="shared" si="1"/>
        <v>41487</v>
      </c>
      <c r="C46" s="92">
        <f t="shared" si="2"/>
        <v>93340.992636283321</v>
      </c>
      <c r="D46" s="92">
        <f t="shared" si="0"/>
        <v>2797.9880585276301</v>
      </c>
      <c r="E46" s="108">
        <f t="shared" si="3"/>
        <v>-684.11671117850869</v>
      </c>
      <c r="F46" s="106">
        <f t="shared" si="4"/>
        <v>1860.7974544055437</v>
      </c>
      <c r="G46" s="109"/>
    </row>
    <row r="47" spans="1:7" s="85" customFormat="1" x14ac:dyDescent="0.2">
      <c r="A47" s="519"/>
      <c r="B47" s="90">
        <f t="shared" si="1"/>
        <v>41518</v>
      </c>
      <c r="C47" s="92">
        <f t="shared" si="2"/>
        <v>95439.483680179037</v>
      </c>
      <c r="D47" s="92">
        <f t="shared" si="0"/>
        <v>2860.892391510532</v>
      </c>
      <c r="E47" s="108">
        <f t="shared" si="3"/>
        <v>-699.49701463190752</v>
      </c>
      <c r="F47" s="106">
        <f t="shared" si="4"/>
        <v>1902.6318797987888</v>
      </c>
      <c r="G47" s="109"/>
    </row>
    <row r="48" spans="1:7" s="85" customFormat="1" x14ac:dyDescent="0.2">
      <c r="A48" s="519"/>
      <c r="B48" s="90">
        <f t="shared" si="1"/>
        <v>41548</v>
      </c>
      <c r="C48" s="92">
        <f t="shared" si="2"/>
        <v>97585.152973811928</v>
      </c>
      <c r="D48" s="92">
        <f t="shared" si="0"/>
        <v>2925.2109389308275</v>
      </c>
      <c r="E48" s="108">
        <f t="shared" si="3"/>
        <v>-715.22309787763299</v>
      </c>
      <c r="F48" s="106">
        <f t="shared" si="4"/>
        <v>1945.4068262271621</v>
      </c>
      <c r="G48" s="109"/>
    </row>
    <row r="49" spans="1:7" s="85" customFormat="1" x14ac:dyDescent="0.2">
      <c r="A49" s="519"/>
      <c r="B49" s="90">
        <f t="shared" si="1"/>
        <v>41579</v>
      </c>
      <c r="C49" s="92">
        <f t="shared" si="2"/>
        <v>99779.061178010059</v>
      </c>
      <c r="D49" s="92">
        <f t="shared" si="0"/>
        <v>2990.9754951400359</v>
      </c>
      <c r="E49" s="108">
        <f t="shared" si="3"/>
        <v>-731.30273473270688</v>
      </c>
      <c r="F49" s="106">
        <f t="shared" si="4"/>
        <v>1989.1434384729628</v>
      </c>
      <c r="G49" s="109"/>
    </row>
    <row r="50" spans="1:7" s="85" customFormat="1" ht="13.5" thickBot="1" x14ac:dyDescent="0.25">
      <c r="A50" s="520"/>
      <c r="B50" s="90">
        <f t="shared" si="1"/>
        <v>41609</v>
      </c>
      <c r="C50" s="92">
        <f t="shared" si="2"/>
        <v>102022.2927993651</v>
      </c>
      <c r="D50" s="92">
        <f t="shared" si="0"/>
        <v>3058.2185692898943</v>
      </c>
      <c r="E50" s="112">
        <f t="shared" si="3"/>
        <v>-747.7438737850091</v>
      </c>
      <c r="F50" s="113">
        <f t="shared" si="4"/>
        <v>2033.8633366952247</v>
      </c>
      <c r="G50" s="114"/>
    </row>
    <row r="51" spans="1:7" s="85" customFormat="1" x14ac:dyDescent="0.2">
      <c r="A51" s="518">
        <f>A39+1</f>
        <v>2021</v>
      </c>
      <c r="B51" s="103">
        <f t="shared" si="1"/>
        <v>41640</v>
      </c>
      <c r="C51" s="104">
        <f t="shared" si="2"/>
        <v>104315.95672633252</v>
      </c>
      <c r="D51" s="104">
        <f t="shared" si="0"/>
        <v>3126.9734014024871</v>
      </c>
      <c r="E51" s="105">
        <f t="shared" si="3"/>
        <v>-764.55464232247357</v>
      </c>
      <c r="F51" s="106">
        <f t="shared" si="4"/>
        <v>2079.5886271171285</v>
      </c>
      <c r="G51" s="109"/>
    </row>
    <row r="52" spans="1:7" s="85" customFormat="1" x14ac:dyDescent="0.2">
      <c r="A52" s="519"/>
      <c r="B52" s="90">
        <f t="shared" si="1"/>
        <v>41671</v>
      </c>
      <c r="C52" s="92">
        <f t="shared" si="2"/>
        <v>106661.18677738438</v>
      </c>
      <c r="D52" s="92">
        <f t="shared" si="0"/>
        <v>3197.2739788016665</v>
      </c>
      <c r="E52" s="108">
        <f t="shared" si="3"/>
        <v>-781.74335035062177</v>
      </c>
      <c r="F52" s="106">
        <f t="shared" si="4"/>
        <v>2126.3419129536915</v>
      </c>
      <c r="G52" s="109"/>
    </row>
    <row r="53" spans="1:7" s="85" customFormat="1" x14ac:dyDescent="0.2">
      <c r="A53" s="519"/>
      <c r="B53" s="90">
        <f t="shared" si="1"/>
        <v>41699</v>
      </c>
      <c r="C53" s="92">
        <f t="shared" si="2"/>
        <v>109059.14226148563</v>
      </c>
      <c r="D53" s="92">
        <f t="shared" si="0"/>
        <v>3269.1550529138785</v>
      </c>
      <c r="E53" s="108">
        <f t="shared" si="3"/>
        <v>-799.31849470041664</v>
      </c>
      <c r="F53" s="106">
        <f t="shared" si="4"/>
        <v>2174.1463055851332</v>
      </c>
      <c r="G53" s="109"/>
    </row>
    <row r="54" spans="1:7" s="85" customFormat="1" x14ac:dyDescent="0.2">
      <c r="A54" s="519"/>
      <c r="B54" s="90">
        <f t="shared" si="1"/>
        <v>41730</v>
      </c>
      <c r="C54" s="92">
        <f t="shared" si="2"/>
        <v>111511.00855117103</v>
      </c>
      <c r="D54" s="92">
        <f t="shared" si="0"/>
        <v>3342.6521564467107</v>
      </c>
      <c r="E54" s="108">
        <f t="shared" si="3"/>
        <v>-817.28876322846963</v>
      </c>
      <c r="F54" s="106">
        <f t="shared" si="4"/>
        <v>2223.0254359814376</v>
      </c>
      <c r="G54" s="109"/>
    </row>
    <row r="55" spans="1:7" s="85" customFormat="1" x14ac:dyDescent="0.2">
      <c r="A55" s="519"/>
      <c r="B55" s="90">
        <f t="shared" si="1"/>
        <v>41760</v>
      </c>
      <c r="C55" s="92">
        <f t="shared" si="2"/>
        <v>114017.99766850607</v>
      </c>
      <c r="D55" s="92">
        <f t="shared" si="0"/>
        <v>3417.8016209536422</v>
      </c>
      <c r="E55" s="108">
        <f t="shared" si="3"/>
        <v>-835.66303911167768</v>
      </c>
      <c r="F55" s="106">
        <f t="shared" si="4"/>
        <v>2273.0034663837632</v>
      </c>
      <c r="G55" s="109"/>
    </row>
    <row r="56" spans="1:7" s="85" customFormat="1" x14ac:dyDescent="0.2">
      <c r="A56" s="519"/>
      <c r="B56" s="90">
        <f t="shared" si="1"/>
        <v>41791</v>
      </c>
      <c r="C56" s="92">
        <f t="shared" si="2"/>
        <v>116581.3488842213</v>
      </c>
      <c r="D56" s="92">
        <f t="shared" si="0"/>
        <v>3494.6405947936905</v>
      </c>
      <c r="E56" s="108">
        <f t="shared" si="3"/>
        <v>-854.45040523841055</v>
      </c>
      <c r="F56" s="106">
        <f t="shared" si="4"/>
        <v>2324.1051022484767</v>
      </c>
      <c r="G56" s="109"/>
    </row>
    <row r="57" spans="1:7" s="85" customFormat="1" x14ac:dyDescent="0.2">
      <c r="A57" s="519"/>
      <c r="B57" s="90">
        <f t="shared" si="1"/>
        <v>41821</v>
      </c>
      <c r="C57" s="92">
        <f t="shared" si="2"/>
        <v>119202.32933031656</v>
      </c>
      <c r="D57" s="92">
        <f t="shared" si="0"/>
        <v>3573.2070614948202</v>
      </c>
      <c r="E57" s="108">
        <f t="shared" si="3"/>
        <v>-873.66014869842252</v>
      </c>
      <c r="F57" s="106">
        <f t="shared" si="4"/>
        <v>2376.3556044597094</v>
      </c>
      <c r="G57" s="109"/>
    </row>
    <row r="58" spans="1:7" s="85" customFormat="1" x14ac:dyDescent="0.2">
      <c r="A58" s="519"/>
      <c r="B58" s="90">
        <f t="shared" si="1"/>
        <v>41852</v>
      </c>
      <c r="C58" s="92">
        <f t="shared" si="2"/>
        <v>121882.23462643767</v>
      </c>
      <c r="D58" s="92">
        <f t="shared" si="0"/>
        <v>3653.5398585302041</v>
      </c>
      <c r="E58" s="108">
        <f t="shared" si="3"/>
        <v>-893.30176537370494</v>
      </c>
      <c r="F58" s="106">
        <f t="shared" si="4"/>
        <v>2429.7808018164774</v>
      </c>
      <c r="G58" s="109"/>
    </row>
    <row r="59" spans="1:7" s="85" customFormat="1" x14ac:dyDescent="0.2">
      <c r="A59" s="519"/>
      <c r="B59" s="90">
        <f t="shared" si="1"/>
        <v>41883</v>
      </c>
      <c r="C59" s="92">
        <f t="shared" si="2"/>
        <v>124622.38952033532</v>
      </c>
      <c r="D59" s="92">
        <f t="shared" si="0"/>
        <v>3735.6786965166066</v>
      </c>
      <c r="E59" s="108">
        <f t="shared" si="3"/>
        <v>-913.38496463255103</v>
      </c>
      <c r="F59" s="106">
        <f t="shared" si="4"/>
        <v>2484.4071038005386</v>
      </c>
      <c r="G59" s="109"/>
    </row>
    <row r="60" spans="1:7" s="85" customFormat="1" x14ac:dyDescent="0.2">
      <c r="A60" s="519"/>
      <c r="B60" s="90">
        <f t="shared" si="1"/>
        <v>41913</v>
      </c>
      <c r="C60" s="92">
        <f t="shared" si="2"/>
        <v>127424.14854272277</v>
      </c>
      <c r="D60" s="92">
        <f t="shared" si="0"/>
        <v>3819.6641788443881</v>
      </c>
      <c r="E60" s="108">
        <f t="shared" si="3"/>
        <v>-933.91967412915164</v>
      </c>
      <c r="F60" s="106">
        <f t="shared" si="4"/>
        <v>2540.2615136312925</v>
      </c>
      <c r="G60" s="109"/>
    </row>
    <row r="61" spans="1:7" s="85" customFormat="1" x14ac:dyDescent="0.2">
      <c r="A61" s="519"/>
      <c r="B61" s="90">
        <f t="shared" si="1"/>
        <v>41944</v>
      </c>
      <c r="C61" s="92">
        <f t="shared" si="2"/>
        <v>130288.89667685608</v>
      </c>
      <c r="D61" s="92">
        <f t="shared" si="0"/>
        <v>3905.5378217488296</v>
      </c>
      <c r="E61" s="108">
        <f t="shared" si="3"/>
        <v>-954.91604471109702</v>
      </c>
      <c r="F61" s="106">
        <f t="shared" si="4"/>
        <v>2597.3716416141842</v>
      </c>
      <c r="G61" s="109"/>
    </row>
    <row r="62" spans="1:7" ht="13.5" thickBot="1" x14ac:dyDescent="0.25">
      <c r="A62" s="520"/>
      <c r="B62" s="110">
        <f t="shared" si="1"/>
        <v>41974</v>
      </c>
      <c r="C62" s="111">
        <f t="shared" si="2"/>
        <v>133218.05004316769</v>
      </c>
      <c r="D62" s="111">
        <f t="shared" si="0"/>
        <v>3993.3420748326998</v>
      </c>
      <c r="E62" s="112">
        <f t="shared" si="3"/>
        <v>-976.38445543720741</v>
      </c>
      <c r="F62" s="113">
        <f t="shared" si="4"/>
        <v>2655.7657187892041</v>
      </c>
      <c r="G62" s="114"/>
    </row>
  </sheetData>
  <mergeCells count="8">
    <mergeCell ref="A1:B1"/>
    <mergeCell ref="C1:E1"/>
    <mergeCell ref="A3:A14"/>
    <mergeCell ref="F13:G13"/>
    <mergeCell ref="A15:A26"/>
    <mergeCell ref="A27:A38"/>
    <mergeCell ref="A39:A50"/>
    <mergeCell ref="A51:A62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C21" sqref="C21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82" t="s">
        <v>119</v>
      </c>
      <c r="C2" s="510"/>
      <c r="F2" s="513" t="s">
        <v>120</v>
      </c>
      <c r="G2" s="484"/>
      <c r="I2" s="482" t="s">
        <v>121</v>
      </c>
      <c r="J2" s="510"/>
    </row>
    <row r="3" spans="2:10" x14ac:dyDescent="0.2">
      <c r="B3" s="157" t="s">
        <v>64</v>
      </c>
      <c r="C3" s="158">
        <v>50000</v>
      </c>
      <c r="F3" s="16" t="s">
        <v>122</v>
      </c>
      <c r="G3" s="159">
        <v>50000</v>
      </c>
      <c r="I3" s="160" t="s">
        <v>55</v>
      </c>
      <c r="J3" s="161">
        <f>Open!$E$6</f>
        <v>1.06951</v>
      </c>
    </row>
    <row r="4" spans="2:10" x14ac:dyDescent="0.2">
      <c r="B4" s="10" t="s">
        <v>54</v>
      </c>
      <c r="C4" s="47">
        <v>2</v>
      </c>
      <c r="F4" s="162" t="s">
        <v>123</v>
      </c>
      <c r="G4" s="61">
        <f>CLog!$X$6</f>
        <v>34042.550000000003</v>
      </c>
      <c r="I4" s="12" t="s">
        <v>124</v>
      </c>
      <c r="J4" s="163">
        <f>G4*G6/J3/G5</f>
        <v>159.15021832427936</v>
      </c>
    </row>
    <row r="5" spans="2:10" x14ac:dyDescent="0.2">
      <c r="B5" s="10" t="s">
        <v>43</v>
      </c>
      <c r="C5" s="164">
        <v>100000</v>
      </c>
      <c r="F5" s="10" t="s">
        <v>43</v>
      </c>
      <c r="G5" s="164">
        <v>100000</v>
      </c>
      <c r="I5" s="12" t="s">
        <v>125</v>
      </c>
      <c r="J5" s="163">
        <f>G4/G5/(G7*J3/100/G6+J12/10000)</f>
        <v>176.58719454882345</v>
      </c>
    </row>
    <row r="6" spans="2:10" ht="13.5" thickBot="1" x14ac:dyDescent="0.25">
      <c r="B6" s="165" t="s">
        <v>126</v>
      </c>
      <c r="C6" s="166">
        <f>IF(C3="","",IF(C4="","",IF(C5="","",C3*C4/C5)))</f>
        <v>1</v>
      </c>
      <c r="F6" s="10" t="s">
        <v>54</v>
      </c>
      <c r="G6" s="47">
        <v>500</v>
      </c>
      <c r="I6" s="12" t="s">
        <v>127</v>
      </c>
      <c r="J6" s="163">
        <f>IF(G13="","",IF(J12="","",G13/J12/10))</f>
        <v>118.01417333333336</v>
      </c>
    </row>
    <row r="7" spans="2:10" x14ac:dyDescent="0.2">
      <c r="F7" s="10" t="s">
        <v>128</v>
      </c>
      <c r="G7" s="47">
        <v>20</v>
      </c>
      <c r="I7" s="12" t="s">
        <v>129</v>
      </c>
      <c r="J7" s="163">
        <f>IF(J4&lt;J5,IF(J4&lt;J6,J4,J6),IF(J5&lt;J6,J5,J6))</f>
        <v>118.01417333333336</v>
      </c>
    </row>
    <row r="8" spans="2:10" x14ac:dyDescent="0.2">
      <c r="F8" s="10" t="s">
        <v>130</v>
      </c>
      <c r="G8" s="164">
        <v>0.01</v>
      </c>
      <c r="I8" s="12" t="s">
        <v>131</v>
      </c>
      <c r="J8" s="163" t="str">
        <f>IF(J7=J4,"MaxLev",IF(J7=J5,"Margin","Ideal"))</f>
        <v>Ideal</v>
      </c>
    </row>
    <row r="9" spans="2:10" ht="13.5" thickBot="1" x14ac:dyDescent="0.25">
      <c r="F9" s="11" t="s">
        <v>132</v>
      </c>
      <c r="G9" s="167">
        <f>IF(G8="","",G8*G5*J3/G6)</f>
        <v>2.1390199999999999</v>
      </c>
      <c r="I9" s="12" t="s">
        <v>133</v>
      </c>
      <c r="J9" s="168">
        <v>100</v>
      </c>
    </row>
    <row r="10" spans="2:10" ht="13.5" thickBot="1" x14ac:dyDescent="0.25">
      <c r="I10" s="13" t="s">
        <v>134</v>
      </c>
      <c r="J10" s="169">
        <f>IF(J7="","",IF(J9="","",INT(J7*J9)/100))</f>
        <v>118.01</v>
      </c>
    </row>
    <row r="11" spans="2:10" ht="13.5" thickBot="1" x14ac:dyDescent="0.25">
      <c r="F11" s="493" t="s">
        <v>13</v>
      </c>
      <c r="G11" s="494"/>
      <c r="I11" s="13" t="s">
        <v>135</v>
      </c>
      <c r="J11" s="170">
        <f>IF(J10="","",INT(G6*J10/J4))</f>
        <v>370</v>
      </c>
    </row>
    <row r="12" spans="2:10" x14ac:dyDescent="0.2">
      <c r="F12" s="491" t="s">
        <v>16</v>
      </c>
      <c r="G12" s="171">
        <f>Risk!I25</f>
        <v>0.52</v>
      </c>
      <c r="I12" s="172" t="s">
        <v>136</v>
      </c>
      <c r="J12" s="173">
        <v>15</v>
      </c>
    </row>
    <row r="13" spans="2:10" x14ac:dyDescent="0.2">
      <c r="F13" s="492"/>
      <c r="G13" s="20">
        <f>Risk!I26</f>
        <v>17702.126000000004</v>
      </c>
      <c r="I13" s="12" t="s">
        <v>137</v>
      </c>
      <c r="J13" s="32">
        <f>IF(J12="","",J12*J10*G5/10000)</f>
        <v>17701.5</v>
      </c>
    </row>
    <row r="14" spans="2:10" x14ac:dyDescent="0.2">
      <c r="F14" s="489" t="s">
        <v>14</v>
      </c>
      <c r="G14" s="19">
        <f>Risk!I27</f>
        <v>0.60797019838948607</v>
      </c>
      <c r="I14" s="12" t="s">
        <v>138</v>
      </c>
      <c r="J14" s="174">
        <f>J13/G4</f>
        <v>0.51998161124827602</v>
      </c>
    </row>
    <row r="15" spans="2:10" ht="13.5" thickBot="1" x14ac:dyDescent="0.25">
      <c r="F15" s="490"/>
      <c r="G15" s="156">
        <f>Risk!I28</f>
        <v>20696.855877184</v>
      </c>
      <c r="I15" s="12" t="s">
        <v>139</v>
      </c>
      <c r="J15" s="174">
        <f>J14/J12</f>
        <v>3.4665440749885069E-2</v>
      </c>
    </row>
    <row r="16" spans="2:10" ht="13.5" thickBot="1" x14ac:dyDescent="0.25">
      <c r="I16" s="165" t="s">
        <v>140</v>
      </c>
      <c r="J16" s="169">
        <f>(G4-G9)/J13</f>
        <v>1.9230240928734854</v>
      </c>
    </row>
    <row r="17" spans="3:10" x14ac:dyDescent="0.2">
      <c r="I17" s="48" t="s">
        <v>141</v>
      </c>
      <c r="J17" s="173">
        <v>2</v>
      </c>
    </row>
    <row r="18" spans="3:10" x14ac:dyDescent="0.2">
      <c r="I18" s="12" t="s">
        <v>44</v>
      </c>
      <c r="J18" s="32">
        <f>IF(J17="","",J17*J10*G5/10000)</f>
        <v>2360.1999999999998</v>
      </c>
    </row>
    <row r="19" spans="3:10" x14ac:dyDescent="0.2">
      <c r="C19" t="s">
        <v>215</v>
      </c>
      <c r="I19" s="12" t="s">
        <v>142</v>
      </c>
      <c r="J19" s="174">
        <f>J18/G4</f>
        <v>6.9330881499770125E-2</v>
      </c>
    </row>
    <row r="20" spans="3:10" x14ac:dyDescent="0.2">
      <c r="I20" s="12" t="s">
        <v>10</v>
      </c>
      <c r="J20" s="174">
        <v>0.2</v>
      </c>
    </row>
    <row r="21" spans="3:10" x14ac:dyDescent="0.2">
      <c r="I21" s="529" t="s">
        <v>14</v>
      </c>
      <c r="J21" s="32">
        <f>IF(J20="","",J20*J18-(1-J20)*J13)</f>
        <v>-13689.16</v>
      </c>
    </row>
    <row r="22" spans="3:10" ht="13.5" thickBot="1" x14ac:dyDescent="0.25">
      <c r="I22" s="466"/>
      <c r="J22" s="175">
        <f>IF(J21="","",J21/G4)</f>
        <v>-0.40211911269866679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2017-01-30T17:58:06Z</dcterms:modified>
</cp:coreProperties>
</file>